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luca Imperiale\Desktop\"/>
    </mc:Choice>
  </mc:AlternateContent>
  <xr:revisionPtr revIDLastSave="0" documentId="13_ncr:1_{45D19431-7EAE-4B7D-97AC-3145EAB562B5}" xr6:coauthVersionLast="43" xr6:coauthVersionMax="43" xr10:uidLastSave="{00000000-0000-0000-0000-000000000000}"/>
  <bookViews>
    <workbookView xWindow="-108" yWindow="-108" windowWidth="23256" windowHeight="12576" xr2:uid="{C28B1195-FCE1-40AD-A46E-9897A36E05C4}"/>
  </bookViews>
  <sheets>
    <sheet name="Menu" sheetId="16" r:id="rId1"/>
    <sheet name="Input_Quant" sheetId="1" r:id="rId2"/>
    <sheet name="Quality ceck" sheetId="2" r:id="rId3"/>
    <sheet name="Variabili Discriminanti" sheetId="3" r:id="rId4"/>
    <sheet name="Variabili Dicotomiche" sheetId="4" r:id="rId5"/>
    <sheet name="Industria" sheetId="5" r:id="rId6"/>
    <sheet name="Edilizia" sheetId="6" r:id="rId7"/>
    <sheet name="Commercio" sheetId="7" r:id="rId8"/>
    <sheet name="Immobiliare" sheetId="8" r:id="rId9"/>
    <sheet name="Servizi" sheetId="9" r:id="rId10"/>
    <sheet name="MA_Credit Bureau discr" sheetId="11" state="hidden" r:id="rId11"/>
    <sheet name="MA_Credit Bureau dicot" sheetId="12" state="hidden" r:id="rId12"/>
    <sheet name="MA_Credit Bureau Valut" sheetId="13" state="hidden" r:id="rId13"/>
    <sheet name="MA_Centrale Rischi" sheetId="14" state="hidden" r:id="rId14"/>
    <sheet name="Valore Ponderato Andamentale" sheetId="15" state="hidden" r:id="rId15"/>
    <sheet name="Valutazione Finale" sheetId="10" r:id="rId16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0" l="1"/>
  <c r="B7" i="10"/>
  <c r="B6" i="10"/>
  <c r="B5" i="10"/>
  <c r="B4" i="10"/>
  <c r="D14" i="10"/>
  <c r="D13" i="10"/>
  <c r="D12" i="10"/>
  <c r="D11" i="10"/>
  <c r="D10" i="10"/>
  <c r="D9" i="10"/>
  <c r="D8" i="10"/>
  <c r="D7" i="10"/>
  <c r="D6" i="10"/>
  <c r="D5" i="10"/>
  <c r="C31" i="15"/>
  <c r="C30" i="15"/>
  <c r="C29" i="15"/>
  <c r="C28" i="15"/>
  <c r="C27" i="15"/>
  <c r="C26" i="15"/>
  <c r="C25" i="15"/>
  <c r="C24" i="15"/>
  <c r="C23" i="15"/>
  <c r="C22" i="15"/>
  <c r="D17" i="15"/>
  <c r="D13" i="15"/>
  <c r="D12" i="15"/>
  <c r="D11" i="15"/>
  <c r="D10" i="15"/>
  <c r="D9" i="15"/>
  <c r="D8" i="15"/>
  <c r="B113" i="14"/>
  <c r="B112" i="14"/>
  <c r="B111" i="14"/>
  <c r="B110" i="14"/>
  <c r="B109" i="14"/>
  <c r="B108" i="14"/>
  <c r="B107" i="14"/>
  <c r="B106" i="14"/>
  <c r="B105" i="14"/>
  <c r="B104" i="14"/>
  <c r="D99" i="14"/>
  <c r="D98" i="14"/>
  <c r="D97" i="14"/>
  <c r="D96" i="14"/>
  <c r="D95" i="14"/>
  <c r="D94" i="14"/>
  <c r="E88" i="14"/>
  <c r="E87" i="14"/>
  <c r="E86" i="14"/>
  <c r="E85" i="14"/>
  <c r="G82" i="14"/>
  <c r="G80" i="14"/>
  <c r="G79" i="14"/>
  <c r="G78" i="14"/>
  <c r="G77" i="14"/>
  <c r="C74" i="14"/>
  <c r="C73" i="14"/>
  <c r="F60" i="14"/>
  <c r="F61" i="14"/>
  <c r="F62" i="14"/>
  <c r="F63" i="14"/>
  <c r="F64" i="14"/>
  <c r="F65" i="14"/>
  <c r="F66" i="14"/>
  <c r="F67" i="14"/>
  <c r="F68" i="14"/>
  <c r="F69" i="14"/>
  <c r="F59" i="14"/>
  <c r="F58" i="14"/>
  <c r="F57" i="14"/>
  <c r="F56" i="14"/>
  <c r="F54" i="14"/>
  <c r="F55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C14" i="13"/>
  <c r="C13" i="13"/>
  <c r="C12" i="13"/>
  <c r="C11" i="13"/>
  <c r="C10" i="13"/>
  <c r="C9" i="13"/>
  <c r="C8" i="13"/>
  <c r="C7" i="13"/>
  <c r="C6" i="13"/>
  <c r="C5" i="13"/>
  <c r="E32" i="12"/>
  <c r="E31" i="12"/>
  <c r="E30" i="12"/>
  <c r="E29" i="12"/>
  <c r="E28" i="12"/>
  <c r="E27" i="12"/>
  <c r="E24" i="12"/>
  <c r="E23" i="12"/>
  <c r="E22" i="12"/>
  <c r="E21" i="12"/>
  <c r="E19" i="12"/>
  <c r="E20" i="12"/>
  <c r="J80" i="11"/>
  <c r="J79" i="11"/>
  <c r="J76" i="11"/>
  <c r="J74" i="11"/>
  <c r="J75" i="11"/>
  <c r="J81" i="11"/>
  <c r="J77" i="11"/>
  <c r="F13" i="12"/>
  <c r="F11" i="12"/>
  <c r="J78" i="11"/>
  <c r="F9" i="12"/>
  <c r="I70" i="11"/>
  <c r="I69" i="11"/>
  <c r="I68" i="11"/>
  <c r="F7" i="12"/>
  <c r="I67" i="11"/>
  <c r="F5" i="12"/>
  <c r="F3" i="12"/>
  <c r="H63" i="11"/>
  <c r="H64" i="11"/>
  <c r="H62" i="11"/>
  <c r="H61" i="11"/>
  <c r="H60" i="11"/>
  <c r="H59" i="11"/>
  <c r="H57" i="11"/>
  <c r="H58" i="11"/>
  <c r="H56" i="11"/>
  <c r="H55" i="11"/>
  <c r="H54" i="11"/>
  <c r="H53" i="11"/>
  <c r="H51" i="11"/>
  <c r="H52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C14" i="9"/>
  <c r="C13" i="9"/>
  <c r="C12" i="9"/>
  <c r="E12" i="9"/>
  <c r="C11" i="9"/>
  <c r="C10" i="9"/>
  <c r="C9" i="9"/>
  <c r="E9" i="9"/>
  <c r="C8" i="9"/>
  <c r="D15" i="4"/>
  <c r="C7" i="9"/>
  <c r="E7" i="9"/>
  <c r="C6" i="9"/>
  <c r="C5" i="9"/>
  <c r="E5" i="9"/>
  <c r="C4" i="9"/>
  <c r="E4" i="9"/>
  <c r="O26" i="3"/>
  <c r="B33" i="9"/>
  <c r="B32" i="9"/>
  <c r="B31" i="9"/>
  <c r="B30" i="9"/>
  <c r="B29" i="9"/>
  <c r="B28" i="9"/>
  <c r="B27" i="9"/>
  <c r="B26" i="9"/>
  <c r="B25" i="9"/>
  <c r="B24" i="9"/>
  <c r="E14" i="9"/>
  <c r="E13" i="9"/>
  <c r="E11" i="9"/>
  <c r="E10" i="9"/>
  <c r="E8" i="9"/>
  <c r="E6" i="9"/>
  <c r="C10" i="8"/>
  <c r="E10" i="8"/>
  <c r="C9" i="8"/>
  <c r="C8" i="8"/>
  <c r="C7" i="8"/>
  <c r="E7" i="8"/>
  <c r="C6" i="8"/>
  <c r="E6" i="8"/>
  <c r="C5" i="8"/>
  <c r="E5" i="8"/>
  <c r="C4" i="8"/>
  <c r="E4" i="8"/>
  <c r="E8" i="8"/>
  <c r="E9" i="8"/>
  <c r="E11" i="8"/>
  <c r="E5" i="7"/>
  <c r="E21" i="7"/>
  <c r="E6" i="7"/>
  <c r="E7" i="7"/>
  <c r="E8" i="7"/>
  <c r="E9" i="7"/>
  <c r="E10" i="7"/>
  <c r="E11" i="7"/>
  <c r="E12" i="7"/>
  <c r="E13" i="7"/>
  <c r="E14" i="7"/>
  <c r="E15" i="7"/>
  <c r="E16" i="7"/>
  <c r="B29" i="8"/>
  <c r="B28" i="8"/>
  <c r="B27" i="8"/>
  <c r="B26" i="8"/>
  <c r="B25" i="8"/>
  <c r="B24" i="8"/>
  <c r="B23" i="8"/>
  <c r="B22" i="8"/>
  <c r="B21" i="8"/>
  <c r="B20" i="8"/>
  <c r="C16" i="7"/>
  <c r="C15" i="7"/>
  <c r="C14" i="7"/>
  <c r="C13" i="7"/>
  <c r="C12" i="7"/>
  <c r="C11" i="7"/>
  <c r="C10" i="7"/>
  <c r="C9" i="7"/>
  <c r="C8" i="7"/>
  <c r="C7" i="7"/>
  <c r="C6" i="7"/>
  <c r="C5" i="7"/>
  <c r="C4" i="7"/>
  <c r="E4" i="7"/>
  <c r="D14" i="4"/>
  <c r="D13" i="4"/>
  <c r="B35" i="7"/>
  <c r="B34" i="7"/>
  <c r="B33" i="7"/>
  <c r="B32" i="7"/>
  <c r="B31" i="7"/>
  <c r="B30" i="7"/>
  <c r="B29" i="7"/>
  <c r="B28" i="7"/>
  <c r="B27" i="7"/>
  <c r="B26" i="7"/>
  <c r="E20" i="6"/>
  <c r="C15" i="6"/>
  <c r="C14" i="6"/>
  <c r="E14" i="6"/>
  <c r="C13" i="6"/>
  <c r="D12" i="4"/>
  <c r="D11" i="4"/>
  <c r="C9" i="6"/>
  <c r="C10" i="6"/>
  <c r="E10" i="6"/>
  <c r="C11" i="6"/>
  <c r="C12" i="6"/>
  <c r="C8" i="6"/>
  <c r="C7" i="6"/>
  <c r="C6" i="6"/>
  <c r="C5" i="6"/>
  <c r="C4" i="6"/>
  <c r="B34" i="6"/>
  <c r="B33" i="6"/>
  <c r="B32" i="6"/>
  <c r="B31" i="6"/>
  <c r="B30" i="6"/>
  <c r="B29" i="6"/>
  <c r="B28" i="6"/>
  <c r="B27" i="6"/>
  <c r="B26" i="6"/>
  <c r="B25" i="6"/>
  <c r="E15" i="6"/>
  <c r="E13" i="6"/>
  <c r="E12" i="6"/>
  <c r="E11" i="6"/>
  <c r="E9" i="6"/>
  <c r="E8" i="6"/>
  <c r="E7" i="6"/>
  <c r="E6" i="6"/>
  <c r="E5" i="6"/>
  <c r="E4" i="6"/>
  <c r="B36" i="5"/>
  <c r="B28" i="5"/>
  <c r="B29" i="5"/>
  <c r="B30" i="5"/>
  <c r="B31" i="5"/>
  <c r="B32" i="5"/>
  <c r="B33" i="5"/>
  <c r="B34" i="5"/>
  <c r="B35" i="5"/>
  <c r="B27" i="5"/>
  <c r="E22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C7" i="5"/>
  <c r="C6" i="5"/>
  <c r="E4" i="5"/>
  <c r="C14" i="5"/>
  <c r="C15" i="5"/>
  <c r="C16" i="5"/>
  <c r="C17" i="5"/>
  <c r="C13" i="5"/>
  <c r="C12" i="5"/>
  <c r="C11" i="5"/>
  <c r="C9" i="5"/>
  <c r="C10" i="5"/>
  <c r="C8" i="5"/>
  <c r="C5" i="5"/>
  <c r="C4" i="5"/>
  <c r="O14" i="3"/>
  <c r="O10" i="3"/>
  <c r="O8" i="3"/>
  <c r="O23" i="3"/>
  <c r="O22" i="3"/>
  <c r="O6" i="3"/>
  <c r="O5" i="3"/>
  <c r="N25" i="3"/>
  <c r="N6" i="3"/>
  <c r="N7" i="3"/>
  <c r="N11" i="3"/>
  <c r="I25" i="3"/>
  <c r="G25" i="3"/>
  <c r="F25" i="3"/>
  <c r="I24" i="3"/>
  <c r="G24" i="3"/>
  <c r="F24" i="3"/>
  <c r="I23" i="3"/>
  <c r="G23" i="3"/>
  <c r="F23" i="3"/>
  <c r="I22" i="3"/>
  <c r="G22" i="3"/>
  <c r="F22" i="3"/>
  <c r="I21" i="3"/>
  <c r="G21" i="3"/>
  <c r="F21" i="3"/>
  <c r="M10" i="3"/>
  <c r="M20" i="3"/>
  <c r="M19" i="3"/>
  <c r="M8" i="3"/>
  <c r="M7" i="3"/>
  <c r="M6" i="3"/>
  <c r="M11" i="3"/>
  <c r="M18" i="3"/>
  <c r="I20" i="3"/>
  <c r="G20" i="3"/>
  <c r="F20" i="3"/>
  <c r="I19" i="3"/>
  <c r="G19" i="3"/>
  <c r="F19" i="3"/>
  <c r="L17" i="3"/>
  <c r="L16" i="3"/>
  <c r="L15" i="3"/>
  <c r="L14" i="3"/>
  <c r="L13" i="3"/>
  <c r="L11" i="3"/>
  <c r="L7" i="3"/>
  <c r="L6" i="3"/>
  <c r="I18" i="3"/>
  <c r="G18" i="3"/>
  <c r="F18" i="3"/>
  <c r="I17" i="3"/>
  <c r="G17" i="3"/>
  <c r="F17" i="3"/>
  <c r="I16" i="3"/>
  <c r="G16" i="3"/>
  <c r="F16" i="3"/>
  <c r="I15" i="3"/>
  <c r="G15" i="3"/>
  <c r="F15" i="3"/>
  <c r="I14" i="3"/>
  <c r="G14" i="3"/>
  <c r="F14" i="3"/>
  <c r="I13" i="3"/>
  <c r="G13" i="3"/>
  <c r="F13" i="3"/>
  <c r="I12" i="3"/>
  <c r="G12" i="3"/>
  <c r="F12" i="3"/>
  <c r="K10" i="3"/>
  <c r="K11" i="3"/>
  <c r="K9" i="3"/>
  <c r="K8" i="3"/>
  <c r="K7" i="3"/>
  <c r="K6" i="3"/>
  <c r="K5" i="3"/>
  <c r="G5" i="3"/>
  <c r="I5" i="3"/>
  <c r="I7" i="3"/>
  <c r="G11" i="3"/>
  <c r="F11" i="3"/>
  <c r="I11" i="3"/>
  <c r="G10" i="3"/>
  <c r="F10" i="3"/>
  <c r="I10" i="3"/>
  <c r="G9" i="3"/>
  <c r="F9" i="3"/>
  <c r="I9" i="3"/>
  <c r="G8" i="3"/>
  <c r="F8" i="3"/>
  <c r="I8" i="3"/>
  <c r="G7" i="3"/>
  <c r="F7" i="3"/>
  <c r="G6" i="3"/>
  <c r="F6" i="3"/>
  <c r="I6" i="3"/>
  <c r="F5" i="3"/>
  <c r="E19" i="9"/>
  <c r="E15" i="8"/>
  <c r="D6" i="4"/>
  <c r="E27" i="1"/>
  <c r="E25" i="1"/>
  <c r="E24" i="1"/>
  <c r="E20" i="1"/>
  <c r="E10" i="1"/>
  <c r="E14" i="1"/>
  <c r="E17" i="1"/>
  <c r="E19" i="1"/>
  <c r="E36" i="1"/>
  <c r="E43" i="1"/>
  <c r="E48" i="1"/>
  <c r="E51" i="1"/>
  <c r="E52" i="1"/>
  <c r="E12" i="2"/>
  <c r="E8" i="2"/>
  <c r="E6" i="2"/>
  <c r="E7" i="2"/>
  <c r="E9" i="2"/>
  <c r="E10" i="2"/>
  <c r="E11" i="2"/>
  <c r="F20" i="1"/>
  <c r="F28" i="1"/>
  <c r="F19" i="1"/>
  <c r="F17" i="1"/>
  <c r="F25" i="1"/>
  <c r="F51" i="1"/>
  <c r="F52" i="1"/>
  <c r="F43" i="1"/>
  <c r="F48" i="1"/>
  <c r="F36" i="1"/>
  <c r="D7" i="4"/>
  <c r="F24" i="1"/>
  <c r="F14" i="1"/>
  <c r="F10" i="1"/>
  <c r="D5" i="4"/>
  <c r="D10" i="4"/>
  <c r="D4" i="4"/>
  <c r="D9" i="4"/>
  <c r="F53" i="1"/>
  <c r="E13" i="2"/>
  <c r="D8" i="4"/>
  <c r="E26" i="1"/>
  <c r="E28" i="1"/>
  <c r="E53" i="1"/>
  <c r="E55" i="1"/>
  <c r="E21" i="1"/>
  <c r="E4" i="2"/>
  <c r="F26" i="1"/>
  <c r="F55" i="1"/>
  <c r="F21" i="1"/>
  <c r="E5" i="2"/>
  <c r="E14" i="2"/>
</calcChain>
</file>

<file path=xl/sharedStrings.xml><?xml version="1.0" encoding="utf-8"?>
<sst xmlns="http://schemas.openxmlformats.org/spreadsheetml/2006/main" count="1154" uniqueCount="713">
  <si>
    <t>SP01</t>
  </si>
  <si>
    <t>Crediti verso soci per versamenti ancora dovuti</t>
  </si>
  <si>
    <t>SP02</t>
  </si>
  <si>
    <t>SP03</t>
  </si>
  <si>
    <t>Totale immobilizzazioni immateriali</t>
  </si>
  <si>
    <t>SP04</t>
  </si>
  <si>
    <t>Totale immobilizzazioni materiali</t>
  </si>
  <si>
    <t>SP05</t>
  </si>
  <si>
    <t xml:space="preserve">Totale immobilizzazioni </t>
  </si>
  <si>
    <t>SP06</t>
  </si>
  <si>
    <t>Totale rimanenze</t>
  </si>
  <si>
    <t>SP07</t>
  </si>
  <si>
    <t>Crediti esigibili entro l'esercizio successivo</t>
  </si>
  <si>
    <t>SP08</t>
  </si>
  <si>
    <t>Crediti esigibili oltre l'esercizio successivo</t>
  </si>
  <si>
    <t>SP09</t>
  </si>
  <si>
    <t>Totale crediti</t>
  </si>
  <si>
    <t>SP10</t>
  </si>
  <si>
    <t>Attività Finanziarie che non costituiscono immobiliozzazioni</t>
  </si>
  <si>
    <t>SP11</t>
  </si>
  <si>
    <t>Disponibilità Liquide</t>
  </si>
  <si>
    <t>SP12</t>
  </si>
  <si>
    <t>Totale attivo circolante</t>
  </si>
  <si>
    <t>SP13</t>
  </si>
  <si>
    <t>Totale Ratei e Risconti</t>
  </si>
  <si>
    <t>SP14</t>
  </si>
  <si>
    <t>Totale Attivo</t>
  </si>
  <si>
    <t>SP15</t>
  </si>
  <si>
    <t>Patrimonio Netto</t>
  </si>
  <si>
    <t>SP16</t>
  </si>
  <si>
    <t>SP17</t>
  </si>
  <si>
    <t>Totale fondi per rischi ed oneri</t>
  </si>
  <si>
    <t>SP18</t>
  </si>
  <si>
    <t>Trattamento di fine rapporto di lavoro subordinato</t>
  </si>
  <si>
    <t>SP19</t>
  </si>
  <si>
    <t>SP20</t>
  </si>
  <si>
    <t>Debiti esigibili entro l'esercizio successivo</t>
  </si>
  <si>
    <t>Debiti esigibili oltre l'esercizio successivo</t>
  </si>
  <si>
    <t>SP21</t>
  </si>
  <si>
    <t>Totale debiti</t>
  </si>
  <si>
    <t>SP22</t>
  </si>
  <si>
    <t>SP23</t>
  </si>
  <si>
    <t>Totale Passivo</t>
  </si>
  <si>
    <t>CE01</t>
  </si>
  <si>
    <t>Ricavi delle vendite e delle prestazioni</t>
  </si>
  <si>
    <t>CE02</t>
  </si>
  <si>
    <t>CE03</t>
  </si>
  <si>
    <t>CE04</t>
  </si>
  <si>
    <t>CE05</t>
  </si>
  <si>
    <t>CE06</t>
  </si>
  <si>
    <t>CE07</t>
  </si>
  <si>
    <t>CE08</t>
  </si>
  <si>
    <t>CE09</t>
  </si>
  <si>
    <t>CE10</t>
  </si>
  <si>
    <t>CE11</t>
  </si>
  <si>
    <t>CE12</t>
  </si>
  <si>
    <t>CE13</t>
  </si>
  <si>
    <t>CE14</t>
  </si>
  <si>
    <t>CE15</t>
  </si>
  <si>
    <t>CE16</t>
  </si>
  <si>
    <t>CE17</t>
  </si>
  <si>
    <t>CE18</t>
  </si>
  <si>
    <t>CE19</t>
  </si>
  <si>
    <t>CE20</t>
  </si>
  <si>
    <t>CE21</t>
  </si>
  <si>
    <t>CE22</t>
  </si>
  <si>
    <t>CE23</t>
  </si>
  <si>
    <t>Variazione Rimanenze prodotti in corso di lavorazione, semilavorati e finiti</t>
  </si>
  <si>
    <t>Variazione dei lavori in corso su ordinanzione</t>
  </si>
  <si>
    <t>Incrementi di immobilizzazioni per lavori interni</t>
  </si>
  <si>
    <t>Totale altri ricavi e proventi</t>
  </si>
  <si>
    <t>Totale valore della produzione</t>
  </si>
  <si>
    <t>Costi per materie prime, sussidiarie, di consumo e di merci</t>
  </si>
  <si>
    <t>Costi per servizi</t>
  </si>
  <si>
    <t>Costi per godimento di beni di terzi</t>
  </si>
  <si>
    <t>Totale costi per il personale</t>
  </si>
  <si>
    <t>Ammortamento delle immobilizzazioni immateriali</t>
  </si>
  <si>
    <t>Ammortamento delle immobilizzazioni materiali</t>
  </si>
  <si>
    <t>Totale ammortamenti e svalutazioni</t>
  </si>
  <si>
    <t>Variazione delle rimanenze di materie prime, sussidiarie, di consumo e merci</t>
  </si>
  <si>
    <t>Accantonamento per rischi</t>
  </si>
  <si>
    <t>Altri accantonamenti</t>
  </si>
  <si>
    <t>Oneri diversi di gestione</t>
  </si>
  <si>
    <t>Totale costi della produzione</t>
  </si>
  <si>
    <t>Totale interessi e altri oneri finanziari</t>
  </si>
  <si>
    <t>Totale delle rettifiche di valore delle attività finanziarie</t>
  </si>
  <si>
    <t>Totale delle partite straordinarie</t>
  </si>
  <si>
    <t>Risultato prima delle imposte</t>
  </si>
  <si>
    <t>Totale delle imposte sul reddito dell'esercizio, correnti, differite e anticipate</t>
  </si>
  <si>
    <t>Totale proventi e oneri finanziari</t>
  </si>
  <si>
    <t>CE24</t>
  </si>
  <si>
    <t>CE25</t>
  </si>
  <si>
    <t>Utile (perdita) di esercizio</t>
  </si>
  <si>
    <t>Totale immobilizzazioni finanziarie</t>
  </si>
  <si>
    <t>INPUT</t>
  </si>
  <si>
    <t>a)</t>
  </si>
  <si>
    <t>SP14=SP23</t>
  </si>
  <si>
    <t>SP16=CE25</t>
  </si>
  <si>
    <t>b)</t>
  </si>
  <si>
    <t>c)</t>
  </si>
  <si>
    <t>(SP05-(SP02+SP03+SP04))&lt;=100</t>
  </si>
  <si>
    <t>d)</t>
  </si>
  <si>
    <t>(SP09-(SP07+SP08))&lt;=100</t>
  </si>
  <si>
    <t>e)</t>
  </si>
  <si>
    <t>(SP012-(SP06+SP09+SP10+SP11))&lt;=100</t>
  </si>
  <si>
    <t>(SP14-(SP01+SP05+SP12+SP13))&lt;=100</t>
  </si>
  <si>
    <t>f)</t>
  </si>
  <si>
    <t>g)</t>
  </si>
  <si>
    <t>(SP21-(SP19+SP20))&lt;=100</t>
  </si>
  <si>
    <t>h)</t>
  </si>
  <si>
    <t>(SP23-(SP15+SP17+SP18+SP21+SP22))&lt;=100</t>
  </si>
  <si>
    <t>di cui :utile (Perdita) di esercizio</t>
  </si>
  <si>
    <t>i)</t>
  </si>
  <si>
    <t>(CE18-(CE07+CE08+CE09+CE10+CE13+CE14+CE15+CE16+CE17))&lt;=100</t>
  </si>
  <si>
    <t>J)</t>
  </si>
  <si>
    <t>(CE23-(CE06-CE18+CE20+CE21+CE22))&lt;=100</t>
  </si>
  <si>
    <t>k)</t>
  </si>
  <si>
    <t>(CE25-(CE23-CE24))&lt;=100</t>
  </si>
  <si>
    <t>VARIABILE</t>
  </si>
  <si>
    <t>SIGLA</t>
  </si>
  <si>
    <t>DENOMINATORE (N)</t>
  </si>
  <si>
    <t>DENOMINATORE (D)</t>
  </si>
  <si>
    <t>FORMULA</t>
  </si>
  <si>
    <t>Debiti a breve /Fatturato</t>
  </si>
  <si>
    <t>V1</t>
  </si>
  <si>
    <t>V1=(N/D)</t>
  </si>
  <si>
    <t>V2</t>
  </si>
  <si>
    <t>V3</t>
  </si>
  <si>
    <t>V4</t>
  </si>
  <si>
    <t>V5</t>
  </si>
  <si>
    <t>V6</t>
  </si>
  <si>
    <t>V7</t>
  </si>
  <si>
    <t>V8</t>
  </si>
  <si>
    <t>Valore</t>
  </si>
  <si>
    <t>Oneri Finanziari / MOL</t>
  </si>
  <si>
    <t>CE06-CE18+CE13+CE15+CE16</t>
  </si>
  <si>
    <t>Costo dei mezzi di terzi</t>
  </si>
  <si>
    <t>V2=(N/D)</t>
  </si>
  <si>
    <t>V3=(N/D)</t>
  </si>
  <si>
    <t>V4=(N/D)</t>
  </si>
  <si>
    <t>V5=(N/D)</t>
  </si>
  <si>
    <t>V6=(N/D)</t>
  </si>
  <si>
    <t>V7=(N/D)</t>
  </si>
  <si>
    <t>V8=(N/D)</t>
  </si>
  <si>
    <t>Liquidità / Fatturato</t>
  </si>
  <si>
    <t>Rotazione Magazzino</t>
  </si>
  <si>
    <t>CE T</t>
  </si>
  <si>
    <t>CE T-1</t>
  </si>
  <si>
    <t>SP T</t>
  </si>
  <si>
    <t>SP T-1</t>
  </si>
  <si>
    <t>Variazione % Fatturato</t>
  </si>
  <si>
    <t>CE01 (t) - CE01 ( t-1)</t>
  </si>
  <si>
    <t>CE01 t-1</t>
  </si>
  <si>
    <t>Indice di autonomia finanziaria</t>
  </si>
  <si>
    <t>SP15 - SP01</t>
  </si>
  <si>
    <t>SP23 - SP01</t>
  </si>
  <si>
    <t>Indice di Indebitamento</t>
  </si>
  <si>
    <t>SP05 - SP08</t>
  </si>
  <si>
    <t>D1</t>
  </si>
  <si>
    <t>D2</t>
  </si>
  <si>
    <t>D3</t>
  </si>
  <si>
    <t>D4</t>
  </si>
  <si>
    <t>D5</t>
  </si>
  <si>
    <t>D6</t>
  </si>
  <si>
    <t>D7</t>
  </si>
  <si>
    <t>Oneri Finanziari /MOL (parte negativa)</t>
  </si>
  <si>
    <t>MOL negativo</t>
  </si>
  <si>
    <t>Variazione % Fatturato Negativa</t>
  </si>
  <si>
    <t>Fascai Fatturato</t>
  </si>
  <si>
    <t>Debiti a breve/Fatturato x Fascia Fatturato</t>
  </si>
  <si>
    <t>Costo dei mezzi di terzi x Fascia Fatturato</t>
  </si>
  <si>
    <t>Liquidità/Fatturato x Fascia Fatturato</t>
  </si>
  <si>
    <t>Industria</t>
  </si>
  <si>
    <t>Edilizia</t>
  </si>
  <si>
    <t>Totale debiti/VDP</t>
  </si>
  <si>
    <t>V9</t>
  </si>
  <si>
    <t>V9=(N/D)</t>
  </si>
  <si>
    <t>Incidenza del Passivo Corrente</t>
  </si>
  <si>
    <t>V10</t>
  </si>
  <si>
    <t>SP 19 + SP22</t>
  </si>
  <si>
    <t>SP23-SP01</t>
  </si>
  <si>
    <t>V10=(N/D)</t>
  </si>
  <si>
    <t>Risultato netto/VDP</t>
  </si>
  <si>
    <t>V11</t>
  </si>
  <si>
    <t>V11=(N/D)</t>
  </si>
  <si>
    <t>Copertura Immobilizzazioni con Patrimonio Netto</t>
  </si>
  <si>
    <t>V12</t>
  </si>
  <si>
    <t>SP05 +  SP08</t>
  </si>
  <si>
    <t>V12=(N/D)</t>
  </si>
  <si>
    <t>Variazione % Valore Produzione</t>
  </si>
  <si>
    <t>V13</t>
  </si>
  <si>
    <t>CE06 (t) - CE06 ( t-1)</t>
  </si>
  <si>
    <t>CE06 t-1</t>
  </si>
  <si>
    <t>MOL/Oneri finanziari + Totale Debiti</t>
  </si>
  <si>
    <t>V14</t>
  </si>
  <si>
    <t>CE 19 + SP21</t>
  </si>
  <si>
    <t>V13=(N/D)</t>
  </si>
  <si>
    <t>V14=(N/D)</t>
  </si>
  <si>
    <t>Commercio</t>
  </si>
  <si>
    <t>Quick Ratio</t>
  </si>
  <si>
    <t>V15</t>
  </si>
  <si>
    <t>SP11 + SP07 + SP10</t>
  </si>
  <si>
    <t>SP19 + SP22</t>
  </si>
  <si>
    <t>V15=(N/D)</t>
  </si>
  <si>
    <t>Turnover</t>
  </si>
  <si>
    <t>V16</t>
  </si>
  <si>
    <t>SP14 - SP01</t>
  </si>
  <si>
    <t>V16=(N/D)</t>
  </si>
  <si>
    <t>Immobiliare</t>
  </si>
  <si>
    <t>MON/Totale Debiti</t>
  </si>
  <si>
    <t>V17</t>
  </si>
  <si>
    <t>CE06-CE18</t>
  </si>
  <si>
    <t>V17=(N/D)</t>
  </si>
  <si>
    <t>Oneri Finanziari / Valore della Produzione</t>
  </si>
  <si>
    <t>V18</t>
  </si>
  <si>
    <t>V18=(N/D)</t>
  </si>
  <si>
    <t>Incidenza Debito</t>
  </si>
  <si>
    <t>V19</t>
  </si>
  <si>
    <t>V19=(N/D)</t>
  </si>
  <si>
    <t>Patrimonio Netto/Fatturato</t>
  </si>
  <si>
    <t>V20</t>
  </si>
  <si>
    <t>V20=(N/D)</t>
  </si>
  <si>
    <t>Rotazione attivo circolante VDP</t>
  </si>
  <si>
    <t>V21</t>
  </si>
  <si>
    <t>V21=(N/D)</t>
  </si>
  <si>
    <t>Servizi</t>
  </si>
  <si>
    <t>V2A</t>
  </si>
  <si>
    <t>Variabile (Xi)</t>
  </si>
  <si>
    <t>Coefficiente (bi)</t>
  </si>
  <si>
    <t>Val. Variabile (Xi)</t>
  </si>
  <si>
    <t>Costante</t>
  </si>
  <si>
    <t>VALUTAZIONE</t>
  </si>
  <si>
    <t>SCORE MAX</t>
  </si>
  <si>
    <t>SCORE MIN</t>
  </si>
  <si>
    <t>CLASSE DI VALUTAZIONE</t>
  </si>
  <si>
    <t>F11</t>
  </si>
  <si>
    <t>F1</t>
  </si>
  <si>
    <t>F8</t>
  </si>
  <si>
    <t>F7</t>
  </si>
  <si>
    <t>F6</t>
  </si>
  <si>
    <t>F5</t>
  </si>
  <si>
    <t>F4</t>
  </si>
  <si>
    <t>F3</t>
  </si>
  <si>
    <t>F2</t>
  </si>
  <si>
    <t>F9</t>
  </si>
  <si>
    <t>F10</t>
  </si>
  <si>
    <t>D8</t>
  </si>
  <si>
    <t>D9</t>
  </si>
  <si>
    <t>Variazione % Valore della Produzione Negativa</t>
  </si>
  <si>
    <t>Totale debiti / VDP  x Fascia Fatturato</t>
  </si>
  <si>
    <t>Indice di Autonomia</t>
  </si>
  <si>
    <t>D10</t>
  </si>
  <si>
    <t>Turnover x Fascia Fatturato</t>
  </si>
  <si>
    <t>D11</t>
  </si>
  <si>
    <t>D12</t>
  </si>
  <si>
    <t>Patrimonio Netto Negativo</t>
  </si>
  <si>
    <t>SOCIETA' DI CAPITALI - SETTORE INDUSTRIA</t>
  </si>
  <si>
    <t>SOCIETA' DI CAPITALI - SETTORE EDILIZIA</t>
  </si>
  <si>
    <t>SOCIETA' DI CAPITALI - SETTORE COMMERCIO</t>
  </si>
  <si>
    <t>SOCIETA' DI CAPITALI - SETTORE IMMOBILIARE</t>
  </si>
  <si>
    <t>SOCIETA' DI CAPITALI - SETTORE SERVIZI</t>
  </si>
  <si>
    <t>MODULO FINANZIARIO</t>
  </si>
  <si>
    <t>SDC</t>
  </si>
  <si>
    <t>UN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</si>
  <si>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</si>
  <si>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</si>
  <si>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</si>
  <si>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</si>
  <si>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</si>
  <si>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</si>
  <si>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</si>
  <si>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</si>
  <si>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</si>
  <si>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</si>
  <si>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</si>
  <si>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MOSULO ANDAMENTALE</t>
  </si>
  <si>
    <t xml:space="preserve"> </t>
  </si>
  <si>
    <t xml:space="preserve">CERVED </t>
  </si>
  <si>
    <t xml:space="preserve">CRIF </t>
  </si>
  <si>
    <t xml:space="preserve">RATEALI </t>
  </si>
  <si>
    <t>CB01 N contratti perfezionati</t>
  </si>
  <si>
    <t xml:space="preserve">CB02 N contratti non perfezionati </t>
  </si>
  <si>
    <t xml:space="preserve">CB20 N contratti rifiutati </t>
  </si>
  <si>
    <t xml:space="preserve">CB19 N contratti richiesti </t>
  </si>
  <si>
    <t xml:space="preserve">CB03 N contratti attivi </t>
  </si>
  <si>
    <t xml:space="preserve">CB21 N contratti attivi </t>
  </si>
  <si>
    <t xml:space="preserve">CB04 Importo rate mensilizzate </t>
  </si>
  <si>
    <t xml:space="preserve">CB22 N contratti estinti </t>
  </si>
  <si>
    <t xml:space="preserve">CB05 Importo rate residue </t>
  </si>
  <si>
    <t xml:space="preserve">CB23 Importo rate mensilizzate </t>
  </si>
  <si>
    <t xml:space="preserve">CB06 Importo rate scadute e non pagate </t>
  </si>
  <si>
    <t xml:space="preserve">CB24 Importo rate residue </t>
  </si>
  <si>
    <t xml:space="preserve">CB07 N contratti perfezionati </t>
  </si>
  <si>
    <t xml:space="preserve">CB26 N contratti richiesti </t>
  </si>
  <si>
    <t xml:space="preserve">CB08 N contratti non perfezionati </t>
  </si>
  <si>
    <t xml:space="preserve">CB27 N contratti rifiutati </t>
  </si>
  <si>
    <t xml:space="preserve">CB09 N contratti attivi </t>
  </si>
  <si>
    <t xml:space="preserve">CB28 N contratti attivi </t>
  </si>
  <si>
    <t xml:space="preserve">CB10 Importo accordato </t>
  </si>
  <si>
    <t xml:space="preserve">CB29 N contratti estinti </t>
  </si>
  <si>
    <t xml:space="preserve">CB11 Importo utilizzato </t>
  </si>
  <si>
    <t xml:space="preserve">CB30 Importo accordato </t>
  </si>
  <si>
    <t xml:space="preserve">CB12 Importo sconfinato </t>
  </si>
  <si>
    <t xml:space="preserve">CB31 Importo utilizzato </t>
  </si>
  <si>
    <t xml:space="preserve">CB13 N contratti perfezionati </t>
  </si>
  <si>
    <t xml:space="preserve">CB33 N contratti richiesti </t>
  </si>
  <si>
    <t xml:space="preserve">CARTE </t>
  </si>
  <si>
    <t xml:space="preserve">CB14 N contratti non perfezionati </t>
  </si>
  <si>
    <t xml:space="preserve">CB34 N contratti rifiutati </t>
  </si>
  <si>
    <t xml:space="preserve">CB15 N contratti attivi </t>
  </si>
  <si>
    <t xml:space="preserve">CB35 N contratti attivi </t>
  </si>
  <si>
    <t xml:space="preserve">CB16 Importo limite utilizzo2 </t>
  </si>
  <si>
    <t xml:space="preserve">CB36 N contratti estinti </t>
  </si>
  <si>
    <t xml:space="preserve">CB17 Importo rate residue </t>
  </si>
  <si>
    <t xml:space="preserve">CB37 Importo limite utilizzo3 </t>
  </si>
  <si>
    <t xml:space="preserve">CB25 Importo rate scadute e non pagate </t>
  </si>
  <si>
    <t xml:space="preserve">CB32 Importo sconfinato </t>
  </si>
  <si>
    <t xml:space="preserve">CB 18 Importo rate scadute e non pagate </t>
  </si>
  <si>
    <t xml:space="preserve">CB38 Importo rate residue </t>
  </si>
  <si>
    <t xml:space="preserve">CB39 Importo rate scadute e non pagate </t>
  </si>
  <si>
    <t xml:space="preserve">Nel caso non sia previsto un  limite di utilizzo, è necessario inserire un valore pari a zero. </t>
  </si>
  <si>
    <t xml:space="preserve">Nel caso non sia previsto un  limite di utilizzo , è necessario inserire un valore pari a zero. </t>
  </si>
  <si>
    <t xml:space="preserve">CAMPO </t>
  </si>
  <si>
    <t xml:space="preserve">Numero contratti perfezionati </t>
  </si>
  <si>
    <t xml:space="preserve">Numero contratti non perfezionati </t>
  </si>
  <si>
    <t xml:space="preserve">Numero contratti attivi </t>
  </si>
  <si>
    <t xml:space="preserve">Importo rate mensilizzate </t>
  </si>
  <si>
    <t xml:space="preserve">Importo rate scadute e non pagate </t>
  </si>
  <si>
    <t xml:space="preserve">VARIABILE </t>
  </si>
  <si>
    <t xml:space="preserve">FORMA TECNICA </t>
  </si>
  <si>
    <t>FORMA TECNICA</t>
  </si>
  <si>
    <t xml:space="preserve">Crif </t>
  </si>
  <si>
    <t xml:space="preserve">Cerved </t>
  </si>
  <si>
    <t xml:space="preserve">Rateali </t>
  </si>
  <si>
    <t xml:space="preserve">CB01 </t>
  </si>
  <si>
    <t xml:space="preserve">CB40 = CB21+CB22 </t>
  </si>
  <si>
    <t xml:space="preserve">CB02 </t>
  </si>
  <si>
    <t xml:space="preserve">CB41 = CB19 </t>
  </si>
  <si>
    <t xml:space="preserve">CB03 </t>
  </si>
  <si>
    <t xml:space="preserve">CB21 </t>
  </si>
  <si>
    <t xml:space="preserve">CB04 </t>
  </si>
  <si>
    <t xml:space="preserve">CB23 </t>
  </si>
  <si>
    <t xml:space="preserve">Importo rate residue </t>
  </si>
  <si>
    <t xml:space="preserve">CB05 </t>
  </si>
  <si>
    <t xml:space="preserve">CB24 </t>
  </si>
  <si>
    <t xml:space="preserve">CB06 </t>
  </si>
  <si>
    <t xml:space="preserve">CB25 </t>
  </si>
  <si>
    <t xml:space="preserve">Non rateali </t>
  </si>
  <si>
    <t xml:space="preserve">CB07 </t>
  </si>
  <si>
    <t xml:space="preserve">CB42 = CB28+CB29 </t>
  </si>
  <si>
    <t xml:space="preserve">CB08 </t>
  </si>
  <si>
    <t xml:space="preserve">CB43 = CB26 </t>
  </si>
  <si>
    <t xml:space="preserve">CB09 </t>
  </si>
  <si>
    <t xml:space="preserve">CB28 </t>
  </si>
  <si>
    <t xml:space="preserve">Importo accordato </t>
  </si>
  <si>
    <t xml:space="preserve">CB10 </t>
  </si>
  <si>
    <t xml:space="preserve">CB30 </t>
  </si>
  <si>
    <t xml:space="preserve">Importo utilizzato </t>
  </si>
  <si>
    <t xml:space="preserve">CB11 </t>
  </si>
  <si>
    <t xml:space="preserve">CB31 </t>
  </si>
  <si>
    <t xml:space="preserve">Importo sconfinato </t>
  </si>
  <si>
    <t xml:space="preserve">CB12 </t>
  </si>
  <si>
    <t xml:space="preserve">CB32 </t>
  </si>
  <si>
    <t xml:space="preserve">CB02  </t>
  </si>
  <si>
    <t>CB41 = CB19</t>
  </si>
  <si>
    <t xml:space="preserve">CB05  </t>
  </si>
  <si>
    <t>CB24</t>
  </si>
  <si>
    <t xml:space="preserve">Non rateali  </t>
  </si>
  <si>
    <t>CB43 = CB26</t>
  </si>
  <si>
    <t xml:space="preserve">Carte </t>
  </si>
  <si>
    <t xml:space="preserve">CB13 </t>
  </si>
  <si>
    <t xml:space="preserve">CB44 = CB35+CB36 </t>
  </si>
  <si>
    <t xml:space="preserve">CB14 </t>
  </si>
  <si>
    <t xml:space="preserve">CB45 = CB33 </t>
  </si>
  <si>
    <t xml:space="preserve">CB15 </t>
  </si>
  <si>
    <t xml:space="preserve">CB35 </t>
  </si>
  <si>
    <t xml:space="preserve">Importo limite utilizzo </t>
  </si>
  <si>
    <t xml:space="preserve">CB16 </t>
  </si>
  <si>
    <t xml:space="preserve">CB37 </t>
  </si>
  <si>
    <t xml:space="preserve">CB17 </t>
  </si>
  <si>
    <t xml:space="preserve">CB38 </t>
  </si>
  <si>
    <t xml:space="preserve">CB18 </t>
  </si>
  <si>
    <t xml:space="preserve">CB39 </t>
  </si>
  <si>
    <t xml:space="preserve">Variabili discriminanti modulo andamentale Credit Bureau </t>
  </si>
  <si>
    <t xml:space="preserve">Numeratore (N) </t>
  </si>
  <si>
    <t xml:space="preserve">Denominatore (D) </t>
  </si>
  <si>
    <t xml:space="preserve">FORMULA </t>
  </si>
  <si>
    <t xml:space="preserve">PROVIDER </t>
  </si>
  <si>
    <t xml:space="preserve">SIGLA </t>
  </si>
  <si>
    <t xml:space="preserve">sconf_norat </t>
  </si>
  <si>
    <t xml:space="preserve"> / </t>
  </si>
  <si>
    <t xml:space="preserve">/ </t>
  </si>
  <si>
    <t xml:space="preserve">A1 = CB12 </t>
  </si>
  <si>
    <t>quotascad_rat</t>
  </si>
  <si>
    <t xml:space="preserve">A2 = (N / D) </t>
  </si>
  <si>
    <t>quotascad_car</t>
  </si>
  <si>
    <t xml:space="preserve">CB46 </t>
  </si>
  <si>
    <t xml:space="preserve">CB47 </t>
  </si>
  <si>
    <t xml:space="preserve">A3 = (N / D) </t>
  </si>
  <si>
    <t xml:space="preserve">uti_acc_norat </t>
  </si>
  <si>
    <t xml:space="preserve">A4 </t>
  </si>
  <si>
    <t xml:space="preserve">A4 = (N / D) </t>
  </si>
  <si>
    <t>B1</t>
  </si>
  <si>
    <t>/</t>
  </si>
  <si>
    <t xml:space="preserve">A2 </t>
  </si>
  <si>
    <t xml:space="preserve">A3 </t>
  </si>
  <si>
    <t xml:space="preserve">quotascad_rat </t>
  </si>
  <si>
    <t xml:space="preserve">B2 </t>
  </si>
  <si>
    <t xml:space="preserve">CB48 </t>
  </si>
  <si>
    <t xml:space="preserve">B2 = (N / D) </t>
  </si>
  <si>
    <t xml:space="preserve">quotascad_car </t>
  </si>
  <si>
    <t xml:space="preserve">B3 </t>
  </si>
  <si>
    <t xml:space="preserve">CB49 </t>
  </si>
  <si>
    <t xml:space="preserve">B3 = (N / D) </t>
  </si>
  <si>
    <t xml:space="preserve">B1 = CB32 </t>
  </si>
  <si>
    <t xml:space="preserve">uti_acc_nrorat </t>
  </si>
  <si>
    <t xml:space="preserve">B4 </t>
  </si>
  <si>
    <t xml:space="preserve">B4 = (N / D) </t>
  </si>
  <si>
    <t>VALORE</t>
  </si>
  <si>
    <t xml:space="preserve">CB46 = CB05+CB06 </t>
  </si>
  <si>
    <t xml:space="preserve">totrate_rat </t>
  </si>
  <si>
    <t xml:space="preserve">totrate_car </t>
  </si>
  <si>
    <t xml:space="preserve">CB47 = CB17+CB18 </t>
  </si>
  <si>
    <t>totrate_rat</t>
  </si>
  <si>
    <t xml:space="preserve">CB48 = CB24+CB25 </t>
  </si>
  <si>
    <t xml:space="preserve">CB49 = CB38+CB39 </t>
  </si>
  <si>
    <t xml:space="preserve">DA1 = 0 if A1 ≤ 0   </t>
  </si>
  <si>
    <t xml:space="preserve">DA1 = 1 if A1 &gt; 0 </t>
  </si>
  <si>
    <t xml:space="preserve">DA2 = 0 if A2 ≤ 0   </t>
  </si>
  <si>
    <t xml:space="preserve">DA2 = 1 if A2 &gt; 0 </t>
  </si>
  <si>
    <t xml:space="preserve">DA3 = 0 if A3 ≤ 0   </t>
  </si>
  <si>
    <t xml:space="preserve">DA3 = 1 if A3 &gt; 0 </t>
  </si>
  <si>
    <t xml:space="preserve">DB1 = 0 if B1 ≤ 0   </t>
  </si>
  <si>
    <t xml:space="preserve">DB1 = 1 if B1 &gt; 0 </t>
  </si>
  <si>
    <t xml:space="preserve">DB2 = 0 if B2 ≤ 0   </t>
  </si>
  <si>
    <t xml:space="preserve">DB2 = 1 if B2 &gt; 0 </t>
  </si>
  <si>
    <t xml:space="preserve">DB3 = 0 if B3 ≤ 0   </t>
  </si>
  <si>
    <t xml:space="preserve">DB3 = 1 if B3 &gt; 0 </t>
  </si>
  <si>
    <t xml:space="preserve">Dsconf_norat </t>
  </si>
  <si>
    <t xml:space="preserve">DA1 </t>
  </si>
  <si>
    <t xml:space="preserve">Dquotascad_rat </t>
  </si>
  <si>
    <t xml:space="preserve">DA2 </t>
  </si>
  <si>
    <t xml:space="preserve">Dquotascad_car </t>
  </si>
  <si>
    <t xml:space="preserve">DA3 </t>
  </si>
  <si>
    <t xml:space="preserve">DB1 </t>
  </si>
  <si>
    <t xml:space="preserve">DB2 </t>
  </si>
  <si>
    <t xml:space="preserve">DB3 </t>
  </si>
  <si>
    <t xml:space="preserve">SOCIETA DI CAPITALI - CRIF </t>
  </si>
  <si>
    <t xml:space="preserve">Variabile (xi) </t>
  </si>
  <si>
    <t xml:space="preserve">Coefficiente (bi)  </t>
  </si>
  <si>
    <t xml:space="preserve"> A4* </t>
  </si>
  <si>
    <t xml:space="preserve">Costante </t>
  </si>
  <si>
    <t xml:space="preserve">SOCIETA DI CAPITALI - CERVED </t>
  </si>
  <si>
    <t xml:space="preserve">B4* </t>
  </si>
  <si>
    <t>C4</t>
  </si>
  <si>
    <t>C3</t>
  </si>
  <si>
    <t>C1</t>
  </si>
  <si>
    <t>SIC11</t>
  </si>
  <si>
    <t>SIC10</t>
  </si>
  <si>
    <t>SIC9</t>
  </si>
  <si>
    <t>SIC8</t>
  </si>
  <si>
    <t>SIC7</t>
  </si>
  <si>
    <t>SIC6</t>
  </si>
  <si>
    <t>SIC5</t>
  </si>
  <si>
    <t>SIC4</t>
  </si>
  <si>
    <t>SIC3</t>
  </si>
  <si>
    <t>SIC2</t>
  </si>
  <si>
    <t>SIC1</t>
  </si>
  <si>
    <t xml:space="preserve">CENTRALE RISCHI </t>
  </si>
  <si>
    <t xml:space="preserve"> TOTALE PER CASSA </t>
  </si>
  <si>
    <t xml:space="preserve">RISCHI A SCADENZA </t>
  </si>
  <si>
    <t xml:space="preserve">SOFFERENZE </t>
  </si>
  <si>
    <t>t-1</t>
  </si>
  <si>
    <t>t-2</t>
  </si>
  <si>
    <t>t-3</t>
  </si>
  <si>
    <t>t-4</t>
  </si>
  <si>
    <t>t-5</t>
  </si>
  <si>
    <t>t-6</t>
  </si>
  <si>
    <t>Accordato</t>
  </si>
  <si>
    <t>Utilizzato</t>
  </si>
  <si>
    <t>CR01</t>
  </si>
  <si>
    <t>CR02</t>
  </si>
  <si>
    <t>CR03</t>
  </si>
  <si>
    <t>CR04</t>
  </si>
  <si>
    <t>CR05</t>
  </si>
  <si>
    <t>CR06</t>
  </si>
  <si>
    <t>CR07</t>
  </si>
  <si>
    <t>CR08</t>
  </si>
  <si>
    <t>CR09</t>
  </si>
  <si>
    <t>CR10</t>
  </si>
  <si>
    <t>CR11</t>
  </si>
  <si>
    <t>CR12</t>
  </si>
  <si>
    <t>CR13</t>
  </si>
  <si>
    <t>CR14</t>
  </si>
  <si>
    <t>CR15</t>
  </si>
  <si>
    <t>CR16</t>
  </si>
  <si>
    <t>CR17</t>
  </si>
  <si>
    <t>CR18</t>
  </si>
  <si>
    <t>CR19</t>
  </si>
  <si>
    <t>CR20</t>
  </si>
  <si>
    <t>CR21</t>
  </si>
  <si>
    <t>CR22</t>
  </si>
  <si>
    <t>CR23</t>
  </si>
  <si>
    <t>CR24</t>
  </si>
  <si>
    <t>S1</t>
  </si>
  <si>
    <t>S2</t>
  </si>
  <si>
    <t>S3</t>
  </si>
  <si>
    <t>S4</t>
  </si>
  <si>
    <t>S5</t>
  </si>
  <si>
    <t>S6</t>
  </si>
  <si>
    <t xml:space="preserve">uti_autrev_t-1 </t>
  </si>
  <si>
    <t xml:space="preserve">Rischi autoliquidanti e a revoca </t>
  </si>
  <si>
    <t xml:space="preserve">uti_autrev_t-2 </t>
  </si>
  <si>
    <t xml:space="preserve">uti_autrev_t-3 </t>
  </si>
  <si>
    <t xml:space="preserve">uti_autrev_t-4 </t>
  </si>
  <si>
    <t xml:space="preserve">uti_autrev_t-5 </t>
  </si>
  <si>
    <t xml:space="preserve">uti_autrev_t-6 </t>
  </si>
  <si>
    <t xml:space="preserve">acc_autrev_t-1 </t>
  </si>
  <si>
    <t xml:space="preserve">acc_autrev_t-2 </t>
  </si>
  <si>
    <t xml:space="preserve">CR25 </t>
  </si>
  <si>
    <t xml:space="preserve">CR25=CR07-CR19 </t>
  </si>
  <si>
    <t xml:space="preserve">CR26 </t>
  </si>
  <si>
    <t xml:space="preserve">CR26=CR08-CR20 </t>
  </si>
  <si>
    <t xml:space="preserve">CR27  </t>
  </si>
  <si>
    <t>CR27=CR09-CR21</t>
  </si>
  <si>
    <t xml:space="preserve">CR28 </t>
  </si>
  <si>
    <t xml:space="preserve">CR28=CR10-CR22 </t>
  </si>
  <si>
    <t xml:space="preserve">CR29 </t>
  </si>
  <si>
    <t xml:space="preserve">CR29=CR11-CR23 </t>
  </si>
  <si>
    <t xml:space="preserve">CR30 </t>
  </si>
  <si>
    <t xml:space="preserve">CR30=CR12-CR24 </t>
  </si>
  <si>
    <t xml:space="preserve">CR31 </t>
  </si>
  <si>
    <t xml:space="preserve">CR31=CR01-CR13 </t>
  </si>
  <si>
    <t xml:space="preserve">CR32 </t>
  </si>
  <si>
    <t xml:space="preserve">CR32=CR02-CR14 </t>
  </si>
  <si>
    <t xml:space="preserve">acc_autrev_t-3 </t>
  </si>
  <si>
    <t xml:space="preserve">acc_autrev_t-4 </t>
  </si>
  <si>
    <t xml:space="preserve">acc_autrev_t-5 </t>
  </si>
  <si>
    <t xml:space="preserve">acc_autrev_t-6 </t>
  </si>
  <si>
    <t xml:space="preserve">totuti_autrev </t>
  </si>
  <si>
    <t xml:space="preserve">CR37 </t>
  </si>
  <si>
    <t xml:space="preserve">CR37=CR25+CR26+CR27+CR28+CR29 +CR30 </t>
  </si>
  <si>
    <t xml:space="preserve">totacc_autrev </t>
  </si>
  <si>
    <t xml:space="preserve">CR38 </t>
  </si>
  <si>
    <t xml:space="preserve">CR38=CR31+CR32+CR33+CR34+CR35 +CR36 </t>
  </si>
  <si>
    <t xml:space="preserve">CR39 = CR07-CR01 if CR07&gt;CR01 else CR39=0 </t>
  </si>
  <si>
    <t xml:space="preserve">CR40 = CR08-CR02 if CR08&gt;CR02 else CR40=0 </t>
  </si>
  <si>
    <t xml:space="preserve">CR41 = CR09-CR03 if CR09&gt;CR03 else CR41=0 </t>
  </si>
  <si>
    <t xml:space="preserve">CR42 = CR10-CR04 if CR10&gt;CR04 else CR42=0 </t>
  </si>
  <si>
    <t xml:space="preserve">CR43 = CR11-CR05 if CR11&gt;CR05 else CR43=0 </t>
  </si>
  <si>
    <t xml:space="preserve">CR33 </t>
  </si>
  <si>
    <t xml:space="preserve">CR33=CR03-CR15 </t>
  </si>
  <si>
    <t xml:space="preserve">CR34 </t>
  </si>
  <si>
    <t xml:space="preserve">CR34=CR04-CR16 </t>
  </si>
  <si>
    <t xml:space="preserve">CR35 </t>
  </si>
  <si>
    <t xml:space="preserve">CR35=CR05-CR17 </t>
  </si>
  <si>
    <t xml:space="preserve">CR36  </t>
  </si>
  <si>
    <t>CR36=CR06-CR18</t>
  </si>
  <si>
    <t xml:space="preserve">Sconfino_t-1 </t>
  </si>
  <si>
    <t xml:space="preserve">Cassa </t>
  </si>
  <si>
    <t xml:space="preserve">CR39 </t>
  </si>
  <si>
    <t xml:space="preserve">Sconfino_t-2 </t>
  </si>
  <si>
    <t xml:space="preserve">CR40 </t>
  </si>
  <si>
    <t xml:space="preserve">Sconfino_t-3 </t>
  </si>
  <si>
    <t xml:space="preserve">CR41 </t>
  </si>
  <si>
    <t xml:space="preserve">Sconfino_t-4  </t>
  </si>
  <si>
    <t>CR42</t>
  </si>
  <si>
    <t xml:space="preserve">Sconfino_t-5 </t>
  </si>
  <si>
    <t xml:space="preserve">CR43 </t>
  </si>
  <si>
    <t xml:space="preserve">CR44 = CR12-CR06 if CR12&gt;CR06 else CR44=0 </t>
  </si>
  <si>
    <t xml:space="preserve">Sconfino_scadenza_ t-1 </t>
  </si>
  <si>
    <t xml:space="preserve">Rischi a scadenza </t>
  </si>
  <si>
    <t xml:space="preserve">CR45 </t>
  </si>
  <si>
    <t xml:space="preserve">CR45 = CR19-CR13 if CR19&gt;CR13 else CR45=0 </t>
  </si>
  <si>
    <t xml:space="preserve">Sconfino_scadenza_ t-2 </t>
  </si>
  <si>
    <t xml:space="preserve">CR46 </t>
  </si>
  <si>
    <t xml:space="preserve">CR46 = CR20-CR14 if CR20&gt;CR14 else CR46=0 </t>
  </si>
  <si>
    <t xml:space="preserve">Sconfino_scadenza_ t-3 </t>
  </si>
  <si>
    <t xml:space="preserve">CR47 </t>
  </si>
  <si>
    <t xml:space="preserve">CR47 = CR21-CR15 if CR21&gt;CR15 else CR47=0 </t>
  </si>
  <si>
    <t xml:space="preserve">Sconfino_scadenza_ t-4 </t>
  </si>
  <si>
    <t xml:space="preserve">CR48 </t>
  </si>
  <si>
    <t xml:space="preserve">CR48 = CR22-CR16 if CR22&gt;CR16 else CR48=0 </t>
  </si>
  <si>
    <t xml:space="preserve">Sconfino_scadenza_ t-5 </t>
  </si>
  <si>
    <t xml:space="preserve">CR49 </t>
  </si>
  <si>
    <t xml:space="preserve">CR49 = CR23-CR17 if CR23&gt;CR17 else CR49=0 </t>
  </si>
  <si>
    <t xml:space="preserve">Sconfino_scadenza_ t-6 </t>
  </si>
  <si>
    <t xml:space="preserve">CR50 </t>
  </si>
  <si>
    <t xml:space="preserve">CR50 = CR24-CR18 if CR24&gt;CR18 else CR50=0 </t>
  </si>
  <si>
    <t xml:space="preserve">Totale accordato per cassa </t>
  </si>
  <si>
    <t xml:space="preserve">Sconfino_t-6 </t>
  </si>
  <si>
    <t xml:space="preserve">CR44 </t>
  </si>
  <si>
    <t xml:space="preserve">mvuti_t-1 </t>
  </si>
  <si>
    <t xml:space="preserve">CR51 = 1 if missing CR07 else CR51=0 </t>
  </si>
  <si>
    <t xml:space="preserve">CR51 </t>
  </si>
  <si>
    <t xml:space="preserve">mvuti_t-2 </t>
  </si>
  <si>
    <t xml:space="preserve">CR52 </t>
  </si>
  <si>
    <t xml:space="preserve">CR52 = 1 if missing CR08 else CR52=0 </t>
  </si>
  <si>
    <t>mvuti_t-3</t>
  </si>
  <si>
    <t>CR53</t>
  </si>
  <si>
    <t xml:space="preserve">CR53 = 1 if missing CR09 else CR53=0 </t>
  </si>
  <si>
    <t>mvuti_t-4</t>
  </si>
  <si>
    <t>CR54</t>
  </si>
  <si>
    <t xml:space="preserve">CR54 = 1 if missing CR10 else CR54=0 </t>
  </si>
  <si>
    <t>mvuti_t-5</t>
  </si>
  <si>
    <t>CR55</t>
  </si>
  <si>
    <t xml:space="preserve">CR55 = 1 if missing CR11 else CR55=0 </t>
  </si>
  <si>
    <t>mvuti_t-6</t>
  </si>
  <si>
    <t>CR56</t>
  </si>
  <si>
    <t xml:space="preserve">CR56 = 1 if missing CR12 else CR56=0 </t>
  </si>
  <si>
    <t>CR57</t>
  </si>
  <si>
    <t xml:space="preserve">Totale utilizzato per cassa </t>
  </si>
  <si>
    <t xml:space="preserve">CR58 = CR07+CR08+CR09+CR10+CR11+CR12 </t>
  </si>
  <si>
    <t xml:space="preserve">Totale accordato scadenza </t>
  </si>
  <si>
    <t xml:space="preserve">CR59 = CR13+CR14+CR15+CR16+CR17+CR18 </t>
  </si>
  <si>
    <t xml:space="preserve">Totale utilizzato scadenza </t>
  </si>
  <si>
    <t xml:space="preserve">CR60 </t>
  </si>
  <si>
    <t xml:space="preserve">CR60 = CR19+CR20+CR21+CR22+CR23+CR24 </t>
  </si>
  <si>
    <t xml:space="preserve">Dsconf_scad_t-1 </t>
  </si>
  <si>
    <t xml:space="preserve">Dsconf_scad_t-2 </t>
  </si>
  <si>
    <t xml:space="preserve">Dsconf_scad_t-3 </t>
  </si>
  <si>
    <t>CR58</t>
  </si>
  <si>
    <t>CR59</t>
  </si>
  <si>
    <t xml:space="preserve">Dsconf_t-1 </t>
  </si>
  <si>
    <t xml:space="preserve">CR61 </t>
  </si>
  <si>
    <t xml:space="preserve">CR61=1 if CR39&gt;0, else CR61=0 </t>
  </si>
  <si>
    <t>Dsconf_t-2</t>
  </si>
  <si>
    <t>CR62</t>
  </si>
  <si>
    <t>CR61=1 if CR40&gt;0, else CR62=0</t>
  </si>
  <si>
    <t>Dsconf_t-3</t>
  </si>
  <si>
    <t>CR63</t>
  </si>
  <si>
    <t xml:space="preserve">CR63=1 if CR41&gt;0, else CR63=0 </t>
  </si>
  <si>
    <t>Dsconf_t-4</t>
  </si>
  <si>
    <t>CR64</t>
  </si>
  <si>
    <t xml:space="preserve">CR64=1 if CR42&gt;0, else CR64=0 </t>
  </si>
  <si>
    <t>Dsconf_t-5</t>
  </si>
  <si>
    <t>CR65</t>
  </si>
  <si>
    <t xml:space="preserve">CR65=1 if CR43&gt;0, else CR65=0 </t>
  </si>
  <si>
    <t>Dsconf_t-6</t>
  </si>
  <si>
    <t>CR66</t>
  </si>
  <si>
    <t xml:space="preserve">CR66=1 if CR44&gt;0, else CR66=0 </t>
  </si>
  <si>
    <t>CR67</t>
  </si>
  <si>
    <t xml:space="preserve">CR67=1 if CR45&gt;0, else CR67=0 </t>
  </si>
  <si>
    <t>CR68</t>
  </si>
  <si>
    <t xml:space="preserve">CR68=1 if CR46&gt;0, else CR68=0 </t>
  </si>
  <si>
    <t>CR69</t>
  </si>
  <si>
    <t xml:space="preserve">CR69=1 if CR47&gt;0, else CR69=0 </t>
  </si>
  <si>
    <t>Dsconf_scad_t-4</t>
  </si>
  <si>
    <t>CR70</t>
  </si>
  <si>
    <t xml:space="preserve">CR70=1 if CR48&gt;0, else CR70=0 </t>
  </si>
  <si>
    <t>Dsconf_scad_t-5</t>
  </si>
  <si>
    <t>CR71</t>
  </si>
  <si>
    <t xml:space="preserve">CR71=1 if CR49&gt;0, else CR71=0 </t>
  </si>
  <si>
    <t>Dsconf_scad_t-6</t>
  </si>
  <si>
    <t>CR72</t>
  </si>
  <si>
    <t xml:space="preserve">CR72=1 if CR50&gt;0, else CR72=0 </t>
  </si>
  <si>
    <t>Calcoli</t>
  </si>
  <si>
    <t>CR57 = CR01+CR02+CR03+CR04+CR05+CR06</t>
  </si>
  <si>
    <t>ceck 1</t>
  </si>
  <si>
    <t>ceck 2</t>
  </si>
  <si>
    <t xml:space="preserve">C2 = CR61+CR62+C R63+CR64+CR 65+CR66 </t>
  </si>
  <si>
    <t xml:space="preserve">C3 = CR67+CR68+C R69+CR70+CR 71+CR72 </t>
  </si>
  <si>
    <t xml:space="preserve">C4 = CR51+CR52+C R53+CR54+CR 55+CR56 </t>
  </si>
  <si>
    <t xml:space="preserve">uti_acc_autrev </t>
  </si>
  <si>
    <t xml:space="preserve">C1 </t>
  </si>
  <si>
    <t xml:space="preserve">C1 = (N / D) </t>
  </si>
  <si>
    <t xml:space="preserve">mesisconf </t>
  </si>
  <si>
    <t xml:space="preserve">C2 </t>
  </si>
  <si>
    <t>mesisconf_scad</t>
  </si>
  <si>
    <t>mvtot6</t>
  </si>
  <si>
    <t>C1 *</t>
  </si>
  <si>
    <t xml:space="preserve">DC1 = C1* if C4 ≥ 4 </t>
  </si>
  <si>
    <t xml:space="preserve">DC1 = 0 if C4 &lt; 4 </t>
  </si>
  <si>
    <t xml:space="preserve">DC3 = 0 if C3 ≤ 0   </t>
  </si>
  <si>
    <t>DC3 = 1 if C3 &gt; 0</t>
  </si>
  <si>
    <t xml:space="preserve">DM_uti_acc_autrev </t>
  </si>
  <si>
    <t xml:space="preserve">DC1 </t>
  </si>
  <si>
    <t xml:space="preserve">Dsconf_scad </t>
  </si>
  <si>
    <t>DC3</t>
  </si>
  <si>
    <t>cr11</t>
  </si>
  <si>
    <t>cr10</t>
  </si>
  <si>
    <t>cr09</t>
  </si>
  <si>
    <t>cr08</t>
  </si>
  <si>
    <t>cr07</t>
  </si>
  <si>
    <t>cr06</t>
  </si>
  <si>
    <t>cr05</t>
  </si>
  <si>
    <t>cr04</t>
  </si>
  <si>
    <t>cr03</t>
  </si>
  <si>
    <t>cr02</t>
  </si>
  <si>
    <t>cr01</t>
  </si>
  <si>
    <t xml:space="preserve">𝑥𝑏𝐴𝑁𝐷 = </t>
  </si>
  <si>
    <t xml:space="preserve">dove: </t>
  </si>
  <si>
    <t xml:space="preserve">𝑥𝑏𝐴𝑁𝐷 = score modulo andamentale; </t>
  </si>
  <si>
    <t xml:space="preserve">𝑥𝑏𝐶𝑟𝑖𝑓 ∗ = score aggiustato modulo andamentale – Credit Bureau (Crif); </t>
  </si>
  <si>
    <t xml:space="preserve">𝑥𝑏𝐶𝑒𝑟𝑣𝑒𝑑 ∗ = score aggiustato modulo andamentale – Credit Bureau (Cerved); </t>
  </si>
  <si>
    <t xml:space="preserve">𝑥𝑏𝐶𝑅= score aggiustato modulo andamentale – Centrale Rischi; </t>
  </si>
  <si>
    <t xml:space="preserve">𝑝1 = 𝐶𝐵05 + 𝐶𝐵06 + 𝐶𝐵11 − 𝐶𝐵12 + 𝐶𝐵17 + 𝐶𝐵18  </t>
  </si>
  <si>
    <t xml:space="preserve">𝑝2 = 𝐶𝐵24 + 𝐶𝐵25 + 𝐶𝐵31 − 𝐶𝐵32 + 𝐶𝐵38 + 𝐶𝐵39  </t>
  </si>
  <si>
    <t>𝑝3 = (cr07)/1+(cr08)/2+(cr09)/3+(cr10)/4+(cr11)/5+(cr12)/6</t>
  </si>
  <si>
    <t>(𝑥𝑏𝐶𝑟𝑖𝑓 ∗ ∗𝑝1)+( 𝑥𝑏𝐶𝑒𝑟𝑣𝑒𝑑 ∗ ∗𝑝2)+(𝑥𝑏𝐶𝑅 ∗ ∗𝑝3) /(𝑝1+𝑝2+𝑝3  )</t>
  </si>
  <si>
    <t>A09</t>
  </si>
  <si>
    <t>A08</t>
  </si>
  <si>
    <t>A07</t>
  </si>
  <si>
    <t>A06</t>
  </si>
  <si>
    <t>A05</t>
  </si>
  <si>
    <t>A04</t>
  </si>
  <si>
    <t>A03</t>
  </si>
  <si>
    <t>A01</t>
  </si>
  <si>
    <t>CELLE VERDE INPUT</t>
  </si>
  <si>
    <t>Input Economico Finanziario</t>
  </si>
  <si>
    <t>Menu</t>
  </si>
  <si>
    <t>SETTORE</t>
  </si>
  <si>
    <t>Valutazione Modulo 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</si>
</sst>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_ ;[Red]\-#,##0.00\ "/>
    <numFmt numFmtId="165" formatCode="[$-410]d\-mmm\-yy"/>
    <numFmt numFmtId="166" formatCode="#,##0.0000_ ;[Red]\-#,##0.0000\ "/>
    <numFmt numFmtId="167" formatCode="#,##0_ ;[Red]\-#,##0\ "/>
    <numFmt numFmtId="168" formatCode="#,##0.0000000_ ;[Red]\-#,##0.0000000\ "/>
    <numFmt numFmtId="169" formatCode="#,##0.00000000_ ;[Red]\-#,##0.00000000\ "/>
    <numFmt numFmtId="170" formatCode="0_ ;[Red]\-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Verdana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164" fontId="3" fillId="2" borderId="2" xfId="0" applyNumberFormat="1" applyFont="1" applyFill="1" applyBorder="1" applyAlignment="1">
      <alignment horizontal="right"/>
    </xf>
    <xf numFmtId="0" fontId="4" fillId="3" borderId="0" xfId="0" applyFont="1" applyFill="1" applyAlignment="1">
      <alignment vertical="center"/>
    </xf>
    <xf numFmtId="165" fontId="5" fillId="3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left"/>
    </xf>
    <xf numFmtId="164" fontId="4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164" fontId="0" fillId="0" borderId="0" xfId="0" applyNumberFormat="1"/>
    <xf numFmtId="3" fontId="6" fillId="0" borderId="0" xfId="0" applyNumberFormat="1" applyFont="1"/>
    <xf numFmtId="0" fontId="4" fillId="3" borderId="3" xfId="0" applyFont="1" applyFill="1" applyBorder="1" applyAlignment="1">
      <alignment vertical="center"/>
    </xf>
    <xf numFmtId="4" fontId="6" fillId="0" borderId="3" xfId="0" applyNumberFormat="1" applyFont="1" applyBorder="1"/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166" fontId="3" fillId="7" borderId="5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68" fontId="3" fillId="2" borderId="7" xfId="0" applyNumberFormat="1" applyFont="1" applyFill="1" applyBorder="1" applyAlignment="1">
      <alignment horizontal="center"/>
    </xf>
    <xf numFmtId="169" fontId="3" fillId="2" borderId="7" xfId="0" applyNumberFormat="1" applyFont="1" applyFill="1" applyBorder="1" applyAlignment="1">
      <alignment horizontal="center"/>
    </xf>
    <xf numFmtId="169" fontId="3" fillId="2" borderId="4" xfId="0" applyNumberFormat="1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170" fontId="3" fillId="2" borderId="4" xfId="0" applyNumberFormat="1" applyFont="1" applyFill="1" applyBorder="1" applyAlignment="1">
      <alignment horizontal="center"/>
    </xf>
    <xf numFmtId="170" fontId="3" fillId="2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13" xfId="0" applyBorder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8" borderId="15" xfId="0" applyFill="1" applyBorder="1"/>
    <xf numFmtId="0" fontId="1" fillId="0" borderId="16" xfId="0" applyFont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8" borderId="28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 applyBorder="1" applyAlignment="1">
      <alignment wrapText="1"/>
    </xf>
    <xf numFmtId="0" fontId="10" fillId="0" borderId="0" xfId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4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1" fillId="0" borderId="0" xfId="0" applyFont="1" applyAlignment="1">
      <alignment horizontal="center"/>
    </xf>
    <xf numFmtId="166" fontId="3" fillId="2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 textRotation="90"/>
    </xf>
    <xf numFmtId="0" fontId="0" fillId="0" borderId="8" xfId="0" applyBorder="1" applyAlignment="1"/>
    <xf numFmtId="0" fontId="9" fillId="0" borderId="8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F2DE9-0DD3-450B-82B5-C8F928EB5CD0}">
  <dimension ref="C4:C6"/>
  <sheetViews>
    <sheetView showGridLines="0" tabSelected="1" workbookViewId="0"/>
  </sheetViews>
  <sheetFormatPr defaultRowHeight="14.4" x14ac:dyDescent="0.3"/>
  <cols>
    <col min="3" max="3" width="29.33203125" bestFit="1" customWidth="1"/>
  </cols>
  <sheetData>
    <row r="4" spans="3:3" x14ac:dyDescent="0.3">
      <c r="C4" s="52" t="s">
        <v>709</v>
      </c>
    </row>
    <row r="6" spans="3:3" x14ac:dyDescent="0.3">
      <c r="C6" s="52" t="s">
        <v>231</v>
      </c>
    </row>
  </sheetData>
  <hyperlinks>
    <hyperlink ref="C4" location="Input_Quant!A1" display="Input Economico Finanziario" xr:uid="{C8DEF70A-A82E-428A-BC16-887AC48EF386}"/>
    <hyperlink ref="C6" location="'Valutazione Finale'!A1" display="VALUTAZIONE" xr:uid="{C8B95D58-3261-4026-80EA-D39913003D0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E4C81-FEE3-4ACF-967B-FCE4C1FC9F7A}">
  <dimension ref="B1:E33"/>
  <sheetViews>
    <sheetView showGridLines="0" topLeftCell="A8" workbookViewId="0">
      <selection activeCell="B22" sqref="B22"/>
    </sheetView>
  </sheetViews>
  <sheetFormatPr defaultRowHeight="14.4" x14ac:dyDescent="0.3"/>
  <cols>
    <col min="2" max="2" width="12.5546875" bestFit="1" customWidth="1"/>
    <col min="3" max="3" width="15.33203125" bestFit="1" customWidth="1"/>
    <col min="4" max="4" width="21.5546875" bestFit="1" customWidth="1"/>
    <col min="5" max="5" width="12.6640625" bestFit="1" customWidth="1"/>
  </cols>
  <sheetData>
    <row r="1" spans="2:5" x14ac:dyDescent="0.3">
      <c r="B1" s="1" t="s">
        <v>260</v>
      </c>
    </row>
    <row r="3" spans="2:5" ht="15" thickBot="1" x14ac:dyDescent="0.35">
      <c r="B3" s="24" t="s">
        <v>227</v>
      </c>
      <c r="C3" s="24" t="s">
        <v>229</v>
      </c>
      <c r="D3" s="24" t="s">
        <v>228</v>
      </c>
      <c r="E3" s="24" t="s">
        <v>133</v>
      </c>
    </row>
    <row r="4" spans="2:5" ht="15" thickTop="1" x14ac:dyDescent="0.3">
      <c r="B4" s="13" t="s">
        <v>124</v>
      </c>
      <c r="C4" s="21">
        <f>+'Variabili Discriminanti'!O5</f>
        <v>1.0375269331031891</v>
      </c>
      <c r="D4" s="21">
        <v>0.42729299999999998</v>
      </c>
      <c r="E4" s="21">
        <f>+C4*D4</f>
        <v>0.44332799582646099</v>
      </c>
    </row>
    <row r="5" spans="2:5" x14ac:dyDescent="0.3">
      <c r="B5" s="13" t="s">
        <v>226</v>
      </c>
      <c r="C5" s="17">
        <f>+'Variabili Discriminanti'!O26</f>
        <v>6.9465089404695937E-2</v>
      </c>
      <c r="D5" s="17">
        <v>0.40051399999999998</v>
      </c>
      <c r="E5" s="17">
        <f t="shared" ref="E5:E14" si="0">+C5*D5</f>
        <v>2.7821740817832386E-2</v>
      </c>
    </row>
    <row r="6" spans="2:5" x14ac:dyDescent="0.3">
      <c r="B6" s="13" t="s">
        <v>214</v>
      </c>
      <c r="C6" s="17">
        <f>+'Variabili Discriminanti'!O22</f>
        <v>1.3532583422817164E-2</v>
      </c>
      <c r="D6" s="17">
        <v>29.881550000000001</v>
      </c>
      <c r="E6" s="17">
        <f t="shared" si="0"/>
        <v>0.40437456817808226</v>
      </c>
    </row>
    <row r="7" spans="2:5" x14ac:dyDescent="0.3">
      <c r="B7" s="13" t="s">
        <v>217</v>
      </c>
      <c r="C7" s="17">
        <f>+'Variabili Discriminanti'!O23</f>
        <v>3.3934285423832256</v>
      </c>
      <c r="D7" s="17">
        <v>3.1406999999999997E-2</v>
      </c>
      <c r="E7" s="17">
        <f t="shared" si="0"/>
        <v>0.10657741023062996</v>
      </c>
    </row>
    <row r="8" spans="2:5" x14ac:dyDescent="0.3">
      <c r="B8" s="13" t="s">
        <v>254</v>
      </c>
      <c r="C8" s="17">
        <f>+'Variabili Dicotomiche'!D15</f>
        <v>0</v>
      </c>
      <c r="D8" s="17">
        <v>0.54221399999999997</v>
      </c>
      <c r="E8" s="17">
        <f t="shared" si="0"/>
        <v>0</v>
      </c>
    </row>
    <row r="9" spans="2:5" x14ac:dyDescent="0.3">
      <c r="B9" s="13" t="s">
        <v>128</v>
      </c>
      <c r="C9" s="17">
        <f>+'Variabili Discriminanti'!O8</f>
        <v>0.16</v>
      </c>
      <c r="D9" s="17">
        <v>-7.4283130000000002</v>
      </c>
      <c r="E9" s="17">
        <f t="shared" si="0"/>
        <v>-1.18853008</v>
      </c>
    </row>
    <row r="10" spans="2:5" x14ac:dyDescent="0.3">
      <c r="B10" s="13" t="s">
        <v>130</v>
      </c>
      <c r="C10" s="17">
        <f>+'Variabili Discriminanti'!O10</f>
        <v>0.11383871129888654</v>
      </c>
      <c r="D10" s="17">
        <v>0.66898100000000005</v>
      </c>
      <c r="E10" s="17">
        <f t="shared" si="0"/>
        <v>7.6155934923440416E-2</v>
      </c>
    </row>
    <row r="11" spans="2:5" x14ac:dyDescent="0.3">
      <c r="B11" s="13" t="s">
        <v>160</v>
      </c>
      <c r="C11" s="17">
        <f>+'Variabili Dicotomiche'!D6</f>
        <v>0</v>
      </c>
      <c r="D11" s="17">
        <v>-1.558519</v>
      </c>
      <c r="E11" s="17">
        <f t="shared" si="0"/>
        <v>0</v>
      </c>
    </row>
    <row r="12" spans="2:5" x14ac:dyDescent="0.3">
      <c r="B12" s="13" t="s">
        <v>178</v>
      </c>
      <c r="C12" s="17">
        <f>+'Variabili Discriminanti'!O14</f>
        <v>1</v>
      </c>
      <c r="D12" s="17">
        <v>0.82794000000000001</v>
      </c>
      <c r="E12" s="17">
        <f t="shared" si="0"/>
        <v>0.82794000000000001</v>
      </c>
    </row>
    <row r="13" spans="2:5" x14ac:dyDescent="0.3">
      <c r="B13" s="13" t="s">
        <v>162</v>
      </c>
      <c r="C13" s="22">
        <f>+'Variabili Dicotomiche'!D8</f>
        <v>0</v>
      </c>
      <c r="D13" s="17">
        <v>-0.24577399999999999</v>
      </c>
      <c r="E13" s="17">
        <f t="shared" si="0"/>
        <v>0</v>
      </c>
    </row>
    <row r="14" spans="2:5" x14ac:dyDescent="0.3">
      <c r="B14" s="13" t="s">
        <v>164</v>
      </c>
      <c r="C14" s="22">
        <f>+'Variabili Dicotomiche'!D10</f>
        <v>0</v>
      </c>
      <c r="D14" s="17">
        <v>5.3625610000000004</v>
      </c>
      <c r="E14" s="17">
        <f t="shared" si="0"/>
        <v>0</v>
      </c>
    </row>
    <row r="15" spans="2:5" x14ac:dyDescent="0.3">
      <c r="B15" s="13" t="s">
        <v>230</v>
      </c>
      <c r="D15" s="17">
        <v>-4.6892490000000002</v>
      </c>
      <c r="E15" s="17"/>
    </row>
    <row r="19" spans="2:5" x14ac:dyDescent="0.3">
      <c r="B19" s="23" t="s">
        <v>231</v>
      </c>
      <c r="C19" s="17"/>
      <c r="D19" s="17"/>
      <c r="E19" s="17">
        <f>+D15+SUM(E4:E14)</f>
        <v>-3.9915814300235541</v>
      </c>
    </row>
    <row r="22" spans="2:5" ht="15" thickBot="1" x14ac:dyDescent="0.35">
      <c r="B22" s="24" t="s">
        <v>232</v>
      </c>
      <c r="C22" s="24" t="s">
        <v>233</v>
      </c>
      <c r="D22" s="24" t="s">
        <v>234</v>
      </c>
    </row>
    <row r="23" spans="2:5" ht="15" thickTop="1" x14ac:dyDescent="0.3">
      <c r="B23" s="25">
        <v>999999</v>
      </c>
      <c r="C23" s="27">
        <v>-1.5324059699999999</v>
      </c>
      <c r="D23" s="17" t="s">
        <v>235</v>
      </c>
    </row>
    <row r="24" spans="2:5" x14ac:dyDescent="0.3">
      <c r="B24" s="26">
        <f>+C23</f>
        <v>-1.5324059699999999</v>
      </c>
      <c r="C24" s="27">
        <v>-2.1981980800000001</v>
      </c>
      <c r="D24" s="17" t="s">
        <v>245</v>
      </c>
    </row>
    <row r="25" spans="2:5" x14ac:dyDescent="0.3">
      <c r="B25" s="26">
        <f t="shared" ref="B25:B32" si="1">+C24</f>
        <v>-2.1981980800000001</v>
      </c>
      <c r="C25" s="27">
        <v>-2.6198046210000001</v>
      </c>
      <c r="D25" s="17" t="s">
        <v>244</v>
      </c>
    </row>
    <row r="26" spans="2:5" x14ac:dyDescent="0.3">
      <c r="B26" s="26">
        <f t="shared" si="1"/>
        <v>-2.6198046210000001</v>
      </c>
      <c r="C26" s="27">
        <v>-2.8844139580000001</v>
      </c>
      <c r="D26" s="17" t="s">
        <v>237</v>
      </c>
    </row>
    <row r="27" spans="2:5" x14ac:dyDescent="0.3">
      <c r="B27" s="26">
        <f t="shared" si="1"/>
        <v>-2.8844139580000001</v>
      </c>
      <c r="C27" s="27">
        <v>-3.213093996</v>
      </c>
      <c r="D27" s="17" t="s">
        <v>238</v>
      </c>
    </row>
    <row r="28" spans="2:5" x14ac:dyDescent="0.3">
      <c r="B28" s="26">
        <f t="shared" si="1"/>
        <v>-3.213093996</v>
      </c>
      <c r="C28" s="27">
        <v>-3.4677848820000001</v>
      </c>
      <c r="D28" s="17" t="s">
        <v>239</v>
      </c>
    </row>
    <row r="29" spans="2:5" x14ac:dyDescent="0.3">
      <c r="B29" s="26">
        <f t="shared" si="1"/>
        <v>-3.4677848820000001</v>
      </c>
      <c r="C29" s="27">
        <v>-3.888909817</v>
      </c>
      <c r="D29" s="17" t="s">
        <v>240</v>
      </c>
    </row>
    <row r="30" spans="2:5" x14ac:dyDescent="0.3">
      <c r="B30" s="26">
        <f t="shared" si="1"/>
        <v>-3.888909817</v>
      </c>
      <c r="C30" s="27">
        <v>-4.2547779080000003</v>
      </c>
      <c r="D30" s="17" t="s">
        <v>241</v>
      </c>
    </row>
    <row r="31" spans="2:5" x14ac:dyDescent="0.3">
      <c r="B31" s="26">
        <f t="shared" si="1"/>
        <v>-4.2547779080000003</v>
      </c>
      <c r="C31" s="27">
        <v>-4.4338240620000002</v>
      </c>
      <c r="D31" s="17" t="s">
        <v>242</v>
      </c>
    </row>
    <row r="32" spans="2:5" x14ac:dyDescent="0.3">
      <c r="B32" s="26">
        <f t="shared" si="1"/>
        <v>-4.4338240620000002</v>
      </c>
      <c r="C32" s="27">
        <v>-4.7066745760000002</v>
      </c>
      <c r="D32" s="17" t="s">
        <v>243</v>
      </c>
    </row>
    <row r="33" spans="2:4" x14ac:dyDescent="0.3">
      <c r="B33" s="28">
        <f>+C32</f>
        <v>-4.7066745760000002</v>
      </c>
      <c r="C33" s="29">
        <v>-999999</v>
      </c>
      <c r="D33" s="17" t="s">
        <v>236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D434A-8FF2-454B-9E4F-D98041BD6E55}">
  <dimension ref="A1:J95"/>
  <sheetViews>
    <sheetView showGridLines="0" workbookViewId="0"/>
  </sheetViews>
  <sheetFormatPr defaultRowHeight="14.4" x14ac:dyDescent="0.3"/>
  <cols>
    <col min="4" max="4" width="57.44140625" bestFit="1" customWidth="1"/>
    <col min="5" max="5" width="12.6640625" customWidth="1"/>
    <col min="6" max="6" width="22" customWidth="1"/>
    <col min="7" max="7" width="35" bestFit="1" customWidth="1"/>
    <col min="8" max="8" width="16.109375" bestFit="1" customWidth="1"/>
    <col min="9" max="9" width="10.77734375" bestFit="1" customWidth="1"/>
  </cols>
  <sheetData>
    <row r="1" spans="1:8" x14ac:dyDescent="0.3">
      <c r="A1" s="52" t="s">
        <v>710</v>
      </c>
      <c r="D1" s="44" t="s">
        <v>708</v>
      </c>
    </row>
    <row r="3" spans="1:8" ht="15" thickBot="1" x14ac:dyDescent="0.35">
      <c r="D3" s="24" t="s">
        <v>278</v>
      </c>
      <c r="G3" s="24" t="s">
        <v>277</v>
      </c>
    </row>
    <row r="4" spans="1:8" ht="15" thickTop="1" x14ac:dyDescent="0.3">
      <c r="D4" s="33" t="s">
        <v>279</v>
      </c>
      <c r="E4" s="33" t="s">
        <v>133</v>
      </c>
      <c r="G4" s="33" t="s">
        <v>279</v>
      </c>
      <c r="H4" s="33" t="s">
        <v>133</v>
      </c>
    </row>
    <row r="5" spans="1:8" x14ac:dyDescent="0.3">
      <c r="D5" s="34" t="s">
        <v>280</v>
      </c>
      <c r="E5" s="39">
        <v>0</v>
      </c>
      <c r="G5" s="34" t="s">
        <v>283</v>
      </c>
      <c r="H5" s="39">
        <v>0</v>
      </c>
    </row>
    <row r="6" spans="1:8" x14ac:dyDescent="0.3">
      <c r="D6" s="34" t="s">
        <v>281</v>
      </c>
      <c r="E6" s="39">
        <v>0</v>
      </c>
      <c r="G6" s="34" t="s">
        <v>282</v>
      </c>
      <c r="H6" s="39">
        <v>0</v>
      </c>
    </row>
    <row r="7" spans="1:8" x14ac:dyDescent="0.3">
      <c r="D7" s="34" t="s">
        <v>284</v>
      </c>
      <c r="E7" s="39">
        <v>0</v>
      </c>
      <c r="G7" s="34" t="s">
        <v>285</v>
      </c>
      <c r="H7" s="39">
        <v>0</v>
      </c>
    </row>
    <row r="8" spans="1:8" x14ac:dyDescent="0.3">
      <c r="D8" s="34" t="s">
        <v>286</v>
      </c>
      <c r="E8" s="39">
        <v>0</v>
      </c>
      <c r="G8" s="34" t="s">
        <v>287</v>
      </c>
      <c r="H8" s="39">
        <v>0</v>
      </c>
    </row>
    <row r="9" spans="1:8" x14ac:dyDescent="0.3">
      <c r="D9" s="34" t="s">
        <v>288</v>
      </c>
      <c r="E9" s="39">
        <v>0</v>
      </c>
      <c r="G9" s="34" t="s">
        <v>289</v>
      </c>
      <c r="H9" s="39">
        <v>0</v>
      </c>
    </row>
    <row r="10" spans="1:8" x14ac:dyDescent="0.3">
      <c r="D10" s="34" t="s">
        <v>290</v>
      </c>
      <c r="E10" s="39">
        <v>0</v>
      </c>
      <c r="G10" s="34" t="s">
        <v>291</v>
      </c>
      <c r="H10" s="39">
        <v>0</v>
      </c>
    </row>
    <row r="11" spans="1:8" ht="15" thickBot="1" x14ac:dyDescent="0.35">
      <c r="D11" s="34"/>
      <c r="E11" s="39">
        <v>0</v>
      </c>
      <c r="G11" s="34" t="s">
        <v>315</v>
      </c>
      <c r="H11" s="39">
        <v>0</v>
      </c>
    </row>
    <row r="12" spans="1:8" ht="15" thickTop="1" x14ac:dyDescent="0.3">
      <c r="D12" s="33" t="s">
        <v>279</v>
      </c>
      <c r="E12" s="33" t="s">
        <v>133</v>
      </c>
      <c r="G12" s="33" t="s">
        <v>279</v>
      </c>
      <c r="H12" s="33" t="s">
        <v>133</v>
      </c>
    </row>
    <row r="13" spans="1:8" x14ac:dyDescent="0.3">
      <c r="D13" t="s">
        <v>292</v>
      </c>
      <c r="E13" s="39">
        <v>0</v>
      </c>
      <c r="G13" t="s">
        <v>293</v>
      </c>
      <c r="H13" s="39">
        <v>0</v>
      </c>
    </row>
    <row r="14" spans="1:8" x14ac:dyDescent="0.3">
      <c r="D14" s="34" t="s">
        <v>294</v>
      </c>
      <c r="E14" s="39">
        <v>0</v>
      </c>
      <c r="G14" s="34" t="s">
        <v>295</v>
      </c>
      <c r="H14" s="39">
        <v>0</v>
      </c>
    </row>
    <row r="15" spans="1:8" x14ac:dyDescent="0.3">
      <c r="D15" s="34" t="s">
        <v>296</v>
      </c>
      <c r="E15" s="39">
        <v>0</v>
      </c>
      <c r="G15" s="34" t="s">
        <v>297</v>
      </c>
      <c r="H15" s="39">
        <v>0</v>
      </c>
    </row>
    <row r="16" spans="1:8" x14ac:dyDescent="0.3">
      <c r="D16" s="34" t="s">
        <v>298</v>
      </c>
      <c r="E16" s="39">
        <v>0</v>
      </c>
      <c r="G16" s="34" t="s">
        <v>299</v>
      </c>
      <c r="H16" s="39">
        <v>0</v>
      </c>
    </row>
    <row r="17" spans="4:8" x14ac:dyDescent="0.3">
      <c r="D17" s="34" t="s">
        <v>300</v>
      </c>
      <c r="E17" s="39">
        <v>0</v>
      </c>
      <c r="G17" s="34" t="s">
        <v>301</v>
      </c>
      <c r="H17" s="39">
        <v>0</v>
      </c>
    </row>
    <row r="18" spans="4:8" x14ac:dyDescent="0.3">
      <c r="D18" s="34" t="s">
        <v>302</v>
      </c>
      <c r="E18" s="39">
        <v>0</v>
      </c>
      <c r="G18" s="34" t="s">
        <v>303</v>
      </c>
      <c r="H18" s="39">
        <v>0</v>
      </c>
    </row>
    <row r="19" spans="4:8" ht="15" thickBot="1" x14ac:dyDescent="0.35">
      <c r="D19" s="34"/>
      <c r="E19" s="39">
        <v>0</v>
      </c>
      <c r="G19" s="34" t="s">
        <v>316</v>
      </c>
      <c r="H19" s="39">
        <v>0</v>
      </c>
    </row>
    <row r="20" spans="4:8" ht="15" thickTop="1" x14ac:dyDescent="0.3">
      <c r="D20" s="35" t="s">
        <v>306</v>
      </c>
      <c r="E20" s="33" t="s">
        <v>133</v>
      </c>
      <c r="G20" s="35" t="s">
        <v>306</v>
      </c>
      <c r="H20" s="33" t="s">
        <v>133</v>
      </c>
    </row>
    <row r="21" spans="4:8" x14ac:dyDescent="0.3">
      <c r="D21" s="34" t="s">
        <v>304</v>
      </c>
      <c r="E21" s="39">
        <v>0</v>
      </c>
      <c r="G21" s="34" t="s">
        <v>305</v>
      </c>
      <c r="H21" s="39">
        <v>0</v>
      </c>
    </row>
    <row r="22" spans="4:8" x14ac:dyDescent="0.3">
      <c r="D22" s="34" t="s">
        <v>307</v>
      </c>
      <c r="E22" s="39">
        <v>0</v>
      </c>
      <c r="G22" s="34" t="s">
        <v>308</v>
      </c>
      <c r="H22" s="39">
        <v>0</v>
      </c>
    </row>
    <row r="23" spans="4:8" x14ac:dyDescent="0.3">
      <c r="D23" s="34" t="s">
        <v>309</v>
      </c>
      <c r="E23" s="39">
        <v>0</v>
      </c>
      <c r="G23" s="34" t="s">
        <v>310</v>
      </c>
      <c r="H23" s="39">
        <v>0</v>
      </c>
    </row>
    <row r="24" spans="4:8" x14ac:dyDescent="0.3">
      <c r="D24" s="34" t="s">
        <v>311</v>
      </c>
      <c r="E24" s="39">
        <v>0</v>
      </c>
      <c r="G24" s="34" t="s">
        <v>312</v>
      </c>
      <c r="H24" s="39">
        <v>0</v>
      </c>
    </row>
    <row r="25" spans="4:8" x14ac:dyDescent="0.3">
      <c r="D25" s="34" t="s">
        <v>313</v>
      </c>
      <c r="E25" s="39">
        <v>0</v>
      </c>
      <c r="G25" s="34" t="s">
        <v>314</v>
      </c>
      <c r="H25" s="39">
        <v>0</v>
      </c>
    </row>
    <row r="26" spans="4:8" x14ac:dyDescent="0.3">
      <c r="D26" s="34" t="s">
        <v>317</v>
      </c>
      <c r="E26" s="39">
        <v>0</v>
      </c>
      <c r="G26" s="34" t="s">
        <v>318</v>
      </c>
      <c r="H26" s="39">
        <v>0</v>
      </c>
    </row>
    <row r="27" spans="4:8" x14ac:dyDescent="0.3">
      <c r="D27" s="34"/>
      <c r="E27" s="39">
        <v>0</v>
      </c>
      <c r="G27" s="34" t="s">
        <v>319</v>
      </c>
      <c r="H27" s="39">
        <v>0</v>
      </c>
    </row>
    <row r="29" spans="4:8" x14ac:dyDescent="0.3">
      <c r="D29" t="s">
        <v>320</v>
      </c>
    </row>
    <row r="30" spans="4:8" x14ac:dyDescent="0.3">
      <c r="D30" t="s">
        <v>321</v>
      </c>
    </row>
    <row r="32" spans="4:8" ht="15" thickBot="1" x14ac:dyDescent="0.35">
      <c r="D32" s="60" t="s">
        <v>328</v>
      </c>
      <c r="E32" s="60" t="s">
        <v>330</v>
      </c>
      <c r="F32" s="58" t="s">
        <v>322</v>
      </c>
      <c r="G32" s="59"/>
    </row>
    <row r="33" spans="4:8" ht="15.6" thickTop="1" thickBot="1" x14ac:dyDescent="0.35">
      <c r="D33" s="61"/>
      <c r="E33" s="61"/>
      <c r="F33" s="35" t="s">
        <v>331</v>
      </c>
      <c r="G33" s="35" t="s">
        <v>332</v>
      </c>
      <c r="H33" s="40" t="s">
        <v>133</v>
      </c>
    </row>
    <row r="34" spans="4:8" ht="15" thickTop="1" x14ac:dyDescent="0.3"/>
    <row r="35" spans="4:8" x14ac:dyDescent="0.3">
      <c r="D35" s="34" t="s">
        <v>323</v>
      </c>
      <c r="E35" s="34" t="s">
        <v>333</v>
      </c>
      <c r="F35" s="34" t="s">
        <v>334</v>
      </c>
      <c r="G35" s="34" t="s">
        <v>335</v>
      </c>
      <c r="H35" s="17">
        <f>+H7+H8</f>
        <v>0</v>
      </c>
    </row>
    <row r="36" spans="4:8" x14ac:dyDescent="0.3">
      <c r="D36" s="34" t="s">
        <v>324</v>
      </c>
      <c r="E36" s="34" t="s">
        <v>333</v>
      </c>
      <c r="F36" s="34" t="s">
        <v>336</v>
      </c>
      <c r="G36" s="34" t="s">
        <v>337</v>
      </c>
      <c r="H36" s="17">
        <f>+H5</f>
        <v>0</v>
      </c>
    </row>
    <row r="37" spans="4:8" x14ac:dyDescent="0.3">
      <c r="D37" s="34" t="s">
        <v>325</v>
      </c>
      <c r="E37" s="34" t="s">
        <v>333</v>
      </c>
      <c r="F37" s="34" t="s">
        <v>338</v>
      </c>
      <c r="G37" s="34" t="s">
        <v>339</v>
      </c>
      <c r="H37" s="17">
        <f>+H7</f>
        <v>0</v>
      </c>
    </row>
    <row r="38" spans="4:8" x14ac:dyDescent="0.3">
      <c r="D38" s="34" t="s">
        <v>326</v>
      </c>
      <c r="E38" s="34" t="s">
        <v>333</v>
      </c>
      <c r="F38" s="34" t="s">
        <v>340</v>
      </c>
      <c r="G38" s="34" t="s">
        <v>341</v>
      </c>
      <c r="H38" s="17">
        <f>+H9</f>
        <v>0</v>
      </c>
    </row>
    <row r="39" spans="4:8" x14ac:dyDescent="0.3">
      <c r="D39" s="34" t="s">
        <v>342</v>
      </c>
      <c r="E39" s="34" t="s">
        <v>333</v>
      </c>
      <c r="F39" s="34" t="s">
        <v>343</v>
      </c>
      <c r="G39" s="34" t="s">
        <v>344</v>
      </c>
      <c r="H39" s="17">
        <f>+H10</f>
        <v>0</v>
      </c>
    </row>
    <row r="40" spans="4:8" x14ac:dyDescent="0.3">
      <c r="D40" s="34" t="s">
        <v>327</v>
      </c>
      <c r="E40" s="34" t="s">
        <v>333</v>
      </c>
      <c r="F40" s="34" t="s">
        <v>345</v>
      </c>
      <c r="G40" s="34" t="s">
        <v>346</v>
      </c>
      <c r="H40" s="17">
        <f>+H11</f>
        <v>0</v>
      </c>
    </row>
    <row r="41" spans="4:8" x14ac:dyDescent="0.3">
      <c r="D41" s="34" t="s">
        <v>323</v>
      </c>
      <c r="E41" s="34" t="s">
        <v>347</v>
      </c>
      <c r="F41" s="34" t="s">
        <v>348</v>
      </c>
      <c r="G41" s="34" t="s">
        <v>349</v>
      </c>
      <c r="H41" s="17">
        <f>+H15+H16</f>
        <v>0</v>
      </c>
    </row>
    <row r="42" spans="4:8" x14ac:dyDescent="0.3">
      <c r="D42" s="34" t="s">
        <v>324</v>
      </c>
      <c r="E42" s="34" t="s">
        <v>347</v>
      </c>
      <c r="F42" s="34" t="s">
        <v>350</v>
      </c>
      <c r="G42" s="34" t="s">
        <v>351</v>
      </c>
      <c r="H42" s="17">
        <f>+H13</f>
        <v>0</v>
      </c>
    </row>
    <row r="43" spans="4:8" x14ac:dyDescent="0.3">
      <c r="D43" s="34" t="s">
        <v>325</v>
      </c>
      <c r="E43" s="34" t="s">
        <v>347</v>
      </c>
      <c r="F43" s="34" t="s">
        <v>352</v>
      </c>
      <c r="G43" s="34" t="s">
        <v>353</v>
      </c>
      <c r="H43" s="17">
        <f>+H15</f>
        <v>0</v>
      </c>
    </row>
    <row r="44" spans="4:8" x14ac:dyDescent="0.3">
      <c r="D44" s="34" t="s">
        <v>354</v>
      </c>
      <c r="E44" s="34" t="s">
        <v>347</v>
      </c>
      <c r="F44" s="34" t="s">
        <v>355</v>
      </c>
      <c r="G44" s="34" t="s">
        <v>356</v>
      </c>
      <c r="H44" s="17">
        <f>+H17</f>
        <v>0</v>
      </c>
    </row>
    <row r="45" spans="4:8" x14ac:dyDescent="0.3">
      <c r="D45" s="34" t="s">
        <v>357</v>
      </c>
      <c r="E45" s="34" t="s">
        <v>347</v>
      </c>
      <c r="F45" s="34" t="s">
        <v>358</v>
      </c>
      <c r="G45" s="34" t="s">
        <v>359</v>
      </c>
      <c r="H45" s="17">
        <f>+H18</f>
        <v>0</v>
      </c>
    </row>
    <row r="46" spans="4:8" x14ac:dyDescent="0.3">
      <c r="D46" s="34" t="s">
        <v>360</v>
      </c>
      <c r="E46" s="34" t="s">
        <v>347</v>
      </c>
      <c r="F46" s="34" t="s">
        <v>361</v>
      </c>
      <c r="G46" s="34" t="s">
        <v>362</v>
      </c>
      <c r="H46" s="17">
        <f>+H19</f>
        <v>0</v>
      </c>
    </row>
    <row r="47" spans="4:8" x14ac:dyDescent="0.3">
      <c r="D47" s="34" t="s">
        <v>323</v>
      </c>
      <c r="E47" s="34" t="s">
        <v>333</v>
      </c>
      <c r="F47" s="34" t="s">
        <v>334</v>
      </c>
      <c r="G47" s="34" t="s">
        <v>335</v>
      </c>
      <c r="H47" s="17">
        <f>+H7+H8</f>
        <v>0</v>
      </c>
    </row>
    <row r="48" spans="4:8" x14ac:dyDescent="0.3">
      <c r="D48" s="34" t="s">
        <v>324</v>
      </c>
      <c r="E48" s="34" t="s">
        <v>333</v>
      </c>
      <c r="F48" s="34" t="s">
        <v>363</v>
      </c>
      <c r="G48" s="34" t="s">
        <v>364</v>
      </c>
      <c r="H48" s="17">
        <f>+H5</f>
        <v>0</v>
      </c>
    </row>
    <row r="49" spans="4:8" x14ac:dyDescent="0.3">
      <c r="D49" s="34" t="s">
        <v>325</v>
      </c>
      <c r="E49" s="34" t="s">
        <v>333</v>
      </c>
      <c r="F49" s="34" t="s">
        <v>338</v>
      </c>
      <c r="G49" s="34" t="s">
        <v>339</v>
      </c>
      <c r="H49" s="17">
        <f>+H7</f>
        <v>0</v>
      </c>
    </row>
    <row r="50" spans="4:8" x14ac:dyDescent="0.3">
      <c r="D50" s="34" t="s">
        <v>326</v>
      </c>
      <c r="E50" s="34" t="s">
        <v>333</v>
      </c>
      <c r="F50" s="34" t="s">
        <v>340</v>
      </c>
      <c r="G50" s="34" t="s">
        <v>341</v>
      </c>
      <c r="H50" s="17">
        <f>+H9</f>
        <v>0</v>
      </c>
    </row>
    <row r="51" spans="4:8" x14ac:dyDescent="0.3">
      <c r="D51" s="34" t="s">
        <v>342</v>
      </c>
      <c r="E51" s="34" t="s">
        <v>333</v>
      </c>
      <c r="F51" s="34" t="s">
        <v>365</v>
      </c>
      <c r="G51" s="34" t="s">
        <v>366</v>
      </c>
      <c r="H51" s="17">
        <f t="shared" ref="H51:H52" si="0">+H10</f>
        <v>0</v>
      </c>
    </row>
    <row r="52" spans="4:8" x14ac:dyDescent="0.3">
      <c r="D52" s="34" t="s">
        <v>327</v>
      </c>
      <c r="E52" s="34" t="s">
        <v>333</v>
      </c>
      <c r="F52" s="34" t="s">
        <v>345</v>
      </c>
      <c r="G52" s="34" t="s">
        <v>346</v>
      </c>
      <c r="H52" s="17">
        <f t="shared" si="0"/>
        <v>0</v>
      </c>
    </row>
    <row r="53" spans="4:8" x14ac:dyDescent="0.3">
      <c r="D53" s="34" t="s">
        <v>323</v>
      </c>
      <c r="E53" s="34" t="s">
        <v>347</v>
      </c>
      <c r="F53" s="34" t="s">
        <v>348</v>
      </c>
      <c r="G53" s="34" t="s">
        <v>349</v>
      </c>
      <c r="H53" s="17">
        <f>+H15+H16</f>
        <v>0</v>
      </c>
    </row>
    <row r="54" spans="4:8" x14ac:dyDescent="0.3">
      <c r="D54" s="34" t="s">
        <v>324</v>
      </c>
      <c r="E54" s="34" t="s">
        <v>367</v>
      </c>
      <c r="F54" s="34" t="s">
        <v>350</v>
      </c>
      <c r="G54" s="34" t="s">
        <v>368</v>
      </c>
      <c r="H54" s="17">
        <f>+H13</f>
        <v>0</v>
      </c>
    </row>
    <row r="55" spans="4:8" x14ac:dyDescent="0.3">
      <c r="D55" s="34" t="s">
        <v>325</v>
      </c>
      <c r="E55" s="34" t="s">
        <v>347</v>
      </c>
      <c r="F55" s="34" t="s">
        <v>352</v>
      </c>
      <c r="G55" s="34" t="s">
        <v>353</v>
      </c>
      <c r="H55" s="17">
        <f>+H15</f>
        <v>0</v>
      </c>
    </row>
    <row r="56" spans="4:8" x14ac:dyDescent="0.3">
      <c r="D56" s="34" t="s">
        <v>354</v>
      </c>
      <c r="E56" s="34" t="s">
        <v>347</v>
      </c>
      <c r="F56" s="34" t="s">
        <v>355</v>
      </c>
      <c r="G56" s="34" t="s">
        <v>356</v>
      </c>
      <c r="H56" s="17">
        <f>+H17</f>
        <v>0</v>
      </c>
    </row>
    <row r="57" spans="4:8" x14ac:dyDescent="0.3">
      <c r="D57" s="34" t="s">
        <v>357</v>
      </c>
      <c r="E57" s="34" t="s">
        <v>347</v>
      </c>
      <c r="F57" s="34" t="s">
        <v>358</v>
      </c>
      <c r="G57" s="34" t="s">
        <v>359</v>
      </c>
      <c r="H57" s="17">
        <f t="shared" ref="H57:H58" si="1">+H18</f>
        <v>0</v>
      </c>
    </row>
    <row r="58" spans="4:8" x14ac:dyDescent="0.3">
      <c r="D58" s="34" t="s">
        <v>360</v>
      </c>
      <c r="E58" s="34" t="s">
        <v>347</v>
      </c>
      <c r="F58" s="34" t="s">
        <v>361</v>
      </c>
      <c r="G58" s="34" t="s">
        <v>362</v>
      </c>
      <c r="H58" s="17">
        <f t="shared" si="1"/>
        <v>0</v>
      </c>
    </row>
    <row r="59" spans="4:8" x14ac:dyDescent="0.3">
      <c r="D59" s="34" t="s">
        <v>323</v>
      </c>
      <c r="E59" s="34" t="s">
        <v>369</v>
      </c>
      <c r="F59" s="34" t="s">
        <v>370</v>
      </c>
      <c r="G59" s="34" t="s">
        <v>371</v>
      </c>
      <c r="H59" s="17">
        <f>+H23+H24</f>
        <v>0</v>
      </c>
    </row>
    <row r="60" spans="4:8" x14ac:dyDescent="0.3">
      <c r="D60" s="34" t="s">
        <v>324</v>
      </c>
      <c r="E60" s="34" t="s">
        <v>369</v>
      </c>
      <c r="F60" s="34" t="s">
        <v>372</v>
      </c>
      <c r="G60" s="34" t="s">
        <v>373</v>
      </c>
      <c r="H60" s="17">
        <f>+H21</f>
        <v>0</v>
      </c>
    </row>
    <row r="61" spans="4:8" x14ac:dyDescent="0.3">
      <c r="D61" s="34" t="s">
        <v>325</v>
      </c>
      <c r="E61" s="34" t="s">
        <v>369</v>
      </c>
      <c r="F61" s="34" t="s">
        <v>374</v>
      </c>
      <c r="G61" s="34" t="s">
        <v>375</v>
      </c>
      <c r="H61" s="17">
        <f>+H23</f>
        <v>0</v>
      </c>
    </row>
    <row r="62" spans="4:8" x14ac:dyDescent="0.3">
      <c r="D62" s="34" t="s">
        <v>376</v>
      </c>
      <c r="E62" s="34" t="s">
        <v>369</v>
      </c>
      <c r="F62" s="34" t="s">
        <v>377</v>
      </c>
      <c r="G62" s="34" t="s">
        <v>378</v>
      </c>
      <c r="H62" s="17">
        <f>+H25</f>
        <v>0</v>
      </c>
    </row>
    <row r="63" spans="4:8" x14ac:dyDescent="0.3">
      <c r="D63" s="34" t="s">
        <v>342</v>
      </c>
      <c r="E63" s="34" t="s">
        <v>369</v>
      </c>
      <c r="F63" s="34" t="s">
        <v>379</v>
      </c>
      <c r="G63" s="34" t="s">
        <v>380</v>
      </c>
      <c r="H63" s="17">
        <f t="shared" ref="H63:H64" si="2">+H26</f>
        <v>0</v>
      </c>
    </row>
    <row r="64" spans="4:8" x14ac:dyDescent="0.3">
      <c r="D64" s="34" t="s">
        <v>327</v>
      </c>
      <c r="E64" s="34" t="s">
        <v>369</v>
      </c>
      <c r="F64" s="34" t="s">
        <v>381</v>
      </c>
      <c r="G64" s="34" t="s">
        <v>382</v>
      </c>
      <c r="H64" s="17">
        <f t="shared" si="2"/>
        <v>0</v>
      </c>
    </row>
    <row r="66" spans="4:10" x14ac:dyDescent="0.3">
      <c r="D66" s="35" t="s">
        <v>387</v>
      </c>
      <c r="E66" s="35" t="s">
        <v>328</v>
      </c>
      <c r="F66" s="35" t="s">
        <v>329</v>
      </c>
      <c r="G66" s="35" t="s">
        <v>388</v>
      </c>
      <c r="H66" s="35" t="s">
        <v>386</v>
      </c>
      <c r="I66" s="40" t="s">
        <v>133</v>
      </c>
    </row>
    <row r="67" spans="4:10" x14ac:dyDescent="0.3">
      <c r="D67" s="56" t="s">
        <v>331</v>
      </c>
      <c r="E67" s="34" t="s">
        <v>420</v>
      </c>
      <c r="F67" s="34" t="s">
        <v>333</v>
      </c>
      <c r="G67" s="34" t="s">
        <v>396</v>
      </c>
      <c r="H67" s="34" t="s">
        <v>419</v>
      </c>
      <c r="I67" s="17">
        <f>+E9+E11</f>
        <v>0</v>
      </c>
    </row>
    <row r="68" spans="4:10" x14ac:dyDescent="0.3">
      <c r="D68" s="57"/>
      <c r="E68" s="34" t="s">
        <v>421</v>
      </c>
      <c r="F68" s="34" t="s">
        <v>369</v>
      </c>
      <c r="G68" s="34" t="s">
        <v>397</v>
      </c>
      <c r="H68" s="34" t="s">
        <v>422</v>
      </c>
      <c r="I68" s="17">
        <f>+E25+E26</f>
        <v>0</v>
      </c>
    </row>
    <row r="69" spans="4:10" x14ac:dyDescent="0.3">
      <c r="D69" s="56" t="s">
        <v>332</v>
      </c>
      <c r="E69" s="34" t="s">
        <v>423</v>
      </c>
      <c r="F69" s="34" t="s">
        <v>333</v>
      </c>
      <c r="G69" s="34" t="s">
        <v>408</v>
      </c>
      <c r="H69" s="34" t="s">
        <v>424</v>
      </c>
      <c r="I69" s="17">
        <f>+H10+H11</f>
        <v>0</v>
      </c>
    </row>
    <row r="70" spans="4:10" x14ac:dyDescent="0.3">
      <c r="D70" s="57"/>
      <c r="E70" s="34" t="s">
        <v>421</v>
      </c>
      <c r="F70" s="34" t="s">
        <v>369</v>
      </c>
      <c r="G70" s="34" t="s">
        <v>412</v>
      </c>
      <c r="H70" s="34" t="s">
        <v>425</v>
      </c>
      <c r="I70" s="17">
        <f>+H26+H27</f>
        <v>0</v>
      </c>
    </row>
    <row r="72" spans="4:10" x14ac:dyDescent="0.3">
      <c r="D72" t="s">
        <v>383</v>
      </c>
    </row>
    <row r="73" spans="4:10" x14ac:dyDescent="0.3">
      <c r="D73" s="35" t="s">
        <v>387</v>
      </c>
      <c r="E73" s="35" t="s">
        <v>328</v>
      </c>
      <c r="F73" s="35" t="s">
        <v>388</v>
      </c>
      <c r="G73" s="35" t="s">
        <v>384</v>
      </c>
      <c r="H73" s="35" t="s">
        <v>385</v>
      </c>
      <c r="I73" s="35" t="s">
        <v>386</v>
      </c>
      <c r="J73" s="35" t="s">
        <v>418</v>
      </c>
    </row>
    <row r="74" spans="4:10" x14ac:dyDescent="0.3">
      <c r="D74" s="53" t="s">
        <v>331</v>
      </c>
      <c r="E74" s="34" t="s">
        <v>389</v>
      </c>
      <c r="F74" s="34" t="s">
        <v>264</v>
      </c>
      <c r="G74" s="34" t="s">
        <v>390</v>
      </c>
      <c r="H74" s="34" t="s">
        <v>391</v>
      </c>
      <c r="I74" s="34" t="s">
        <v>392</v>
      </c>
      <c r="J74" s="17">
        <f>+E18</f>
        <v>0</v>
      </c>
    </row>
    <row r="75" spans="4:10" x14ac:dyDescent="0.3">
      <c r="D75" s="54"/>
      <c r="E75" s="34" t="s">
        <v>393</v>
      </c>
      <c r="F75" s="34" t="s">
        <v>404</v>
      </c>
      <c r="G75" s="34" t="s">
        <v>345</v>
      </c>
      <c r="H75" s="34" t="s">
        <v>396</v>
      </c>
      <c r="I75" s="34" t="s">
        <v>394</v>
      </c>
      <c r="J75" s="17" t="e">
        <f>+E10/I67</f>
        <v>#DIV/0!</v>
      </c>
    </row>
    <row r="76" spans="4:10" x14ac:dyDescent="0.3">
      <c r="D76" s="54"/>
      <c r="E76" s="34" t="s">
        <v>395</v>
      </c>
      <c r="F76" s="34" t="s">
        <v>405</v>
      </c>
      <c r="G76" s="34" t="s">
        <v>381</v>
      </c>
      <c r="H76" s="34" t="s">
        <v>397</v>
      </c>
      <c r="I76" s="34" t="s">
        <v>398</v>
      </c>
      <c r="J76" s="17" t="e">
        <f>E26/I68</f>
        <v>#DIV/0!</v>
      </c>
    </row>
    <row r="77" spans="4:10" x14ac:dyDescent="0.3">
      <c r="D77" s="55"/>
      <c r="E77" s="34" t="s">
        <v>399</v>
      </c>
      <c r="F77" s="34" t="s">
        <v>400</v>
      </c>
      <c r="G77" s="34" t="s">
        <v>358</v>
      </c>
      <c r="H77" s="34" t="s">
        <v>355</v>
      </c>
      <c r="I77" s="34" t="s">
        <v>401</v>
      </c>
      <c r="J77" s="17">
        <f>+IF(E16=0,0.35,IF(E17/E16&gt;1,1,IF(E17/E16&lt;0,0,IF(E17=0,0.7,(E17/E16)))))</f>
        <v>0.35</v>
      </c>
    </row>
    <row r="78" spans="4:10" x14ac:dyDescent="0.3">
      <c r="D78" s="53" t="s">
        <v>332</v>
      </c>
      <c r="E78" s="34" t="s">
        <v>389</v>
      </c>
      <c r="F78" s="34" t="s">
        <v>402</v>
      </c>
      <c r="G78" s="34" t="s">
        <v>390</v>
      </c>
      <c r="H78" s="34" t="s">
        <v>403</v>
      </c>
      <c r="I78" s="34" t="s">
        <v>414</v>
      </c>
      <c r="J78" s="17">
        <f>+H19</f>
        <v>0</v>
      </c>
    </row>
    <row r="79" spans="4:10" x14ac:dyDescent="0.3">
      <c r="D79" s="54"/>
      <c r="E79" s="34" t="s">
        <v>406</v>
      </c>
      <c r="F79" s="34" t="s">
        <v>407</v>
      </c>
      <c r="G79" s="34" t="s">
        <v>346</v>
      </c>
      <c r="H79" s="34" t="s">
        <v>408</v>
      </c>
      <c r="I79" s="34" t="s">
        <v>409</v>
      </c>
      <c r="J79" s="17" t="e">
        <f>H11/I69</f>
        <v>#DIV/0!</v>
      </c>
    </row>
    <row r="80" spans="4:10" x14ac:dyDescent="0.3">
      <c r="D80" s="54"/>
      <c r="E80" s="34" t="s">
        <v>410</v>
      </c>
      <c r="F80" s="34" t="s">
        <v>411</v>
      </c>
      <c r="G80" s="34" t="s">
        <v>382</v>
      </c>
      <c r="H80" s="34" t="s">
        <v>412</v>
      </c>
      <c r="I80" s="34" t="s">
        <v>413</v>
      </c>
      <c r="J80" s="17" t="e">
        <f>H27/I70</f>
        <v>#DIV/0!</v>
      </c>
    </row>
    <row r="81" spans="4:10" x14ac:dyDescent="0.3">
      <c r="D81" s="55" t="s">
        <v>332</v>
      </c>
      <c r="E81" s="34" t="s">
        <v>415</v>
      </c>
      <c r="F81" s="34" t="s">
        <v>416</v>
      </c>
      <c r="G81" s="34" t="s">
        <v>359</v>
      </c>
      <c r="H81" s="34" t="s">
        <v>356</v>
      </c>
      <c r="I81" s="34" t="s">
        <v>417</v>
      </c>
      <c r="J81" s="17">
        <f>+IF(E17=0,0.35,IF(E18/E17&gt;1,1,IF(E18/E17&lt;0,0,IF(E18=0,0.7,(E18/E17)))))</f>
        <v>0.35</v>
      </c>
    </row>
    <row r="94" spans="4:10" x14ac:dyDescent="0.3">
      <c r="D94" t="s">
        <v>276</v>
      </c>
    </row>
    <row r="95" spans="4:10" x14ac:dyDescent="0.3">
      <c r="D95" t="s">
        <v>276</v>
      </c>
    </row>
  </sheetData>
  <mergeCells count="7">
    <mergeCell ref="D78:D81"/>
    <mergeCell ref="D67:D68"/>
    <mergeCell ref="D69:D70"/>
    <mergeCell ref="F32:G32"/>
    <mergeCell ref="D32:D33"/>
    <mergeCell ref="E32:E33"/>
    <mergeCell ref="D74:D77"/>
  </mergeCells>
  <hyperlinks>
    <hyperlink ref="A1" location="Menu!A1" display="Menu" xr:uid="{F282291E-BFBA-4E34-AA1C-7B9A8FEFA3D3}"/>
  </hyperlink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83938-610C-45C9-BD6F-704029BC9A8C}">
  <dimension ref="B2:F33"/>
  <sheetViews>
    <sheetView workbookViewId="0">
      <selection activeCell="C17" sqref="C17:E18"/>
    </sheetView>
  </sheetViews>
  <sheetFormatPr defaultRowHeight="14.4" x14ac:dyDescent="0.3"/>
  <cols>
    <col min="3" max="3" width="14.77734375" bestFit="1" customWidth="1"/>
    <col min="4" max="4" width="24" bestFit="1" customWidth="1"/>
    <col min="5" max="5" width="15.6640625" bestFit="1" customWidth="1"/>
  </cols>
  <sheetData>
    <row r="2" spans="2:6" x14ac:dyDescent="0.3">
      <c r="B2" s="35" t="s">
        <v>387</v>
      </c>
      <c r="C2" s="35" t="s">
        <v>328</v>
      </c>
      <c r="D2" s="35" t="s">
        <v>388</v>
      </c>
      <c r="E2" s="35" t="s">
        <v>386</v>
      </c>
      <c r="F2" s="38" t="s">
        <v>133</v>
      </c>
    </row>
    <row r="3" spans="2:6" x14ac:dyDescent="0.3">
      <c r="B3" s="62" t="s">
        <v>331</v>
      </c>
      <c r="C3" s="56" t="s">
        <v>438</v>
      </c>
      <c r="D3" s="56" t="s">
        <v>439</v>
      </c>
      <c r="E3" s="34" t="s">
        <v>426</v>
      </c>
      <c r="F3" s="66">
        <f>+IF('MA_Credit Bureau discr'!J74&lt;=0,0,1)</f>
        <v>0</v>
      </c>
    </row>
    <row r="4" spans="2:6" x14ac:dyDescent="0.3">
      <c r="B4" s="63"/>
      <c r="C4" s="57"/>
      <c r="D4" s="57"/>
      <c r="E4" s="34" t="s">
        <v>427</v>
      </c>
      <c r="F4" s="67"/>
    </row>
    <row r="5" spans="2:6" x14ac:dyDescent="0.3">
      <c r="B5" s="63"/>
      <c r="C5" s="56" t="s">
        <v>440</v>
      </c>
      <c r="D5" s="56" t="s">
        <v>441</v>
      </c>
      <c r="E5" s="34" t="s">
        <v>428</v>
      </c>
      <c r="F5" s="66" t="e">
        <f>+IF('MA_Credit Bureau discr'!J75&lt;=0,0,1)</f>
        <v>#DIV/0!</v>
      </c>
    </row>
    <row r="6" spans="2:6" x14ac:dyDescent="0.3">
      <c r="B6" s="63"/>
      <c r="C6" s="57"/>
      <c r="D6" s="57"/>
      <c r="E6" s="34" t="s">
        <v>429</v>
      </c>
      <c r="F6" s="67"/>
    </row>
    <row r="7" spans="2:6" x14ac:dyDescent="0.3">
      <c r="B7" s="63"/>
      <c r="C7" s="56" t="s">
        <v>442</v>
      </c>
      <c r="D7" s="56" t="s">
        <v>443</v>
      </c>
      <c r="E7" s="34" t="s">
        <v>430</v>
      </c>
      <c r="F7" s="66" t="e">
        <f>+IF('MA_Credit Bureau discr'!J76&lt;=0,0,1)</f>
        <v>#DIV/0!</v>
      </c>
    </row>
    <row r="8" spans="2:6" x14ac:dyDescent="0.3">
      <c r="B8" s="64"/>
      <c r="C8" s="57"/>
      <c r="D8" s="57"/>
      <c r="E8" s="34" t="s">
        <v>431</v>
      </c>
      <c r="F8" s="67"/>
    </row>
    <row r="9" spans="2:6" x14ac:dyDescent="0.3">
      <c r="B9" s="62" t="s">
        <v>332</v>
      </c>
      <c r="C9" s="56" t="s">
        <v>438</v>
      </c>
      <c r="D9" s="56" t="s">
        <v>444</v>
      </c>
      <c r="E9" s="34" t="s">
        <v>432</v>
      </c>
      <c r="F9" s="66">
        <f>+IF('MA_Credit Bureau discr'!J78&lt;=0,0,1)</f>
        <v>0</v>
      </c>
    </row>
    <row r="10" spans="2:6" x14ac:dyDescent="0.3">
      <c r="B10" s="63"/>
      <c r="C10" s="57"/>
      <c r="D10" s="57"/>
      <c r="E10" s="34" t="s">
        <v>433</v>
      </c>
      <c r="F10" s="67"/>
    </row>
    <row r="11" spans="2:6" x14ac:dyDescent="0.3">
      <c r="B11" s="63"/>
      <c r="C11" s="56" t="s">
        <v>440</v>
      </c>
      <c r="D11" s="56" t="s">
        <v>445</v>
      </c>
      <c r="E11" s="34" t="s">
        <v>434</v>
      </c>
      <c r="F11" s="66" t="e">
        <f>+IF('MA_Credit Bureau discr'!J79&lt;=0,0,1)</f>
        <v>#DIV/0!</v>
      </c>
    </row>
    <row r="12" spans="2:6" x14ac:dyDescent="0.3">
      <c r="B12" s="63"/>
      <c r="C12" s="57"/>
      <c r="D12" s="57"/>
      <c r="E12" s="34" t="s">
        <v>435</v>
      </c>
      <c r="F12" s="67"/>
    </row>
    <row r="13" spans="2:6" x14ac:dyDescent="0.3">
      <c r="B13" s="63"/>
      <c r="C13" s="56" t="s">
        <v>442</v>
      </c>
      <c r="D13" s="56" t="s">
        <v>446</v>
      </c>
      <c r="E13" s="34" t="s">
        <v>436</v>
      </c>
      <c r="F13" s="66" t="e">
        <f>+IF('MA_Credit Bureau discr'!J80&lt;=0,0,1)</f>
        <v>#DIV/0!</v>
      </c>
    </row>
    <row r="14" spans="2:6" x14ac:dyDescent="0.3">
      <c r="B14" s="64"/>
      <c r="C14" s="57"/>
      <c r="D14" s="57" t="s">
        <v>446</v>
      </c>
      <c r="E14" s="34" t="s">
        <v>437</v>
      </c>
      <c r="F14" s="67"/>
    </row>
    <row r="17" spans="3:5" x14ac:dyDescent="0.3">
      <c r="C17" s="65" t="s">
        <v>447</v>
      </c>
      <c r="D17" s="65"/>
    </row>
    <row r="18" spans="3:5" x14ac:dyDescent="0.3">
      <c r="C18" s="35" t="s">
        <v>448</v>
      </c>
      <c r="D18" s="35" t="s">
        <v>449</v>
      </c>
      <c r="E18" s="35" t="s">
        <v>133</v>
      </c>
    </row>
    <row r="19" spans="3:5" x14ac:dyDescent="0.3">
      <c r="C19" s="34" t="s">
        <v>439</v>
      </c>
      <c r="D19" s="41">
        <v>0.75016309999999997</v>
      </c>
      <c r="E19" s="17">
        <f>+F3*D19</f>
        <v>0</v>
      </c>
    </row>
    <row r="20" spans="3:5" x14ac:dyDescent="0.3">
      <c r="C20" s="34" t="s">
        <v>441</v>
      </c>
      <c r="D20" s="41">
        <v>1.3550789999999999</v>
      </c>
      <c r="E20" s="17" t="e">
        <f>+F5*D20</f>
        <v>#DIV/0!</v>
      </c>
    </row>
    <row r="21" spans="3:5" x14ac:dyDescent="0.3">
      <c r="C21" s="34" t="s">
        <v>443</v>
      </c>
      <c r="D21" s="41">
        <v>1.0252559999999999</v>
      </c>
      <c r="E21" s="17" t="e">
        <f>+F7*D21</f>
        <v>#DIV/0!</v>
      </c>
    </row>
    <row r="22" spans="3:5" x14ac:dyDescent="0.3">
      <c r="C22" s="34" t="s">
        <v>450</v>
      </c>
      <c r="D22" s="41">
        <v>1.9098900000000001</v>
      </c>
      <c r="E22" s="17">
        <f>+'MA_Credit Bureau discr'!J77*'MA_Credit Bureau dicot'!D22</f>
        <v>0.66846150000000004</v>
      </c>
    </row>
    <row r="23" spans="3:5" x14ac:dyDescent="0.3">
      <c r="C23" s="34" t="s">
        <v>451</v>
      </c>
      <c r="D23" s="41">
        <v>-3.5690710000000001</v>
      </c>
      <c r="E23" s="17">
        <f>+D23</f>
        <v>-3.5690710000000001</v>
      </c>
    </row>
    <row r="24" spans="3:5" x14ac:dyDescent="0.3">
      <c r="E24" s="17" t="e">
        <f>SUM(E19:E23)</f>
        <v>#DIV/0!</v>
      </c>
    </row>
    <row r="25" spans="3:5" x14ac:dyDescent="0.3">
      <c r="C25" s="65" t="s">
        <v>452</v>
      </c>
      <c r="D25" s="65"/>
    </row>
    <row r="26" spans="3:5" x14ac:dyDescent="0.3">
      <c r="C26" s="35" t="s">
        <v>448</v>
      </c>
      <c r="D26" s="35" t="s">
        <v>449</v>
      </c>
      <c r="E26" s="35" t="s">
        <v>133</v>
      </c>
    </row>
    <row r="27" spans="3:5" x14ac:dyDescent="0.3">
      <c r="C27" s="34" t="s">
        <v>444</v>
      </c>
      <c r="D27" s="41">
        <v>0.75016309999999997</v>
      </c>
      <c r="E27" s="17">
        <f>+F9*D27</f>
        <v>0</v>
      </c>
    </row>
    <row r="28" spans="3:5" x14ac:dyDescent="0.3">
      <c r="C28" s="34" t="s">
        <v>445</v>
      </c>
      <c r="D28" s="41">
        <v>1.3550789999999999</v>
      </c>
      <c r="E28" s="17" t="e">
        <f>+F11*D28</f>
        <v>#DIV/0!</v>
      </c>
    </row>
    <row r="29" spans="3:5" x14ac:dyDescent="0.3">
      <c r="C29" s="34" t="s">
        <v>446</v>
      </c>
      <c r="D29" s="41">
        <v>1.0252559999999999</v>
      </c>
      <c r="E29" s="17" t="e">
        <f>+F13*D29</f>
        <v>#DIV/0!</v>
      </c>
    </row>
    <row r="30" spans="3:5" x14ac:dyDescent="0.3">
      <c r="C30" s="34" t="s">
        <v>453</v>
      </c>
      <c r="D30" s="41">
        <v>1.9098900000000001</v>
      </c>
      <c r="E30" s="17">
        <f>+D30*'MA_Credit Bureau discr'!J81</f>
        <v>0.66846150000000004</v>
      </c>
    </row>
    <row r="31" spans="3:5" x14ac:dyDescent="0.3">
      <c r="C31" s="34" t="s">
        <v>451</v>
      </c>
      <c r="D31" s="41">
        <v>-3.5690710000000001</v>
      </c>
      <c r="E31" s="17">
        <f>+D31</f>
        <v>-3.5690710000000001</v>
      </c>
    </row>
    <row r="32" spans="3:5" x14ac:dyDescent="0.3">
      <c r="E32" s="17" t="e">
        <f>SUM(E27:E31)</f>
        <v>#DIV/0!</v>
      </c>
    </row>
    <row r="33" spans="2:2" x14ac:dyDescent="0.3">
      <c r="B33" t="s">
        <v>276</v>
      </c>
    </row>
  </sheetData>
  <mergeCells count="22">
    <mergeCell ref="C25:D25"/>
    <mergeCell ref="C17:D17"/>
    <mergeCell ref="F3:F4"/>
    <mergeCell ref="F5:F6"/>
    <mergeCell ref="F7:F8"/>
    <mergeCell ref="F9:F10"/>
    <mergeCell ref="F11:F12"/>
    <mergeCell ref="F13:F14"/>
    <mergeCell ref="C3:C4"/>
    <mergeCell ref="C5:C6"/>
    <mergeCell ref="C7:C8"/>
    <mergeCell ref="C9:C10"/>
    <mergeCell ref="C11:C12"/>
    <mergeCell ref="C13:C14"/>
    <mergeCell ref="D3:D4"/>
    <mergeCell ref="B3:B8"/>
    <mergeCell ref="D5:D6"/>
    <mergeCell ref="D7:D8"/>
    <mergeCell ref="D9:D10"/>
    <mergeCell ref="D11:D12"/>
    <mergeCell ref="B9:B14"/>
    <mergeCell ref="D13:D14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6721B-BCDC-4CC8-A438-14DCE66EB9F8}">
  <dimension ref="C1:E14"/>
  <sheetViews>
    <sheetView workbookViewId="0">
      <selection activeCell="C3" sqref="C3:E14"/>
    </sheetView>
  </sheetViews>
  <sheetFormatPr defaultRowHeight="14.4" x14ac:dyDescent="0.3"/>
  <cols>
    <col min="3" max="3" width="42.5546875" bestFit="1" customWidth="1"/>
    <col min="4" max="4" width="11.77734375" bestFit="1" customWidth="1"/>
  </cols>
  <sheetData>
    <row r="1" spans="3:5" x14ac:dyDescent="0.3">
      <c r="C1" t="s">
        <v>276</v>
      </c>
    </row>
    <row r="2" spans="3:5" x14ac:dyDescent="0.3">
      <c r="C2" t="s">
        <v>276</v>
      </c>
    </row>
    <row r="3" spans="3:5" ht="15" thickBot="1" x14ac:dyDescent="0.35">
      <c r="C3" s="24" t="s">
        <v>232</v>
      </c>
      <c r="D3" s="24" t="s">
        <v>233</v>
      </c>
      <c r="E3" s="24" t="s">
        <v>234</v>
      </c>
    </row>
    <row r="4" spans="3:5" ht="15" thickTop="1" x14ac:dyDescent="0.3">
      <c r="C4" s="25">
        <v>999999</v>
      </c>
      <c r="D4" s="27">
        <v>-1.5324059699999999</v>
      </c>
      <c r="E4" s="17" t="s">
        <v>457</v>
      </c>
    </row>
    <row r="5" spans="3:5" x14ac:dyDescent="0.3">
      <c r="C5" s="26">
        <f>+D4</f>
        <v>-1.5324059699999999</v>
      </c>
      <c r="D5" s="27">
        <v>-2.1981980800000001</v>
      </c>
      <c r="E5" s="17" t="s">
        <v>458</v>
      </c>
    </row>
    <row r="6" spans="3:5" x14ac:dyDescent="0.3">
      <c r="C6" s="26">
        <f t="shared" ref="C6:C13" si="0">+D5</f>
        <v>-2.1981980800000001</v>
      </c>
      <c r="D6" s="27">
        <v>-2.6198046210000001</v>
      </c>
      <c r="E6" s="17" t="s">
        <v>459</v>
      </c>
    </row>
    <row r="7" spans="3:5" x14ac:dyDescent="0.3">
      <c r="C7" s="26">
        <f t="shared" si="0"/>
        <v>-2.6198046210000001</v>
      </c>
      <c r="D7" s="27">
        <v>-2.8844139580000001</v>
      </c>
      <c r="E7" s="17" t="s">
        <v>460</v>
      </c>
    </row>
    <row r="8" spans="3:5" x14ac:dyDescent="0.3">
      <c r="C8" s="26">
        <f t="shared" si="0"/>
        <v>-2.8844139580000001</v>
      </c>
      <c r="D8" s="27">
        <v>-3.213093996</v>
      </c>
      <c r="E8" s="17" t="s">
        <v>461</v>
      </c>
    </row>
    <row r="9" spans="3:5" x14ac:dyDescent="0.3">
      <c r="C9" s="26">
        <f t="shared" si="0"/>
        <v>-3.213093996</v>
      </c>
      <c r="D9" s="27">
        <v>-3.4677848820000001</v>
      </c>
      <c r="E9" s="17" t="s">
        <v>462</v>
      </c>
    </row>
    <row r="10" spans="3:5" x14ac:dyDescent="0.3">
      <c r="C10" s="26">
        <f t="shared" si="0"/>
        <v>-3.4677848820000001</v>
      </c>
      <c r="D10" s="27">
        <v>-3.888909817</v>
      </c>
      <c r="E10" s="17" t="s">
        <v>463</v>
      </c>
    </row>
    <row r="11" spans="3:5" x14ac:dyDescent="0.3">
      <c r="C11" s="26">
        <f t="shared" si="0"/>
        <v>-3.888909817</v>
      </c>
      <c r="D11" s="27">
        <v>-4.2547779080000003</v>
      </c>
      <c r="E11" s="17" t="s">
        <v>464</v>
      </c>
    </row>
    <row r="12" spans="3:5" x14ac:dyDescent="0.3">
      <c r="C12" s="26">
        <f t="shared" si="0"/>
        <v>-4.2547779080000003</v>
      </c>
      <c r="D12" s="27">
        <v>-4.4338240620000002</v>
      </c>
      <c r="E12" s="17" t="s">
        <v>465</v>
      </c>
    </row>
    <row r="13" spans="3:5" x14ac:dyDescent="0.3">
      <c r="C13" s="26">
        <f t="shared" si="0"/>
        <v>-4.4338240620000002</v>
      </c>
      <c r="D13" s="27">
        <v>-4.7066745760000002</v>
      </c>
      <c r="E13" s="17" t="s">
        <v>466</v>
      </c>
    </row>
    <row r="14" spans="3:5" x14ac:dyDescent="0.3">
      <c r="C14" s="28">
        <f>+D13</f>
        <v>-4.7066745760000002</v>
      </c>
      <c r="D14" s="29">
        <v>-999999</v>
      </c>
      <c r="E14" s="17" t="s">
        <v>467</v>
      </c>
    </row>
  </sheetData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3B39-1452-4B28-832F-B7DDEF4FD722}">
  <dimension ref="A1:G113"/>
  <sheetViews>
    <sheetView showGridLines="0" workbookViewId="0"/>
  </sheetViews>
  <sheetFormatPr defaultRowHeight="14.4" x14ac:dyDescent="0.3"/>
  <cols>
    <col min="2" max="2" width="16.77734375" bestFit="1" customWidth="1"/>
    <col min="3" max="3" width="14.5546875" customWidth="1"/>
    <col min="4" max="4" width="14.44140625" customWidth="1"/>
    <col min="5" max="5" width="16.5546875" customWidth="1"/>
    <col min="6" max="6" width="13" customWidth="1"/>
  </cols>
  <sheetData>
    <row r="1" spans="1:6" x14ac:dyDescent="0.3">
      <c r="A1" s="52" t="s">
        <v>710</v>
      </c>
      <c r="B1" s="44" t="s">
        <v>708</v>
      </c>
    </row>
    <row r="3" spans="1:6" x14ac:dyDescent="0.3">
      <c r="B3" s="65" t="s">
        <v>468</v>
      </c>
      <c r="C3" s="65"/>
      <c r="D3" s="65"/>
      <c r="E3" s="65"/>
      <c r="F3" s="65"/>
    </row>
    <row r="4" spans="1:6" x14ac:dyDescent="0.3">
      <c r="B4" s="70" t="s">
        <v>469</v>
      </c>
      <c r="C4" s="71"/>
      <c r="D4" s="72" t="s">
        <v>470</v>
      </c>
      <c r="E4" s="72"/>
      <c r="F4" s="42" t="s">
        <v>471</v>
      </c>
    </row>
    <row r="5" spans="1:6" x14ac:dyDescent="0.3">
      <c r="B5" s="43" t="s">
        <v>478</v>
      </c>
      <c r="C5" s="43" t="s">
        <v>479</v>
      </c>
      <c r="D5" s="43" t="s">
        <v>478</v>
      </c>
      <c r="E5" s="43" t="s">
        <v>479</v>
      </c>
      <c r="F5" s="43" t="s">
        <v>479</v>
      </c>
    </row>
    <row r="6" spans="1:6" x14ac:dyDescent="0.3">
      <c r="A6" s="1" t="s">
        <v>472</v>
      </c>
      <c r="B6" s="36" t="s">
        <v>480</v>
      </c>
      <c r="C6" s="36" t="s">
        <v>486</v>
      </c>
      <c r="D6" s="36" t="s">
        <v>492</v>
      </c>
      <c r="E6" s="36" t="s">
        <v>498</v>
      </c>
      <c r="F6" s="36" t="s">
        <v>504</v>
      </c>
    </row>
    <row r="7" spans="1:6" x14ac:dyDescent="0.3">
      <c r="A7" s="1"/>
      <c r="B7" s="44"/>
      <c r="C7" s="44"/>
      <c r="D7" s="44"/>
      <c r="E7" s="44"/>
      <c r="F7" s="44"/>
    </row>
    <row r="8" spans="1:6" x14ac:dyDescent="0.3">
      <c r="A8" s="1" t="s">
        <v>473</v>
      </c>
      <c r="B8" s="36" t="s">
        <v>481</v>
      </c>
      <c r="C8" s="36" t="s">
        <v>487</v>
      </c>
      <c r="D8" s="36" t="s">
        <v>493</v>
      </c>
      <c r="E8" s="36" t="s">
        <v>499</v>
      </c>
      <c r="F8" s="36" t="s">
        <v>505</v>
      </c>
    </row>
    <row r="9" spans="1:6" x14ac:dyDescent="0.3">
      <c r="A9" s="1"/>
      <c r="B9" s="44"/>
      <c r="C9" s="44"/>
      <c r="D9" s="44"/>
      <c r="E9" s="44"/>
      <c r="F9" s="44"/>
    </row>
    <row r="10" spans="1:6" x14ac:dyDescent="0.3">
      <c r="A10" s="1" t="s">
        <v>474</v>
      </c>
      <c r="B10" s="36" t="s">
        <v>482</v>
      </c>
      <c r="C10" s="36" t="s">
        <v>488</v>
      </c>
      <c r="D10" s="36" t="s">
        <v>494</v>
      </c>
      <c r="E10" s="36" t="s">
        <v>500</v>
      </c>
      <c r="F10" s="36" t="s">
        <v>506</v>
      </c>
    </row>
    <row r="11" spans="1:6" x14ac:dyDescent="0.3">
      <c r="A11" s="1"/>
      <c r="B11" s="44"/>
      <c r="C11" s="44"/>
      <c r="D11" s="44"/>
      <c r="E11" s="44"/>
      <c r="F11" s="44"/>
    </row>
    <row r="12" spans="1:6" x14ac:dyDescent="0.3">
      <c r="A12" s="1" t="s">
        <v>475</v>
      </c>
      <c r="B12" s="36" t="s">
        <v>483</v>
      </c>
      <c r="C12" s="36" t="s">
        <v>489</v>
      </c>
      <c r="D12" s="36" t="s">
        <v>495</v>
      </c>
      <c r="E12" s="36" t="s">
        <v>501</v>
      </c>
      <c r="F12" s="36" t="s">
        <v>507</v>
      </c>
    </row>
    <row r="13" spans="1:6" x14ac:dyDescent="0.3">
      <c r="A13" s="1"/>
      <c r="B13" s="44"/>
      <c r="C13" s="44"/>
      <c r="D13" s="44"/>
      <c r="E13" s="44"/>
      <c r="F13" s="44"/>
    </row>
    <row r="14" spans="1:6" x14ac:dyDescent="0.3">
      <c r="A14" s="1" t="s">
        <v>476</v>
      </c>
      <c r="B14" s="36" t="s">
        <v>484</v>
      </c>
      <c r="C14" s="36" t="s">
        <v>490</v>
      </c>
      <c r="D14" s="36" t="s">
        <v>496</v>
      </c>
      <c r="E14" s="36" t="s">
        <v>502</v>
      </c>
      <c r="F14" s="36" t="s">
        <v>508</v>
      </c>
    </row>
    <row r="15" spans="1:6" x14ac:dyDescent="0.3">
      <c r="A15" s="1"/>
      <c r="B15" s="44"/>
      <c r="C15" s="44"/>
      <c r="D15" s="44"/>
      <c r="E15" s="44"/>
      <c r="F15" s="44"/>
    </row>
    <row r="16" spans="1:6" x14ac:dyDescent="0.3">
      <c r="A16" s="1" t="s">
        <v>477</v>
      </c>
      <c r="B16" s="36" t="s">
        <v>485</v>
      </c>
      <c r="C16" s="36" t="s">
        <v>491</v>
      </c>
      <c r="D16" s="36" t="s">
        <v>497</v>
      </c>
      <c r="E16" s="36" t="s">
        <v>503</v>
      </c>
      <c r="F16" s="36" t="s">
        <v>509</v>
      </c>
    </row>
    <row r="17" spans="2:6" x14ac:dyDescent="0.3">
      <c r="B17" s="39"/>
      <c r="C17" s="39"/>
      <c r="D17" s="39"/>
      <c r="E17" s="39"/>
      <c r="F17" s="39"/>
    </row>
    <row r="21" spans="2:6" x14ac:dyDescent="0.3">
      <c r="B21" s="45" t="s">
        <v>118</v>
      </c>
      <c r="C21" s="45" t="s">
        <v>330</v>
      </c>
      <c r="D21" s="45" t="s">
        <v>119</v>
      </c>
      <c r="E21" s="45" t="s">
        <v>122</v>
      </c>
      <c r="F21" s="49" t="s">
        <v>656</v>
      </c>
    </row>
    <row r="22" spans="2:6" ht="43.2" x14ac:dyDescent="0.3">
      <c r="B22" s="46" t="s">
        <v>510</v>
      </c>
      <c r="C22" s="47" t="s">
        <v>511</v>
      </c>
      <c r="D22" s="46" t="s">
        <v>519</v>
      </c>
      <c r="E22" s="46" t="s">
        <v>520</v>
      </c>
      <c r="F22" s="17">
        <f>+C7-E7</f>
        <v>0</v>
      </c>
    </row>
    <row r="23" spans="2:6" ht="43.2" x14ac:dyDescent="0.3">
      <c r="B23" s="46" t="s">
        <v>512</v>
      </c>
      <c r="C23" s="47" t="s">
        <v>511</v>
      </c>
      <c r="D23" s="46" t="s">
        <v>521</v>
      </c>
      <c r="E23" s="46" t="s">
        <v>522</v>
      </c>
      <c r="F23" s="17">
        <f>+C9-E9</f>
        <v>0</v>
      </c>
    </row>
    <row r="24" spans="2:6" ht="43.2" x14ac:dyDescent="0.3">
      <c r="B24" s="46" t="s">
        <v>513</v>
      </c>
      <c r="C24" s="47" t="s">
        <v>511</v>
      </c>
      <c r="D24" s="46" t="s">
        <v>523</v>
      </c>
      <c r="E24" s="46" t="s">
        <v>524</v>
      </c>
      <c r="F24" s="17">
        <f>+C11-E11</f>
        <v>0</v>
      </c>
    </row>
    <row r="25" spans="2:6" ht="43.2" x14ac:dyDescent="0.3">
      <c r="B25" s="46" t="s">
        <v>514</v>
      </c>
      <c r="C25" s="47" t="s">
        <v>511</v>
      </c>
      <c r="D25" s="46" t="s">
        <v>525</v>
      </c>
      <c r="E25" s="46" t="s">
        <v>526</v>
      </c>
      <c r="F25" s="17">
        <f>+C13-E13</f>
        <v>0</v>
      </c>
    </row>
    <row r="26" spans="2:6" ht="43.2" x14ac:dyDescent="0.3">
      <c r="B26" s="46" t="s">
        <v>515</v>
      </c>
      <c r="C26" s="47" t="s">
        <v>511</v>
      </c>
      <c r="D26" s="46" t="s">
        <v>527</v>
      </c>
      <c r="E26" s="46" t="s">
        <v>528</v>
      </c>
      <c r="F26" s="17">
        <f>+C15-E15</f>
        <v>0</v>
      </c>
    </row>
    <row r="27" spans="2:6" ht="43.2" x14ac:dyDescent="0.3">
      <c r="B27" s="46" t="s">
        <v>516</v>
      </c>
      <c r="C27" s="47" t="s">
        <v>511</v>
      </c>
      <c r="D27" s="46" t="s">
        <v>529</v>
      </c>
      <c r="E27" s="46" t="s">
        <v>530</v>
      </c>
      <c r="F27" s="17">
        <f>+C17-E17</f>
        <v>0</v>
      </c>
    </row>
    <row r="28" spans="2:6" ht="43.2" x14ac:dyDescent="0.3">
      <c r="B28" s="46" t="s">
        <v>517</v>
      </c>
      <c r="C28" s="47" t="s">
        <v>511</v>
      </c>
      <c r="D28" s="46" t="s">
        <v>531</v>
      </c>
      <c r="E28" s="46" t="s">
        <v>532</v>
      </c>
      <c r="F28" s="17">
        <f>+B7-D7</f>
        <v>0</v>
      </c>
    </row>
    <row r="29" spans="2:6" ht="43.2" x14ac:dyDescent="0.3">
      <c r="B29" s="46" t="s">
        <v>518</v>
      </c>
      <c r="C29" s="47" t="s">
        <v>511</v>
      </c>
      <c r="D29" s="46" t="s">
        <v>533</v>
      </c>
      <c r="E29" s="46" t="s">
        <v>534</v>
      </c>
      <c r="F29" s="17">
        <f>+B9-D9</f>
        <v>0</v>
      </c>
    </row>
    <row r="30" spans="2:6" ht="43.2" x14ac:dyDescent="0.3">
      <c r="B30" s="46" t="s">
        <v>535</v>
      </c>
      <c r="C30" s="47" t="s">
        <v>511</v>
      </c>
      <c r="D30" s="46" t="s">
        <v>550</v>
      </c>
      <c r="E30" s="46" t="s">
        <v>551</v>
      </c>
      <c r="F30" s="17">
        <f>+B11-D11</f>
        <v>0</v>
      </c>
    </row>
    <row r="31" spans="2:6" ht="43.2" x14ac:dyDescent="0.3">
      <c r="B31" s="46" t="s">
        <v>536</v>
      </c>
      <c r="C31" s="47" t="s">
        <v>511</v>
      </c>
      <c r="D31" s="46" t="s">
        <v>552</v>
      </c>
      <c r="E31" s="46" t="s">
        <v>553</v>
      </c>
      <c r="F31" s="17">
        <f>+B13-D13</f>
        <v>0</v>
      </c>
    </row>
    <row r="32" spans="2:6" ht="43.2" x14ac:dyDescent="0.3">
      <c r="B32" s="46" t="s">
        <v>537</v>
      </c>
      <c r="C32" s="47" t="s">
        <v>511</v>
      </c>
      <c r="D32" s="46" t="s">
        <v>554</v>
      </c>
      <c r="E32" s="46" t="s">
        <v>555</v>
      </c>
      <c r="F32" s="17">
        <f>+B15-D15</f>
        <v>0</v>
      </c>
    </row>
    <row r="33" spans="2:6" ht="43.2" x14ac:dyDescent="0.3">
      <c r="B33" s="46" t="s">
        <v>538</v>
      </c>
      <c r="C33" s="47" t="s">
        <v>511</v>
      </c>
      <c r="D33" s="46" t="s">
        <v>556</v>
      </c>
      <c r="E33" s="46" t="s">
        <v>557</v>
      </c>
      <c r="F33" s="17">
        <f>+B17-D17</f>
        <v>0</v>
      </c>
    </row>
    <row r="34" spans="2:6" ht="43.2" x14ac:dyDescent="0.3">
      <c r="B34" s="46" t="s">
        <v>539</v>
      </c>
      <c r="C34" s="47" t="s">
        <v>511</v>
      </c>
      <c r="D34" s="46" t="s">
        <v>540</v>
      </c>
      <c r="E34" s="48" t="s">
        <v>541</v>
      </c>
      <c r="F34" s="17">
        <f>+F22+F23+F24+F25+F26+F27</f>
        <v>0</v>
      </c>
    </row>
    <row r="35" spans="2:6" ht="43.2" x14ac:dyDescent="0.3">
      <c r="B35" s="46" t="s">
        <v>542</v>
      </c>
      <c r="C35" s="47" t="s">
        <v>511</v>
      </c>
      <c r="D35" s="46" t="s">
        <v>543</v>
      </c>
      <c r="E35" s="48" t="s">
        <v>544</v>
      </c>
      <c r="F35" s="17">
        <f>+F28+F29+F30+F31+F32+F33</f>
        <v>0</v>
      </c>
    </row>
    <row r="36" spans="2:6" ht="43.2" x14ac:dyDescent="0.3">
      <c r="B36" s="46" t="s">
        <v>558</v>
      </c>
      <c r="C36" s="47" t="s">
        <v>559</v>
      </c>
      <c r="D36" s="46" t="s">
        <v>560</v>
      </c>
      <c r="E36" s="48" t="s">
        <v>545</v>
      </c>
      <c r="F36" s="17">
        <f>+IF(C7&gt;B7,0,C7-B7)</f>
        <v>0</v>
      </c>
    </row>
    <row r="37" spans="2:6" ht="43.2" x14ac:dyDescent="0.3">
      <c r="B37" s="46" t="s">
        <v>561</v>
      </c>
      <c r="C37" s="47" t="s">
        <v>559</v>
      </c>
      <c r="D37" s="46" t="s">
        <v>562</v>
      </c>
      <c r="E37" s="48" t="s">
        <v>546</v>
      </c>
      <c r="F37" s="17">
        <f>+IF(C9&gt;B9,0,C9-B9)</f>
        <v>0</v>
      </c>
    </row>
    <row r="38" spans="2:6" ht="43.2" x14ac:dyDescent="0.3">
      <c r="B38" s="46" t="s">
        <v>563</v>
      </c>
      <c r="C38" s="47" t="s">
        <v>559</v>
      </c>
      <c r="D38" s="46" t="s">
        <v>564</v>
      </c>
      <c r="E38" s="48" t="s">
        <v>547</v>
      </c>
      <c r="F38" s="17">
        <f>+IF(C11&gt;B11,0,C11-B11)</f>
        <v>0</v>
      </c>
    </row>
    <row r="39" spans="2:6" ht="43.2" x14ac:dyDescent="0.3">
      <c r="B39" s="46" t="s">
        <v>565</v>
      </c>
      <c r="C39" s="47" t="s">
        <v>559</v>
      </c>
      <c r="D39" s="46" t="s">
        <v>566</v>
      </c>
      <c r="E39" s="48" t="s">
        <v>548</v>
      </c>
      <c r="F39" s="17">
        <f>+IF(C13&gt;B13,0,C13-B13)</f>
        <v>0</v>
      </c>
    </row>
    <row r="40" spans="2:6" ht="43.2" x14ac:dyDescent="0.3">
      <c r="B40" s="46" t="s">
        <v>567</v>
      </c>
      <c r="C40" s="47" t="s">
        <v>559</v>
      </c>
      <c r="D40" s="46" t="s">
        <v>568</v>
      </c>
      <c r="E40" s="48" t="s">
        <v>549</v>
      </c>
      <c r="F40" s="17">
        <f>+IF(C15&gt;B15,0,C15-B15)</f>
        <v>0</v>
      </c>
    </row>
    <row r="41" spans="2:6" ht="43.2" x14ac:dyDescent="0.3">
      <c r="B41" s="48" t="s">
        <v>590</v>
      </c>
      <c r="C41" s="48" t="s">
        <v>559</v>
      </c>
      <c r="D41" s="48" t="s">
        <v>591</v>
      </c>
      <c r="E41" s="48" t="s">
        <v>569</v>
      </c>
      <c r="F41" s="17">
        <f>+IF(C17&gt;B17,0,C17-B17)</f>
        <v>0</v>
      </c>
    </row>
    <row r="42" spans="2:6" ht="43.2" x14ac:dyDescent="0.3">
      <c r="B42" s="48" t="s">
        <v>570</v>
      </c>
      <c r="C42" s="48" t="s">
        <v>571</v>
      </c>
      <c r="D42" s="48" t="s">
        <v>572</v>
      </c>
      <c r="E42" s="48" t="s">
        <v>573</v>
      </c>
      <c r="F42" s="17">
        <f>+IF(E7&gt;D7,0,E7-D7)</f>
        <v>0</v>
      </c>
    </row>
    <row r="43" spans="2:6" ht="43.2" x14ac:dyDescent="0.3">
      <c r="B43" s="48" t="s">
        <v>574</v>
      </c>
      <c r="C43" s="48" t="s">
        <v>571</v>
      </c>
      <c r="D43" s="48" t="s">
        <v>575</v>
      </c>
      <c r="E43" s="48" t="s">
        <v>576</v>
      </c>
      <c r="F43" s="17">
        <f>+IF(E9&gt;D9,0,E9-D9)</f>
        <v>0</v>
      </c>
    </row>
    <row r="44" spans="2:6" ht="43.2" x14ac:dyDescent="0.3">
      <c r="B44" s="48" t="s">
        <v>577</v>
      </c>
      <c r="C44" s="48" t="s">
        <v>571</v>
      </c>
      <c r="D44" s="48" t="s">
        <v>578</v>
      </c>
      <c r="E44" s="48" t="s">
        <v>579</v>
      </c>
      <c r="F44" s="17">
        <f>+IF(E11&gt;D11,0,E11-D11)</f>
        <v>0</v>
      </c>
    </row>
    <row r="45" spans="2:6" ht="43.2" x14ac:dyDescent="0.3">
      <c r="B45" s="48" t="s">
        <v>580</v>
      </c>
      <c r="C45" s="48" t="s">
        <v>571</v>
      </c>
      <c r="D45" s="48" t="s">
        <v>581</v>
      </c>
      <c r="E45" s="48" t="s">
        <v>582</v>
      </c>
      <c r="F45" s="17">
        <f>+IF(E13&gt;D13,0,E13-D13)</f>
        <v>0</v>
      </c>
    </row>
    <row r="46" spans="2:6" ht="43.2" x14ac:dyDescent="0.3">
      <c r="B46" s="48" t="s">
        <v>583</v>
      </c>
      <c r="C46" s="48" t="s">
        <v>571</v>
      </c>
      <c r="D46" s="48" t="s">
        <v>584</v>
      </c>
      <c r="E46" s="48" t="s">
        <v>585</v>
      </c>
      <c r="F46" s="17">
        <f>+IF(E15&gt;D15,0,E15-D15)</f>
        <v>0</v>
      </c>
    </row>
    <row r="47" spans="2:6" ht="43.2" x14ac:dyDescent="0.3">
      <c r="B47" s="48" t="s">
        <v>586</v>
      </c>
      <c r="C47" s="48" t="s">
        <v>571</v>
      </c>
      <c r="D47" s="48" t="s">
        <v>587</v>
      </c>
      <c r="E47" s="48" t="s">
        <v>588</v>
      </c>
      <c r="F47" s="17">
        <f>+IF(E17&gt;D17,0,E17-D17)</f>
        <v>0</v>
      </c>
    </row>
    <row r="48" spans="2:6" ht="28.8" x14ac:dyDescent="0.3">
      <c r="B48" s="48" t="s">
        <v>592</v>
      </c>
      <c r="C48" s="48" t="s">
        <v>559</v>
      </c>
      <c r="D48" s="48" t="s">
        <v>594</v>
      </c>
      <c r="E48" s="48" t="s">
        <v>593</v>
      </c>
      <c r="F48" s="17">
        <f>+IF(C7="",0,1)</f>
        <v>0</v>
      </c>
    </row>
    <row r="49" spans="2:6" ht="28.8" x14ac:dyDescent="0.3">
      <c r="B49" s="48" t="s">
        <v>595</v>
      </c>
      <c r="C49" s="48" t="s">
        <v>559</v>
      </c>
      <c r="D49" s="48" t="s">
        <v>596</v>
      </c>
      <c r="E49" s="48" t="s">
        <v>597</v>
      </c>
      <c r="F49" s="17">
        <f>+IF(C9="",0,1)</f>
        <v>0</v>
      </c>
    </row>
    <row r="50" spans="2:6" ht="28.8" x14ac:dyDescent="0.3">
      <c r="B50" s="48" t="s">
        <v>598</v>
      </c>
      <c r="C50" s="48" t="s">
        <v>559</v>
      </c>
      <c r="D50" s="48" t="s">
        <v>599</v>
      </c>
      <c r="E50" s="48" t="s">
        <v>600</v>
      </c>
      <c r="F50" s="17">
        <f>+IF(C11="",0,1)</f>
        <v>0</v>
      </c>
    </row>
    <row r="51" spans="2:6" ht="28.8" x14ac:dyDescent="0.3">
      <c r="B51" s="48" t="s">
        <v>601</v>
      </c>
      <c r="C51" s="48" t="s">
        <v>559</v>
      </c>
      <c r="D51" s="48" t="s">
        <v>602</v>
      </c>
      <c r="E51" s="48" t="s">
        <v>603</v>
      </c>
      <c r="F51" s="17">
        <f>+IF(C13="",0,1)</f>
        <v>0</v>
      </c>
    </row>
    <row r="52" spans="2:6" ht="28.8" x14ac:dyDescent="0.3">
      <c r="B52" s="48" t="s">
        <v>604</v>
      </c>
      <c r="C52" s="48" t="s">
        <v>559</v>
      </c>
      <c r="D52" s="48" t="s">
        <v>605</v>
      </c>
      <c r="E52" s="48" t="s">
        <v>606</v>
      </c>
      <c r="F52" s="17">
        <f>+IF(C15="",0,1)</f>
        <v>0</v>
      </c>
    </row>
    <row r="53" spans="2:6" ht="28.8" x14ac:dyDescent="0.3">
      <c r="B53" s="48" t="s">
        <v>607</v>
      </c>
      <c r="C53" s="48" t="s">
        <v>559</v>
      </c>
      <c r="D53" s="48" t="s">
        <v>608</v>
      </c>
      <c r="E53" s="48" t="s">
        <v>609</v>
      </c>
      <c r="F53" s="17">
        <f>+IF(C17="",0,1)</f>
        <v>0</v>
      </c>
    </row>
    <row r="54" spans="2:6" ht="57.6" x14ac:dyDescent="0.3">
      <c r="B54" s="48" t="s">
        <v>589</v>
      </c>
      <c r="C54" s="48" t="s">
        <v>559</v>
      </c>
      <c r="D54" s="48" t="s">
        <v>610</v>
      </c>
      <c r="E54" s="48" t="s">
        <v>657</v>
      </c>
      <c r="F54" s="17">
        <f>+B7+B9+B11+B13+B15+B17</f>
        <v>0</v>
      </c>
    </row>
    <row r="55" spans="2:6" ht="57.6" x14ac:dyDescent="0.3">
      <c r="B55" s="48" t="s">
        <v>611</v>
      </c>
      <c r="C55" s="48" t="s">
        <v>559</v>
      </c>
      <c r="D55" s="48" t="s">
        <v>621</v>
      </c>
      <c r="E55" s="48" t="s">
        <v>612</v>
      </c>
      <c r="F55" s="17">
        <f>+C7+C9+C11+C13+C15+C17</f>
        <v>0</v>
      </c>
    </row>
    <row r="56" spans="2:6" ht="57.6" x14ac:dyDescent="0.3">
      <c r="B56" s="48" t="s">
        <v>613</v>
      </c>
      <c r="C56" s="48" t="s">
        <v>571</v>
      </c>
      <c r="D56" s="48" t="s">
        <v>622</v>
      </c>
      <c r="E56" s="48" t="s">
        <v>614</v>
      </c>
      <c r="F56" s="17">
        <f>+D7+D9+D11+D13+D15+D17</f>
        <v>0</v>
      </c>
    </row>
    <row r="57" spans="2:6" ht="57.6" x14ac:dyDescent="0.3">
      <c r="B57" s="48" t="s">
        <v>615</v>
      </c>
      <c r="C57" s="48" t="s">
        <v>571</v>
      </c>
      <c r="D57" s="48" t="s">
        <v>616</v>
      </c>
      <c r="E57" s="48" t="s">
        <v>617</v>
      </c>
      <c r="F57" s="17">
        <f>+E7+E9+E11+E13+E15+E17</f>
        <v>0</v>
      </c>
    </row>
    <row r="58" spans="2:6" ht="28.8" x14ac:dyDescent="0.3">
      <c r="B58" s="48" t="s">
        <v>623</v>
      </c>
      <c r="C58" s="48" t="s">
        <v>559</v>
      </c>
      <c r="D58" s="48" t="s">
        <v>624</v>
      </c>
      <c r="E58" s="48" t="s">
        <v>625</v>
      </c>
      <c r="F58" s="17">
        <f>+IF(F36&gt;0,1,0)</f>
        <v>0</v>
      </c>
    </row>
    <row r="59" spans="2:6" ht="28.8" x14ac:dyDescent="0.3">
      <c r="B59" s="48" t="s">
        <v>626</v>
      </c>
      <c r="C59" s="48" t="s">
        <v>559</v>
      </c>
      <c r="D59" s="48" t="s">
        <v>627</v>
      </c>
      <c r="E59" s="48" t="s">
        <v>628</v>
      </c>
      <c r="F59" s="17">
        <f>+IF(F37&gt;0,1,0)</f>
        <v>0</v>
      </c>
    </row>
    <row r="60" spans="2:6" ht="28.8" x14ac:dyDescent="0.3">
      <c r="B60" s="48" t="s">
        <v>629</v>
      </c>
      <c r="C60" s="48" t="s">
        <v>559</v>
      </c>
      <c r="D60" s="48" t="s">
        <v>630</v>
      </c>
      <c r="E60" s="48" t="s">
        <v>631</v>
      </c>
      <c r="F60" s="17">
        <f t="shared" ref="F60:F69" si="0">+IF(F38&gt;0,1,0)</f>
        <v>0</v>
      </c>
    </row>
    <row r="61" spans="2:6" ht="28.8" x14ac:dyDescent="0.3">
      <c r="B61" s="48" t="s">
        <v>632</v>
      </c>
      <c r="C61" s="48" t="s">
        <v>559</v>
      </c>
      <c r="D61" s="48" t="s">
        <v>633</v>
      </c>
      <c r="E61" s="48" t="s">
        <v>634</v>
      </c>
      <c r="F61" s="17">
        <f t="shared" si="0"/>
        <v>0</v>
      </c>
    </row>
    <row r="62" spans="2:6" ht="28.8" x14ac:dyDescent="0.3">
      <c r="B62" s="48" t="s">
        <v>635</v>
      </c>
      <c r="C62" s="48" t="s">
        <v>559</v>
      </c>
      <c r="D62" s="48" t="s">
        <v>636</v>
      </c>
      <c r="E62" s="48" t="s">
        <v>637</v>
      </c>
      <c r="F62" s="17">
        <f t="shared" si="0"/>
        <v>0</v>
      </c>
    </row>
    <row r="63" spans="2:6" ht="28.8" x14ac:dyDescent="0.3">
      <c r="B63" s="48" t="s">
        <v>638</v>
      </c>
      <c r="C63" s="48" t="s">
        <v>559</v>
      </c>
      <c r="D63" s="48" t="s">
        <v>639</v>
      </c>
      <c r="E63" s="48" t="s">
        <v>640</v>
      </c>
      <c r="F63" s="17">
        <f t="shared" si="0"/>
        <v>0</v>
      </c>
    </row>
    <row r="64" spans="2:6" ht="28.8" x14ac:dyDescent="0.3">
      <c r="B64" s="48" t="s">
        <v>618</v>
      </c>
      <c r="C64" s="48" t="s">
        <v>571</v>
      </c>
      <c r="D64" s="48" t="s">
        <v>641</v>
      </c>
      <c r="E64" s="48" t="s">
        <v>642</v>
      </c>
      <c r="F64" s="17">
        <f t="shared" si="0"/>
        <v>0</v>
      </c>
    </row>
    <row r="65" spans="2:7" ht="28.8" x14ac:dyDescent="0.3">
      <c r="B65" s="48" t="s">
        <v>619</v>
      </c>
      <c r="C65" s="48" t="s">
        <v>571</v>
      </c>
      <c r="D65" s="48" t="s">
        <v>643</v>
      </c>
      <c r="E65" s="48" t="s">
        <v>644</v>
      </c>
      <c r="F65" s="17">
        <f t="shared" si="0"/>
        <v>0</v>
      </c>
    </row>
    <row r="66" spans="2:7" ht="28.8" x14ac:dyDescent="0.3">
      <c r="B66" s="48" t="s">
        <v>620</v>
      </c>
      <c r="C66" s="48" t="s">
        <v>571</v>
      </c>
      <c r="D66" s="48" t="s">
        <v>645</v>
      </c>
      <c r="E66" s="48" t="s">
        <v>646</v>
      </c>
      <c r="F66" s="17">
        <f t="shared" si="0"/>
        <v>0</v>
      </c>
    </row>
    <row r="67" spans="2:7" ht="28.8" x14ac:dyDescent="0.3">
      <c r="B67" s="48" t="s">
        <v>647</v>
      </c>
      <c r="C67" s="48" t="s">
        <v>571</v>
      </c>
      <c r="D67" s="48" t="s">
        <v>648</v>
      </c>
      <c r="E67" s="48" t="s">
        <v>649</v>
      </c>
      <c r="F67" s="17">
        <f t="shared" si="0"/>
        <v>0</v>
      </c>
    </row>
    <row r="68" spans="2:7" ht="28.8" x14ac:dyDescent="0.3">
      <c r="B68" s="48" t="s">
        <v>650</v>
      </c>
      <c r="C68" s="48" t="s">
        <v>571</v>
      </c>
      <c r="D68" s="48" t="s">
        <v>651</v>
      </c>
      <c r="E68" s="48" t="s">
        <v>652</v>
      </c>
      <c r="F68" s="17">
        <f t="shared" si="0"/>
        <v>0</v>
      </c>
    </row>
    <row r="69" spans="2:7" ht="28.8" x14ac:dyDescent="0.3">
      <c r="B69" s="48" t="s">
        <v>653</v>
      </c>
      <c r="C69" s="48" t="s">
        <v>571</v>
      </c>
      <c r="D69" s="48" t="s">
        <v>654</v>
      </c>
      <c r="E69" s="48" t="s">
        <v>655</v>
      </c>
      <c r="F69" s="17">
        <f t="shared" si="0"/>
        <v>0</v>
      </c>
    </row>
    <row r="73" spans="2:7" x14ac:dyDescent="0.3">
      <c r="B73" t="s">
        <v>658</v>
      </c>
      <c r="C73" t="str">
        <f>+IF(F54&gt;F56,"ceck ok"," UN unrated")</f>
        <v xml:space="preserve"> UN unrated</v>
      </c>
    </row>
    <row r="74" spans="2:7" x14ac:dyDescent="0.3">
      <c r="B74" t="s">
        <v>659</v>
      </c>
      <c r="C74" t="str">
        <f>+IF(F55&gt;F57,"ceck ok"," UN unrated")</f>
        <v xml:space="preserve"> UN unrated</v>
      </c>
    </row>
    <row r="76" spans="2:7" x14ac:dyDescent="0.3">
      <c r="B76" s="50" t="s">
        <v>328</v>
      </c>
      <c r="C76" s="50" t="s">
        <v>388</v>
      </c>
      <c r="D76" s="50" t="s">
        <v>384</v>
      </c>
      <c r="E76" s="50" t="s">
        <v>385</v>
      </c>
      <c r="G76" s="50" t="s">
        <v>133</v>
      </c>
    </row>
    <row r="77" spans="2:7" x14ac:dyDescent="0.3">
      <c r="B77" s="48" t="s">
        <v>663</v>
      </c>
      <c r="C77" s="48" t="s">
        <v>664</v>
      </c>
      <c r="D77" s="48" t="s">
        <v>540</v>
      </c>
      <c r="E77" s="48" t="s">
        <v>543</v>
      </c>
      <c r="F77" s="48" t="s">
        <v>665</v>
      </c>
      <c r="G77" s="17" t="e">
        <f>+F34/F35</f>
        <v>#DIV/0!</v>
      </c>
    </row>
    <row r="78" spans="2:7" ht="57.6" x14ac:dyDescent="0.3">
      <c r="B78" s="48" t="s">
        <v>666</v>
      </c>
      <c r="C78" s="48" t="s">
        <v>667</v>
      </c>
      <c r="D78" s="48" t="s">
        <v>391</v>
      </c>
      <c r="E78" s="48" t="s">
        <v>391</v>
      </c>
      <c r="F78" s="48" t="s">
        <v>660</v>
      </c>
      <c r="G78" s="17">
        <f>+F58+F59+F60+F61+F62+F63</f>
        <v>0</v>
      </c>
    </row>
    <row r="79" spans="2:7" ht="57.6" x14ac:dyDescent="0.3">
      <c r="B79" s="48" t="s">
        <v>668</v>
      </c>
      <c r="C79" s="48" t="s">
        <v>455</v>
      </c>
      <c r="D79" s="48" t="s">
        <v>391</v>
      </c>
      <c r="E79" s="48" t="s">
        <v>391</v>
      </c>
      <c r="F79" s="48" t="s">
        <v>661</v>
      </c>
      <c r="G79" s="17">
        <f>+F64+F65+F66+F67+F68+F69</f>
        <v>0</v>
      </c>
    </row>
    <row r="80" spans="2:7" ht="57.6" x14ac:dyDescent="0.3">
      <c r="B80" s="48" t="s">
        <v>669</v>
      </c>
      <c r="C80" s="48" t="s">
        <v>454</v>
      </c>
      <c r="D80" s="48" t="s">
        <v>391</v>
      </c>
      <c r="E80" s="48" t="s">
        <v>391</v>
      </c>
      <c r="F80" s="48" t="s">
        <v>662</v>
      </c>
      <c r="G80" s="17">
        <f>+F48+F49+F50+F51+F52+F53</f>
        <v>0</v>
      </c>
    </row>
    <row r="82" spans="2:7" x14ac:dyDescent="0.3">
      <c r="C82" s="51" t="s">
        <v>670</v>
      </c>
      <c r="G82" s="17" t="e">
        <f>+IF(G77&gt;1.2,G77,IF(G77&lt;0,0,IF(F34&gt;0,1,G77)))</f>
        <v>#DIV/0!</v>
      </c>
    </row>
    <row r="84" spans="2:7" x14ac:dyDescent="0.3">
      <c r="B84" s="50" t="s">
        <v>328</v>
      </c>
      <c r="C84" s="50" t="s">
        <v>388</v>
      </c>
      <c r="D84" s="50" t="s">
        <v>386</v>
      </c>
      <c r="E84" s="50" t="s">
        <v>418</v>
      </c>
    </row>
    <row r="85" spans="2:7" ht="28.8" x14ac:dyDescent="0.3">
      <c r="B85" s="68" t="s">
        <v>675</v>
      </c>
      <c r="C85" s="68" t="s">
        <v>676</v>
      </c>
      <c r="D85" s="48" t="s">
        <v>671</v>
      </c>
      <c r="E85" s="17" t="str">
        <f>+IF(G80&gt;=4,G82,"NA")</f>
        <v>NA</v>
      </c>
    </row>
    <row r="86" spans="2:7" x14ac:dyDescent="0.3">
      <c r="B86" s="69"/>
      <c r="C86" s="69"/>
      <c r="D86" s="48" t="s">
        <v>672</v>
      </c>
      <c r="E86" s="17">
        <f>+IF(G80&lt;4,0,"NA")</f>
        <v>0</v>
      </c>
    </row>
    <row r="87" spans="2:7" x14ac:dyDescent="0.3">
      <c r="B87" s="68" t="s">
        <v>677</v>
      </c>
      <c r="C87" s="68" t="s">
        <v>678</v>
      </c>
      <c r="D87" s="48" t="s">
        <v>673</v>
      </c>
      <c r="E87" s="17" t="str">
        <f>+IF(G79&lt;0,0,"NA")</f>
        <v>NA</v>
      </c>
    </row>
    <row r="88" spans="2:7" x14ac:dyDescent="0.3">
      <c r="B88" s="69"/>
      <c r="C88" s="69"/>
      <c r="D88" s="48" t="s">
        <v>674</v>
      </c>
      <c r="E88" s="17" t="str">
        <f>+IF(G79&gt;0,1,"NA")</f>
        <v>NA</v>
      </c>
    </row>
    <row r="92" spans="2:7" x14ac:dyDescent="0.3">
      <c r="B92" s="65" t="s">
        <v>447</v>
      </c>
      <c r="C92" s="65"/>
    </row>
    <row r="93" spans="2:7" x14ac:dyDescent="0.3">
      <c r="B93" s="35" t="s">
        <v>448</v>
      </c>
      <c r="C93" s="35" t="s">
        <v>449</v>
      </c>
      <c r="D93" s="35" t="s">
        <v>133</v>
      </c>
    </row>
    <row r="94" spans="2:7" x14ac:dyDescent="0.3">
      <c r="B94" s="48" t="s">
        <v>456</v>
      </c>
      <c r="C94" s="48">
        <v>3.1790259999999999</v>
      </c>
      <c r="D94" s="48" t="e">
        <f>+G77*C94</f>
        <v>#DIV/0!</v>
      </c>
    </row>
    <row r="95" spans="2:7" x14ac:dyDescent="0.3">
      <c r="B95" s="48" t="s">
        <v>676</v>
      </c>
      <c r="C95" s="48">
        <v>-1.066972</v>
      </c>
      <c r="D95" s="48">
        <f>+IF(G80&gt;=4,E85*C95,E86*C95)</f>
        <v>0</v>
      </c>
    </row>
    <row r="96" spans="2:7" x14ac:dyDescent="0.3">
      <c r="B96" s="48" t="s">
        <v>678</v>
      </c>
      <c r="C96" s="48">
        <v>0.72086700000000004</v>
      </c>
      <c r="D96" s="48">
        <f>+IF(G79&gt;0,E88*C96,E89*C96)</f>
        <v>0</v>
      </c>
    </row>
    <row r="97" spans="2:4" x14ac:dyDescent="0.3">
      <c r="B97" s="48" t="s">
        <v>667</v>
      </c>
      <c r="C97" s="48">
        <v>3.2622600000000002E-2</v>
      </c>
      <c r="D97" s="48">
        <f>+G78*C97</f>
        <v>0</v>
      </c>
    </row>
    <row r="98" spans="2:4" x14ac:dyDescent="0.3">
      <c r="B98" s="48" t="s">
        <v>230</v>
      </c>
      <c r="C98" s="48">
        <v>-4.9844679999999997</v>
      </c>
      <c r="D98" s="48">
        <f>+C98</f>
        <v>-4.9844679999999997</v>
      </c>
    </row>
    <row r="99" spans="2:4" x14ac:dyDescent="0.3">
      <c r="D99" t="e">
        <f>SUM(D94:D98)</f>
        <v>#DIV/0!</v>
      </c>
    </row>
    <row r="102" spans="2:4" ht="15" thickBot="1" x14ac:dyDescent="0.35">
      <c r="B102" s="24" t="s">
        <v>232</v>
      </c>
      <c r="C102" s="24" t="s">
        <v>233</v>
      </c>
      <c r="D102" s="24" t="s">
        <v>234</v>
      </c>
    </row>
    <row r="103" spans="2:4" ht="15" thickTop="1" x14ac:dyDescent="0.3">
      <c r="B103" s="25">
        <v>999999</v>
      </c>
      <c r="C103" s="27">
        <v>-1.5324059699999999</v>
      </c>
      <c r="D103" s="17" t="s">
        <v>679</v>
      </c>
    </row>
    <row r="104" spans="2:4" x14ac:dyDescent="0.3">
      <c r="B104" s="26">
        <f>+C103</f>
        <v>-1.5324059699999999</v>
      </c>
      <c r="C104" s="27">
        <v>-2.1981980800000001</v>
      </c>
      <c r="D104" s="17" t="s">
        <v>680</v>
      </c>
    </row>
    <row r="105" spans="2:4" x14ac:dyDescent="0.3">
      <c r="B105" s="26">
        <f t="shared" ref="B105:B112" si="1">+C104</f>
        <v>-2.1981980800000001</v>
      </c>
      <c r="C105" s="27">
        <v>-2.6198046210000001</v>
      </c>
      <c r="D105" s="17" t="s">
        <v>681</v>
      </c>
    </row>
    <row r="106" spans="2:4" x14ac:dyDescent="0.3">
      <c r="B106" s="26">
        <f t="shared" si="1"/>
        <v>-2.6198046210000001</v>
      </c>
      <c r="C106" s="27">
        <v>-2.8844139580000001</v>
      </c>
      <c r="D106" s="17" t="s">
        <v>682</v>
      </c>
    </row>
    <row r="107" spans="2:4" x14ac:dyDescent="0.3">
      <c r="B107" s="26">
        <f t="shared" si="1"/>
        <v>-2.8844139580000001</v>
      </c>
      <c r="C107" s="27">
        <v>-3.213093996</v>
      </c>
      <c r="D107" s="17" t="s">
        <v>683</v>
      </c>
    </row>
    <row r="108" spans="2:4" x14ac:dyDescent="0.3">
      <c r="B108" s="26">
        <f t="shared" si="1"/>
        <v>-3.213093996</v>
      </c>
      <c r="C108" s="27">
        <v>-3.4677848820000001</v>
      </c>
      <c r="D108" s="17" t="s">
        <v>684</v>
      </c>
    </row>
    <row r="109" spans="2:4" x14ac:dyDescent="0.3">
      <c r="B109" s="26">
        <f t="shared" si="1"/>
        <v>-3.4677848820000001</v>
      </c>
      <c r="C109" s="27">
        <v>-3.888909817</v>
      </c>
      <c r="D109" s="17" t="s">
        <v>685</v>
      </c>
    </row>
    <row r="110" spans="2:4" x14ac:dyDescent="0.3">
      <c r="B110" s="26">
        <f t="shared" si="1"/>
        <v>-3.888909817</v>
      </c>
      <c r="C110" s="27">
        <v>-4.2547779080000003</v>
      </c>
      <c r="D110" s="17" t="s">
        <v>686</v>
      </c>
    </row>
    <row r="111" spans="2:4" x14ac:dyDescent="0.3">
      <c r="B111" s="26">
        <f t="shared" si="1"/>
        <v>-4.2547779080000003</v>
      </c>
      <c r="C111" s="27">
        <v>-4.4338240620000002</v>
      </c>
      <c r="D111" s="17" t="s">
        <v>687</v>
      </c>
    </row>
    <row r="112" spans="2:4" x14ac:dyDescent="0.3">
      <c r="B112" s="26">
        <f t="shared" si="1"/>
        <v>-4.4338240620000002</v>
      </c>
      <c r="C112" s="27">
        <v>-4.7066745760000002</v>
      </c>
      <c r="D112" s="17" t="s">
        <v>688</v>
      </c>
    </row>
    <row r="113" spans="2:4" x14ac:dyDescent="0.3">
      <c r="B113" s="28">
        <f>+C112</f>
        <v>-4.7066745760000002</v>
      </c>
      <c r="C113" s="29">
        <v>-999999</v>
      </c>
      <c r="D113" s="17" t="s">
        <v>689</v>
      </c>
    </row>
  </sheetData>
  <mergeCells count="8">
    <mergeCell ref="B92:C92"/>
    <mergeCell ref="B4:C4"/>
    <mergeCell ref="D4:E4"/>
    <mergeCell ref="B3:F3"/>
    <mergeCell ref="B85:B86"/>
    <mergeCell ref="C85:C86"/>
    <mergeCell ref="B87:B88"/>
    <mergeCell ref="C87:C88"/>
  </mergeCells>
  <phoneticPr fontId="2" type="noConversion"/>
  <hyperlinks>
    <hyperlink ref="A1" location="Menu!A1" display="Menu" xr:uid="{359EA5EF-73A1-43C8-AC2F-B01B69320657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9C68A-CF0E-4459-8B04-D057BEEEA6F7}">
  <dimension ref="B4:E31"/>
  <sheetViews>
    <sheetView showGridLines="0" workbookViewId="0">
      <selection activeCell="C20" sqref="C20:E31"/>
    </sheetView>
  </sheetViews>
  <sheetFormatPr defaultRowHeight="14.4" x14ac:dyDescent="0.3"/>
  <cols>
    <col min="3" max="3" width="66.88671875" bestFit="1" customWidth="1"/>
    <col min="4" max="4" width="11.77734375" bestFit="1" customWidth="1"/>
  </cols>
  <sheetData>
    <row r="4" spans="2:4" x14ac:dyDescent="0.3">
      <c r="B4" t="s">
        <v>690</v>
      </c>
      <c r="C4" t="s">
        <v>699</v>
      </c>
    </row>
    <row r="5" spans="2:4" x14ac:dyDescent="0.3">
      <c r="C5" t="s">
        <v>276</v>
      </c>
    </row>
    <row r="6" spans="2:4" x14ac:dyDescent="0.3">
      <c r="C6" t="s">
        <v>691</v>
      </c>
    </row>
    <row r="7" spans="2:4" x14ac:dyDescent="0.3">
      <c r="C7" t="s">
        <v>692</v>
      </c>
    </row>
    <row r="8" spans="2:4" x14ac:dyDescent="0.3">
      <c r="C8" t="s">
        <v>693</v>
      </c>
      <c r="D8" t="e">
        <f>+'MA_Credit Bureau dicot'!E24</f>
        <v>#DIV/0!</v>
      </c>
    </row>
    <row r="9" spans="2:4" x14ac:dyDescent="0.3">
      <c r="C9" t="s">
        <v>694</v>
      </c>
      <c r="D9" t="e">
        <f>+'MA_Credit Bureau dicot'!E32</f>
        <v>#DIV/0!</v>
      </c>
    </row>
    <row r="10" spans="2:4" x14ac:dyDescent="0.3">
      <c r="C10" t="s">
        <v>695</v>
      </c>
      <c r="D10" t="e">
        <f>+'MA_Centrale Rischi'!D99</f>
        <v>#DIV/0!</v>
      </c>
    </row>
    <row r="11" spans="2:4" x14ac:dyDescent="0.3">
      <c r="C11" t="s">
        <v>696</v>
      </c>
      <c r="D11">
        <f>+'MA_Credit Bureau discr'!E9+'MA_Credit Bureau discr'!E10+'MA_Credit Bureau discr'!E17-'MA_Credit Bureau discr'!E18+'MA_Credit Bureau discr'!E25+'MA_Credit Bureau discr'!E26</f>
        <v>0</v>
      </c>
    </row>
    <row r="12" spans="2:4" x14ac:dyDescent="0.3">
      <c r="C12" t="s">
        <v>697</v>
      </c>
      <c r="D12">
        <f>+'MA_Credit Bureau discr'!H10+'MA_Credit Bureau discr'!H11+'MA_Credit Bureau discr'!H18-'MA_Credit Bureau discr'!H19+'MA_Credit Bureau discr'!H26+'MA_Credit Bureau discr'!H27</f>
        <v>0</v>
      </c>
    </row>
    <row r="13" spans="2:4" x14ac:dyDescent="0.3">
      <c r="C13" t="s">
        <v>698</v>
      </c>
      <c r="D13">
        <f>+('MA_Centrale Rischi'!C7/1)+('MA_Centrale Rischi'!C9/2)+('MA_Centrale Rischi'!C11/3)+('MA_Centrale Rischi'!C13/4)+('MA_Centrale Rischi'!C15/5)+('MA_Centrale Rischi'!C17/6)</f>
        <v>0</v>
      </c>
    </row>
    <row r="17" spans="3:5" x14ac:dyDescent="0.3">
      <c r="C17" s="45" t="s">
        <v>133</v>
      </c>
      <c r="D17" s="17" t="e">
        <f>+((D8*D11)+(D9*D12)+(D10*D13))/(D11+D12+D13)</f>
        <v>#DIV/0!</v>
      </c>
    </row>
    <row r="20" spans="3:5" ht="15" thickBot="1" x14ac:dyDescent="0.35">
      <c r="C20" s="24" t="s">
        <v>232</v>
      </c>
      <c r="D20" s="24" t="s">
        <v>233</v>
      </c>
      <c r="E20" s="24" t="s">
        <v>234</v>
      </c>
    </row>
    <row r="21" spans="3:5" ht="15" thickTop="1" x14ac:dyDescent="0.3">
      <c r="C21" s="25">
        <v>999999</v>
      </c>
      <c r="D21" s="27">
        <v>-1.5324059699999999</v>
      </c>
      <c r="E21" s="17" t="s">
        <v>274</v>
      </c>
    </row>
    <row r="22" spans="3:5" x14ac:dyDescent="0.3">
      <c r="C22" s="26">
        <f>+D21</f>
        <v>-1.5324059699999999</v>
      </c>
      <c r="D22" s="27">
        <v>-2.1981980800000001</v>
      </c>
      <c r="E22" s="17" t="s">
        <v>273</v>
      </c>
    </row>
    <row r="23" spans="3:5" x14ac:dyDescent="0.3">
      <c r="C23" s="26">
        <f t="shared" ref="C23:C30" si="0">+D22</f>
        <v>-2.1981980800000001</v>
      </c>
      <c r="D23" s="27">
        <v>-2.6198046210000001</v>
      </c>
      <c r="E23" s="17" t="s">
        <v>700</v>
      </c>
    </row>
    <row r="24" spans="3:5" x14ac:dyDescent="0.3">
      <c r="C24" s="26">
        <f t="shared" si="0"/>
        <v>-2.6198046210000001</v>
      </c>
      <c r="D24" s="27">
        <v>-2.8844139580000001</v>
      </c>
      <c r="E24" s="17" t="s">
        <v>701</v>
      </c>
    </row>
    <row r="25" spans="3:5" x14ac:dyDescent="0.3">
      <c r="C25" s="26">
        <f t="shared" si="0"/>
        <v>-2.8844139580000001</v>
      </c>
      <c r="D25" s="27">
        <v>-3.213093996</v>
      </c>
      <c r="E25" s="17" t="s">
        <v>702</v>
      </c>
    </row>
    <row r="26" spans="3:5" x14ac:dyDescent="0.3">
      <c r="C26" s="26">
        <f t="shared" si="0"/>
        <v>-3.213093996</v>
      </c>
      <c r="D26" s="27">
        <v>-3.4677848820000001</v>
      </c>
      <c r="E26" s="17" t="s">
        <v>703</v>
      </c>
    </row>
    <row r="27" spans="3:5" x14ac:dyDescent="0.3">
      <c r="C27" s="26">
        <f t="shared" si="0"/>
        <v>-3.4677848820000001</v>
      </c>
      <c r="D27" s="27">
        <v>-3.888909817</v>
      </c>
      <c r="E27" s="17" t="s">
        <v>704</v>
      </c>
    </row>
    <row r="28" spans="3:5" x14ac:dyDescent="0.3">
      <c r="C28" s="26">
        <f t="shared" si="0"/>
        <v>-3.888909817</v>
      </c>
      <c r="D28" s="27">
        <v>-4.2547779080000003</v>
      </c>
      <c r="E28" s="17" t="s">
        <v>705</v>
      </c>
    </row>
    <row r="29" spans="3:5" x14ac:dyDescent="0.3">
      <c r="C29" s="26">
        <f t="shared" si="0"/>
        <v>-4.2547779080000003</v>
      </c>
      <c r="D29" s="27">
        <v>-4.4338240620000002</v>
      </c>
      <c r="E29" s="17" t="s">
        <v>706</v>
      </c>
    </row>
    <row r="30" spans="3:5" x14ac:dyDescent="0.3">
      <c r="C30" s="26">
        <f t="shared" si="0"/>
        <v>-4.4338240620000002</v>
      </c>
      <c r="D30" s="27">
        <v>-4.7066745760000002</v>
      </c>
      <c r="E30" s="17" t="s">
        <v>706</v>
      </c>
    </row>
    <row r="31" spans="3:5" x14ac:dyDescent="0.3">
      <c r="C31" s="28">
        <f>+D30</f>
        <v>-4.7066745760000002</v>
      </c>
      <c r="D31" s="29">
        <v>-999999</v>
      </c>
      <c r="E31" s="17" t="s">
        <v>707</v>
      </c>
    </row>
  </sheetData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9CC6F-F695-44E2-A71E-DD4C0C9C6154}">
  <dimension ref="A1:N30"/>
  <sheetViews>
    <sheetView showGridLines="0" workbookViewId="0"/>
  </sheetViews>
  <sheetFormatPr defaultRowHeight="14.4" x14ac:dyDescent="0.3"/>
  <cols>
    <col min="1" max="1" width="13.6640625" customWidth="1"/>
    <col min="4" max="5" width="11.77734375" bestFit="1" customWidth="1"/>
    <col min="6" max="6" width="21.33203125" bestFit="1" customWidth="1"/>
    <col min="10" max="11" width="11.77734375" bestFit="1" customWidth="1"/>
    <col min="12" max="12" width="21.33203125" bestFit="1" customWidth="1"/>
  </cols>
  <sheetData>
    <row r="1" spans="1:8" x14ac:dyDescent="0.3">
      <c r="A1" s="52" t="s">
        <v>710</v>
      </c>
    </row>
    <row r="2" spans="1:8" x14ac:dyDescent="0.3">
      <c r="A2" s="1" t="s">
        <v>712</v>
      </c>
      <c r="H2" s="1"/>
    </row>
    <row r="3" spans="1:8" ht="15" thickBot="1" x14ac:dyDescent="0.35">
      <c r="A3" s="37" t="s">
        <v>711</v>
      </c>
      <c r="B3" s="37" t="s">
        <v>418</v>
      </c>
      <c r="D3" s="37" t="s">
        <v>232</v>
      </c>
      <c r="E3" s="37" t="s">
        <v>233</v>
      </c>
      <c r="F3" s="37" t="s">
        <v>234</v>
      </c>
    </row>
    <row r="4" spans="1:8" ht="15" thickTop="1" x14ac:dyDescent="0.3">
      <c r="A4" s="40" t="s">
        <v>172</v>
      </c>
      <c r="B4" s="17">
        <f>+Industria!E22</f>
        <v>-3.8921070936529536</v>
      </c>
      <c r="D4" s="25">
        <v>999999</v>
      </c>
      <c r="E4" s="27">
        <v>-1.5324059699999999</v>
      </c>
      <c r="F4" s="17" t="s">
        <v>235</v>
      </c>
    </row>
    <row r="5" spans="1:8" x14ac:dyDescent="0.3">
      <c r="A5" s="40" t="s">
        <v>173</v>
      </c>
      <c r="B5" s="17">
        <f>+Edilizia!E20</f>
        <v>-3.0399627056375014</v>
      </c>
      <c r="D5" s="26">
        <f>+E4</f>
        <v>-1.5324059699999999</v>
      </c>
      <c r="E5" s="27">
        <v>-2.1981980800000001</v>
      </c>
      <c r="F5" s="17" t="s">
        <v>245</v>
      </c>
    </row>
    <row r="6" spans="1:8" x14ac:dyDescent="0.3">
      <c r="A6" s="40" t="s">
        <v>198</v>
      </c>
      <c r="B6" s="17">
        <f>+Commercio!E21</f>
        <v>-3.3923455530348976</v>
      </c>
      <c r="D6" s="26">
        <f t="shared" ref="D6:D13" si="0">+E5</f>
        <v>-2.1981980800000001</v>
      </c>
      <c r="E6" s="27">
        <v>-2.6198046210000001</v>
      </c>
      <c r="F6" s="17" t="s">
        <v>244</v>
      </c>
    </row>
    <row r="7" spans="1:8" x14ac:dyDescent="0.3">
      <c r="A7" s="40" t="s">
        <v>208</v>
      </c>
      <c r="B7" s="17">
        <f>+Immobiliare!E15</f>
        <v>-3.1030503638121529</v>
      </c>
      <c r="D7" s="26">
        <f t="shared" si="0"/>
        <v>-2.6198046210000001</v>
      </c>
      <c r="E7" s="27">
        <v>-2.8844139580000001</v>
      </c>
      <c r="F7" s="17" t="s">
        <v>237</v>
      </c>
    </row>
    <row r="8" spans="1:8" x14ac:dyDescent="0.3">
      <c r="A8" s="40" t="s">
        <v>225</v>
      </c>
      <c r="B8" s="17">
        <f>+Servizi!E19</f>
        <v>-3.9915814300235541</v>
      </c>
      <c r="D8" s="26">
        <f t="shared" si="0"/>
        <v>-2.8844139580000001</v>
      </c>
      <c r="E8" s="27">
        <v>-3.213093996</v>
      </c>
      <c r="F8" s="17" t="s">
        <v>238</v>
      </c>
    </row>
    <row r="9" spans="1:8" x14ac:dyDescent="0.3">
      <c r="D9" s="26">
        <f t="shared" si="0"/>
        <v>-3.213093996</v>
      </c>
      <c r="E9" s="27">
        <v>-3.4677848820000001</v>
      </c>
      <c r="F9" s="17" t="s">
        <v>239</v>
      </c>
    </row>
    <row r="10" spans="1:8" x14ac:dyDescent="0.3">
      <c r="D10" s="26">
        <f t="shared" si="0"/>
        <v>-3.4677848820000001</v>
      </c>
      <c r="E10" s="27">
        <v>-3.888909817</v>
      </c>
      <c r="F10" s="17" t="s">
        <v>240</v>
      </c>
    </row>
    <row r="11" spans="1:8" x14ac:dyDescent="0.3">
      <c r="D11" s="26">
        <f t="shared" si="0"/>
        <v>-3.888909817</v>
      </c>
      <c r="E11" s="27">
        <v>-4.2547779080000003</v>
      </c>
      <c r="F11" s="17" t="s">
        <v>241</v>
      </c>
    </row>
    <row r="12" spans="1:8" x14ac:dyDescent="0.3">
      <c r="D12" s="26">
        <f t="shared" si="0"/>
        <v>-4.2547779080000003</v>
      </c>
      <c r="E12" s="27">
        <v>-4.4338240620000002</v>
      </c>
      <c r="F12" s="17" t="s">
        <v>242</v>
      </c>
    </row>
    <row r="13" spans="1:8" x14ac:dyDescent="0.3">
      <c r="D13" s="26">
        <f t="shared" si="0"/>
        <v>-4.4338240620000002</v>
      </c>
      <c r="E13" s="27">
        <v>-4.7066745760000002</v>
      </c>
      <c r="F13" s="17" t="s">
        <v>243</v>
      </c>
    </row>
    <row r="14" spans="1:8" x14ac:dyDescent="0.3">
      <c r="D14" s="28">
        <f>+E13</f>
        <v>-4.7066745760000002</v>
      </c>
      <c r="E14" s="29">
        <v>-999999</v>
      </c>
      <c r="F14" s="17" t="s">
        <v>236</v>
      </c>
    </row>
    <row r="16" spans="1:8" ht="15" thickBot="1" x14ac:dyDescent="0.35"/>
    <row r="17" spans="1:14" ht="21.6" thickBot="1" x14ac:dyDescent="0.45">
      <c r="A17" s="73" t="s">
        <v>262</v>
      </c>
      <c r="B17" s="74"/>
      <c r="C17" s="79" t="s">
        <v>275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15" thickBot="1" x14ac:dyDescent="0.35">
      <c r="A18" s="75"/>
      <c r="B18" s="76"/>
      <c r="C18" s="32" t="s">
        <v>264</v>
      </c>
      <c r="D18" s="32" t="s">
        <v>265</v>
      </c>
      <c r="E18" s="32" t="s">
        <v>266</v>
      </c>
      <c r="F18" s="32" t="s">
        <v>267</v>
      </c>
      <c r="G18" s="32" t="s">
        <v>268</v>
      </c>
      <c r="H18" s="32" t="s">
        <v>269</v>
      </c>
      <c r="I18" s="32" t="s">
        <v>270</v>
      </c>
      <c r="J18" s="32" t="s">
        <v>271</v>
      </c>
      <c r="K18" s="32" t="s">
        <v>272</v>
      </c>
      <c r="L18" s="32" t="s">
        <v>273</v>
      </c>
      <c r="M18" s="32" t="s">
        <v>274</v>
      </c>
      <c r="N18" s="32" t="s">
        <v>263</v>
      </c>
    </row>
    <row r="19" spans="1:14" ht="15" thickBot="1" x14ac:dyDescent="0.35">
      <c r="A19" s="77" t="s">
        <v>261</v>
      </c>
      <c r="B19" s="32" t="s">
        <v>236</v>
      </c>
      <c r="C19" s="31">
        <v>1</v>
      </c>
      <c r="D19" s="31">
        <v>1</v>
      </c>
      <c r="E19" s="31">
        <v>1</v>
      </c>
      <c r="F19" s="31">
        <v>1</v>
      </c>
      <c r="G19" s="31">
        <v>1</v>
      </c>
      <c r="H19" s="31">
        <v>2</v>
      </c>
      <c r="I19" s="31">
        <v>3</v>
      </c>
      <c r="J19" s="31">
        <v>4</v>
      </c>
      <c r="K19" s="31">
        <v>5</v>
      </c>
      <c r="L19" s="31">
        <v>6</v>
      </c>
      <c r="M19" s="31">
        <v>6</v>
      </c>
      <c r="N19" s="31">
        <v>1</v>
      </c>
    </row>
    <row r="20" spans="1:14" ht="15" thickBot="1" x14ac:dyDescent="0.35">
      <c r="A20" s="77"/>
      <c r="B20" s="32" t="s">
        <v>243</v>
      </c>
      <c r="C20" s="30">
        <v>1</v>
      </c>
      <c r="D20" s="30">
        <v>2</v>
      </c>
      <c r="E20" s="30">
        <v>2</v>
      </c>
      <c r="F20" s="30">
        <v>2</v>
      </c>
      <c r="G20" s="30">
        <v>2</v>
      </c>
      <c r="H20" s="30">
        <v>3</v>
      </c>
      <c r="I20" s="30">
        <v>3</v>
      </c>
      <c r="J20" s="30">
        <v>4</v>
      </c>
      <c r="K20" s="30">
        <v>5</v>
      </c>
      <c r="L20" s="30">
        <v>6</v>
      </c>
      <c r="M20" s="30">
        <v>7</v>
      </c>
      <c r="N20" s="30">
        <v>2</v>
      </c>
    </row>
    <row r="21" spans="1:14" ht="15" thickBot="1" x14ac:dyDescent="0.35">
      <c r="A21" s="77"/>
      <c r="B21" s="32" t="s">
        <v>242</v>
      </c>
      <c r="C21" s="30">
        <v>1</v>
      </c>
      <c r="D21" s="30">
        <v>2</v>
      </c>
      <c r="E21" s="30">
        <v>3</v>
      </c>
      <c r="F21" s="30">
        <v>3</v>
      </c>
      <c r="G21" s="30">
        <v>3</v>
      </c>
      <c r="H21" s="30">
        <v>3</v>
      </c>
      <c r="I21" s="30">
        <v>4</v>
      </c>
      <c r="J21" s="30">
        <v>5</v>
      </c>
      <c r="K21" s="30">
        <v>5</v>
      </c>
      <c r="L21" s="30">
        <v>6</v>
      </c>
      <c r="M21" s="30">
        <v>8</v>
      </c>
      <c r="N21" s="30">
        <v>3</v>
      </c>
    </row>
    <row r="22" spans="1:14" ht="15" thickBot="1" x14ac:dyDescent="0.35">
      <c r="A22" s="77"/>
      <c r="B22" s="32" t="s">
        <v>241</v>
      </c>
      <c r="C22" s="30">
        <v>1</v>
      </c>
      <c r="D22" s="30">
        <v>2</v>
      </c>
      <c r="E22" s="30">
        <v>3</v>
      </c>
      <c r="F22" s="30">
        <v>4</v>
      </c>
      <c r="G22" s="30">
        <v>4</v>
      </c>
      <c r="H22" s="30">
        <v>5</v>
      </c>
      <c r="I22" s="30">
        <v>5</v>
      </c>
      <c r="J22" s="30">
        <v>6</v>
      </c>
      <c r="K22" s="30">
        <v>6</v>
      </c>
      <c r="L22" s="30">
        <v>7</v>
      </c>
      <c r="M22" s="30">
        <v>9</v>
      </c>
      <c r="N22" s="30">
        <v>4</v>
      </c>
    </row>
    <row r="23" spans="1:14" ht="15" thickBot="1" x14ac:dyDescent="0.35">
      <c r="A23" s="77"/>
      <c r="B23" s="32" t="s">
        <v>240</v>
      </c>
      <c r="C23" s="30">
        <v>2</v>
      </c>
      <c r="D23" s="30">
        <v>2</v>
      </c>
      <c r="E23" s="30">
        <v>3</v>
      </c>
      <c r="F23" s="30">
        <v>4</v>
      </c>
      <c r="G23" s="30">
        <v>5</v>
      </c>
      <c r="H23" s="30">
        <v>5</v>
      </c>
      <c r="I23" s="30">
        <v>5</v>
      </c>
      <c r="J23" s="30">
        <v>6</v>
      </c>
      <c r="K23" s="30">
        <v>7</v>
      </c>
      <c r="L23" s="30">
        <v>8</v>
      </c>
      <c r="M23" s="30">
        <v>10</v>
      </c>
      <c r="N23" s="30">
        <v>5</v>
      </c>
    </row>
    <row r="24" spans="1:14" ht="15" thickBot="1" x14ac:dyDescent="0.35">
      <c r="A24" s="77"/>
      <c r="B24" s="32" t="s">
        <v>239</v>
      </c>
      <c r="C24" s="30">
        <v>3</v>
      </c>
      <c r="D24" s="30">
        <v>3</v>
      </c>
      <c r="E24" s="30">
        <v>3</v>
      </c>
      <c r="F24" s="30">
        <v>4</v>
      </c>
      <c r="G24" s="30">
        <v>5</v>
      </c>
      <c r="H24" s="30">
        <v>6</v>
      </c>
      <c r="I24" s="30">
        <v>6</v>
      </c>
      <c r="J24" s="30">
        <v>6</v>
      </c>
      <c r="K24" s="30">
        <v>8</v>
      </c>
      <c r="L24" s="30">
        <v>9</v>
      </c>
      <c r="M24" s="30">
        <v>11</v>
      </c>
      <c r="N24" s="30">
        <v>6</v>
      </c>
    </row>
    <row r="25" spans="1:14" ht="15" thickBot="1" x14ac:dyDescent="0.35">
      <c r="A25" s="77"/>
      <c r="B25" s="32" t="s">
        <v>238</v>
      </c>
      <c r="C25" s="30">
        <v>3</v>
      </c>
      <c r="D25" s="30">
        <v>3</v>
      </c>
      <c r="E25" s="30">
        <v>3</v>
      </c>
      <c r="F25" s="30">
        <v>4</v>
      </c>
      <c r="G25" s="30">
        <v>5</v>
      </c>
      <c r="H25" s="30">
        <v>6</v>
      </c>
      <c r="I25" s="30">
        <v>6</v>
      </c>
      <c r="J25" s="30">
        <v>7</v>
      </c>
      <c r="K25" s="30">
        <v>8</v>
      </c>
      <c r="L25" s="30">
        <v>10</v>
      </c>
      <c r="M25" s="30">
        <v>11</v>
      </c>
      <c r="N25" s="30">
        <v>7</v>
      </c>
    </row>
    <row r="26" spans="1:14" ht="15" thickBot="1" x14ac:dyDescent="0.35">
      <c r="A26" s="77"/>
      <c r="B26" s="32" t="s">
        <v>237</v>
      </c>
      <c r="C26" s="30">
        <v>4</v>
      </c>
      <c r="D26" s="30">
        <v>4</v>
      </c>
      <c r="E26" s="30">
        <v>4</v>
      </c>
      <c r="F26" s="30">
        <v>4</v>
      </c>
      <c r="G26" s="30">
        <v>6</v>
      </c>
      <c r="H26" s="30">
        <v>7</v>
      </c>
      <c r="I26" s="30">
        <v>7</v>
      </c>
      <c r="J26" s="30">
        <v>8</v>
      </c>
      <c r="K26" s="30">
        <v>9</v>
      </c>
      <c r="L26" s="30">
        <v>10</v>
      </c>
      <c r="M26" s="30">
        <v>12</v>
      </c>
      <c r="N26" s="30">
        <v>8</v>
      </c>
    </row>
    <row r="27" spans="1:14" ht="15" thickBot="1" x14ac:dyDescent="0.35">
      <c r="A27" s="77"/>
      <c r="B27" s="32" t="s">
        <v>244</v>
      </c>
      <c r="C27" s="30">
        <v>5</v>
      </c>
      <c r="D27" s="30">
        <v>5</v>
      </c>
      <c r="E27" s="30">
        <v>5</v>
      </c>
      <c r="F27" s="30">
        <v>5</v>
      </c>
      <c r="G27" s="30">
        <v>7</v>
      </c>
      <c r="H27" s="30">
        <v>8</v>
      </c>
      <c r="I27" s="30">
        <v>8</v>
      </c>
      <c r="J27" s="30">
        <v>9</v>
      </c>
      <c r="K27" s="30">
        <v>9</v>
      </c>
      <c r="L27" s="30">
        <v>11</v>
      </c>
      <c r="M27" s="30">
        <v>12</v>
      </c>
      <c r="N27" s="30">
        <v>9</v>
      </c>
    </row>
    <row r="28" spans="1:14" ht="15" thickBot="1" x14ac:dyDescent="0.35">
      <c r="A28" s="77"/>
      <c r="B28" s="32" t="s">
        <v>245</v>
      </c>
      <c r="C28" s="30">
        <v>7</v>
      </c>
      <c r="D28" s="30">
        <v>7</v>
      </c>
      <c r="E28" s="30">
        <v>7</v>
      </c>
      <c r="F28" s="30">
        <v>7</v>
      </c>
      <c r="G28" s="30">
        <v>8</v>
      </c>
      <c r="H28" s="30">
        <v>9</v>
      </c>
      <c r="I28" s="30">
        <v>10</v>
      </c>
      <c r="J28" s="30">
        <v>10</v>
      </c>
      <c r="K28" s="30">
        <v>11</v>
      </c>
      <c r="L28" s="30">
        <v>11</v>
      </c>
      <c r="M28" s="30">
        <v>12</v>
      </c>
      <c r="N28" s="30">
        <v>10</v>
      </c>
    </row>
    <row r="29" spans="1:14" ht="15" thickBot="1" x14ac:dyDescent="0.35">
      <c r="A29" s="77"/>
      <c r="B29" s="32" t="s">
        <v>235</v>
      </c>
      <c r="C29" s="30">
        <v>9</v>
      </c>
      <c r="D29" s="30">
        <v>9</v>
      </c>
      <c r="E29" s="30">
        <v>9</v>
      </c>
      <c r="F29" s="30">
        <v>9</v>
      </c>
      <c r="G29" s="30">
        <v>10</v>
      </c>
      <c r="H29" s="30">
        <v>11</v>
      </c>
      <c r="I29" s="30">
        <v>11</v>
      </c>
      <c r="J29" s="30">
        <v>12</v>
      </c>
      <c r="K29" s="30">
        <v>12</v>
      </c>
      <c r="L29" s="30">
        <v>12</v>
      </c>
      <c r="M29" s="30">
        <v>12</v>
      </c>
      <c r="N29" s="30">
        <v>12</v>
      </c>
    </row>
    <row r="30" spans="1:14" ht="15" thickBot="1" x14ac:dyDescent="0.35">
      <c r="A30" s="78"/>
      <c r="B30" s="32" t="s">
        <v>263</v>
      </c>
      <c r="C30" s="30" t="s">
        <v>263</v>
      </c>
      <c r="D30" s="30" t="s">
        <v>263</v>
      </c>
      <c r="E30" s="30" t="s">
        <v>263</v>
      </c>
      <c r="F30" s="30" t="s">
        <v>263</v>
      </c>
      <c r="G30" s="30" t="s">
        <v>263</v>
      </c>
      <c r="H30" s="30" t="s">
        <v>263</v>
      </c>
      <c r="I30" s="30" t="s">
        <v>263</v>
      </c>
      <c r="J30" s="30" t="s">
        <v>263</v>
      </c>
      <c r="K30" s="30" t="s">
        <v>263</v>
      </c>
      <c r="L30" s="30" t="s">
        <v>263</v>
      </c>
      <c r="M30" s="30" t="s">
        <v>263</v>
      </c>
      <c r="N30" s="30" t="s">
        <v>263</v>
      </c>
    </row>
  </sheetData>
  <mergeCells count="3">
    <mergeCell ref="A17:B18"/>
    <mergeCell ref="A19:A30"/>
    <mergeCell ref="C17:N17"/>
  </mergeCells>
  <phoneticPr fontId="2" type="noConversion"/>
  <hyperlinks>
    <hyperlink ref="A1" location="Menu!A1" display="Menu" xr:uid="{60C1CB00-ED4B-403E-AED1-849AADAB81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A0EB1-61B8-4089-A517-231BA2772C67}">
  <dimension ref="A1:F56"/>
  <sheetViews>
    <sheetView showGridLines="0" workbookViewId="0"/>
  </sheetViews>
  <sheetFormatPr defaultRowHeight="14.4" x14ac:dyDescent="0.3"/>
  <cols>
    <col min="3" max="3" width="5.109375" bestFit="1" customWidth="1"/>
    <col min="4" max="4" width="66" bestFit="1" customWidth="1"/>
    <col min="5" max="5" width="18.44140625" customWidth="1"/>
    <col min="6" max="6" width="13.77734375" bestFit="1" customWidth="1"/>
    <col min="7" max="7" width="12" bestFit="1" customWidth="1"/>
    <col min="11" max="11" width="17.44140625" customWidth="1"/>
    <col min="12" max="12" width="63.88671875" bestFit="1" customWidth="1"/>
    <col min="13" max="13" width="12.109375" bestFit="1" customWidth="1"/>
  </cols>
  <sheetData>
    <row r="1" spans="1:6" x14ac:dyDescent="0.3">
      <c r="A1" s="52" t="s">
        <v>710</v>
      </c>
    </row>
    <row r="2" spans="1:6" x14ac:dyDescent="0.3">
      <c r="D2" s="7" t="s">
        <v>94</v>
      </c>
      <c r="E2" s="7"/>
    </row>
    <row r="5" spans="1:6" x14ac:dyDescent="0.3">
      <c r="E5" s="18" t="s">
        <v>149</v>
      </c>
      <c r="F5" s="18" t="s">
        <v>148</v>
      </c>
    </row>
    <row r="6" spans="1:6" x14ac:dyDescent="0.3">
      <c r="C6" s="1" t="s">
        <v>0</v>
      </c>
      <c r="D6" s="1" t="s">
        <v>1</v>
      </c>
      <c r="E6" s="6">
        <v>0</v>
      </c>
      <c r="F6" s="6">
        <v>0</v>
      </c>
    </row>
    <row r="7" spans="1:6" x14ac:dyDescent="0.3">
      <c r="C7" s="4" t="s">
        <v>2</v>
      </c>
      <c r="D7" s="4" t="s">
        <v>4</v>
      </c>
      <c r="E7" s="7">
        <v>1658673.19</v>
      </c>
      <c r="F7" s="7">
        <v>1958673.19</v>
      </c>
    </row>
    <row r="8" spans="1:6" x14ac:dyDescent="0.3">
      <c r="C8" s="4" t="s">
        <v>3</v>
      </c>
      <c r="D8" s="4" t="s">
        <v>6</v>
      </c>
      <c r="E8" s="7">
        <v>2957463.89</v>
      </c>
      <c r="F8" s="7">
        <v>2857463.8899999997</v>
      </c>
    </row>
    <row r="9" spans="1:6" x14ac:dyDescent="0.3">
      <c r="C9" s="4" t="s">
        <v>5</v>
      </c>
      <c r="D9" s="4" t="s">
        <v>93</v>
      </c>
      <c r="E9" s="7">
        <v>8255.16</v>
      </c>
      <c r="F9" s="7">
        <v>8255.16</v>
      </c>
    </row>
    <row r="10" spans="1:6" x14ac:dyDescent="0.3">
      <c r="C10" s="11" t="s">
        <v>7</v>
      </c>
      <c r="D10" s="11" t="s">
        <v>8</v>
      </c>
      <c r="E10" s="12">
        <f>+E7+E8+E9</f>
        <v>4624392.24</v>
      </c>
      <c r="F10" s="12">
        <f>+F7+F8+F9</f>
        <v>4824392.24</v>
      </c>
    </row>
    <row r="11" spans="1:6" x14ac:dyDescent="0.3">
      <c r="C11" s="3" t="s">
        <v>9</v>
      </c>
      <c r="D11" s="3" t="s">
        <v>10</v>
      </c>
      <c r="E11" s="6">
        <v>484243.82</v>
      </c>
      <c r="F11" s="6">
        <v>504243.82</v>
      </c>
    </row>
    <row r="12" spans="1:6" x14ac:dyDescent="0.3">
      <c r="C12" s="4" t="s">
        <v>11</v>
      </c>
      <c r="D12" s="4" t="s">
        <v>12</v>
      </c>
      <c r="E12" s="7">
        <v>1312568.49</v>
      </c>
      <c r="F12" s="7">
        <v>1412568.49</v>
      </c>
    </row>
    <row r="13" spans="1:6" x14ac:dyDescent="0.3">
      <c r="C13" s="4" t="s">
        <v>13</v>
      </c>
      <c r="D13" s="4" t="s">
        <v>14</v>
      </c>
      <c r="E13" s="7">
        <v>701352.65</v>
      </c>
      <c r="F13" s="7">
        <v>801352.65</v>
      </c>
    </row>
    <row r="14" spans="1:6" x14ac:dyDescent="0.3">
      <c r="C14" s="11" t="s">
        <v>15</v>
      </c>
      <c r="D14" s="11" t="s">
        <v>16</v>
      </c>
      <c r="E14" s="12">
        <f>+E12+E13</f>
        <v>2013921.1400000001</v>
      </c>
      <c r="F14" s="12">
        <f>+F12+F13</f>
        <v>2213921.14</v>
      </c>
    </row>
    <row r="15" spans="1:6" x14ac:dyDescent="0.3">
      <c r="C15" s="4" t="s">
        <v>17</v>
      </c>
      <c r="D15" s="4" t="s">
        <v>18</v>
      </c>
      <c r="E15" s="7"/>
      <c r="F15" s="7"/>
    </row>
    <row r="16" spans="1:6" x14ac:dyDescent="0.3">
      <c r="C16" s="4" t="s">
        <v>19</v>
      </c>
      <c r="D16" s="4" t="s">
        <v>20</v>
      </c>
      <c r="E16" s="7">
        <v>667287.09</v>
      </c>
      <c r="F16" s="7">
        <v>567288.09</v>
      </c>
    </row>
    <row r="17" spans="3:6" x14ac:dyDescent="0.3">
      <c r="C17" s="3" t="s">
        <v>21</v>
      </c>
      <c r="D17" s="3" t="s">
        <v>22</v>
      </c>
      <c r="E17" s="10">
        <f>+E16+E15+E14+E11</f>
        <v>3165452.05</v>
      </c>
      <c r="F17" s="10">
        <f>+F16+F15+F14+F11</f>
        <v>3285453.05</v>
      </c>
    </row>
    <row r="18" spans="3:6" x14ac:dyDescent="0.3">
      <c r="C18" s="3" t="s">
        <v>23</v>
      </c>
      <c r="D18" s="3" t="s">
        <v>24</v>
      </c>
      <c r="E18" s="10">
        <v>75556.83</v>
      </c>
      <c r="F18" s="10">
        <v>95557.83</v>
      </c>
    </row>
    <row r="19" spans="3:6" ht="15" thickBot="1" x14ac:dyDescent="0.35">
      <c r="C19" s="8" t="s">
        <v>25</v>
      </c>
      <c r="D19" s="8" t="s">
        <v>26</v>
      </c>
      <c r="E19" s="2">
        <f>+E18+E17+E10+E6</f>
        <v>7865401.1200000001</v>
      </c>
      <c r="F19" s="2">
        <f>+F18+F17+F10+F6</f>
        <v>8205403.1200000001</v>
      </c>
    </row>
    <row r="20" spans="3:6" ht="15" thickTop="1" x14ac:dyDescent="0.3">
      <c r="C20" s="3" t="s">
        <v>27</v>
      </c>
      <c r="D20" s="3" t="s">
        <v>28</v>
      </c>
      <c r="E20" s="6">
        <f>1677885.55-100000</f>
        <v>1577885.55</v>
      </c>
      <c r="F20" s="6">
        <f>1677885.55+36871.61</f>
        <v>1714757.1600000001</v>
      </c>
    </row>
    <row r="21" spans="3:6" x14ac:dyDescent="0.3">
      <c r="C21" s="3" t="s">
        <v>29</v>
      </c>
      <c r="D21" s="3" t="s">
        <v>111</v>
      </c>
      <c r="E21" s="6">
        <f>+E55</f>
        <v>-103127.3899999999</v>
      </c>
      <c r="F21" s="6">
        <f>+F55</f>
        <v>26871.610000000335</v>
      </c>
    </row>
    <row r="22" spans="3:6" x14ac:dyDescent="0.3">
      <c r="C22" s="3" t="s">
        <v>30</v>
      </c>
      <c r="D22" s="3" t="s">
        <v>31</v>
      </c>
      <c r="E22" s="6">
        <v>4097.74</v>
      </c>
      <c r="F22" s="6">
        <v>4097.74</v>
      </c>
    </row>
    <row r="23" spans="3:6" x14ac:dyDescent="0.3">
      <c r="C23" s="3" t="s">
        <v>32</v>
      </c>
      <c r="D23" s="3" t="s">
        <v>33</v>
      </c>
      <c r="E23" s="6">
        <v>110642.33</v>
      </c>
      <c r="F23" s="6">
        <v>140642.32999999999</v>
      </c>
    </row>
    <row r="24" spans="3:6" x14ac:dyDescent="0.3">
      <c r="C24" s="4" t="s">
        <v>34</v>
      </c>
      <c r="D24" s="4" t="s">
        <v>36</v>
      </c>
      <c r="E24" s="7">
        <f>2257307-527000</f>
        <v>1730307</v>
      </c>
      <c r="F24" s="7">
        <f>2557307-527000</f>
        <v>2030307</v>
      </c>
    </row>
    <row r="25" spans="3:6" x14ac:dyDescent="0.3">
      <c r="C25" s="4" t="s">
        <v>35</v>
      </c>
      <c r="D25" s="4" t="s">
        <v>37</v>
      </c>
      <c r="E25" s="7">
        <f>4229493.05-340894.16</f>
        <v>3888598.8899999997</v>
      </c>
      <c r="F25" s="7">
        <f>4129493.05-340894.16</f>
        <v>3788598.8899999997</v>
      </c>
    </row>
    <row r="26" spans="3:6" ht="15" thickBot="1" x14ac:dyDescent="0.35">
      <c r="C26" s="5" t="s">
        <v>38</v>
      </c>
      <c r="D26" s="5" t="s">
        <v>39</v>
      </c>
      <c r="E26" s="2">
        <f>+E24+E25</f>
        <v>5618905.8899999997</v>
      </c>
      <c r="F26" s="2">
        <f>+F24+F25</f>
        <v>5818905.8899999997</v>
      </c>
    </row>
    <row r="27" spans="3:6" ht="15" thickTop="1" x14ac:dyDescent="0.3">
      <c r="C27" s="3" t="s">
        <v>40</v>
      </c>
      <c r="D27" s="3" t="s">
        <v>24</v>
      </c>
      <c r="E27" s="6">
        <f>586999-33129.39</f>
        <v>553869.61</v>
      </c>
      <c r="F27" s="6">
        <v>527000</v>
      </c>
    </row>
    <row r="28" spans="3:6" ht="15" thickBot="1" x14ac:dyDescent="0.35">
      <c r="C28" s="2" t="s">
        <v>41</v>
      </c>
      <c r="D28" s="8" t="s">
        <v>42</v>
      </c>
      <c r="E28" s="2">
        <f>+E27+E26+E23+E22+E20</f>
        <v>7865401.1200000001</v>
      </c>
      <c r="F28" s="2">
        <f>+F27+F26+F23+F22+F20</f>
        <v>8205403.1200000001</v>
      </c>
    </row>
    <row r="29" spans="3:6" ht="15" thickTop="1" x14ac:dyDescent="0.3">
      <c r="E29" s="9"/>
      <c r="F29" s="9"/>
    </row>
    <row r="30" spans="3:6" x14ac:dyDescent="0.3">
      <c r="E30" s="18" t="s">
        <v>147</v>
      </c>
      <c r="F30" s="18" t="s">
        <v>146</v>
      </c>
    </row>
    <row r="31" spans="3:6" x14ac:dyDescent="0.3">
      <c r="C31" s="1" t="s">
        <v>43</v>
      </c>
      <c r="D31" s="1" t="s">
        <v>44</v>
      </c>
      <c r="E31" s="6">
        <v>1756871.61</v>
      </c>
      <c r="F31" s="6">
        <v>1956871.61</v>
      </c>
    </row>
    <row r="32" spans="3:6" x14ac:dyDescent="0.3">
      <c r="C32" s="4" t="s">
        <v>45</v>
      </c>
      <c r="D32" s="4" t="s">
        <v>67</v>
      </c>
      <c r="E32" s="7"/>
      <c r="F32" s="7"/>
    </row>
    <row r="33" spans="3:6" x14ac:dyDescent="0.3">
      <c r="C33" s="4" t="s">
        <v>46</v>
      </c>
      <c r="D33" s="4" t="s">
        <v>68</v>
      </c>
      <c r="E33" s="7">
        <v>120000</v>
      </c>
      <c r="F33" s="7">
        <v>230000</v>
      </c>
    </row>
    <row r="34" spans="3:6" x14ac:dyDescent="0.3">
      <c r="C34" s="4" t="s">
        <v>47</v>
      </c>
      <c r="D34" s="4" t="s">
        <v>69</v>
      </c>
      <c r="E34" s="7"/>
      <c r="F34" s="7"/>
    </row>
    <row r="35" spans="3:6" x14ac:dyDescent="0.3">
      <c r="C35" s="1" t="s">
        <v>48</v>
      </c>
      <c r="D35" s="1" t="s">
        <v>70</v>
      </c>
      <c r="E35" s="6">
        <v>30000</v>
      </c>
      <c r="F35" s="6">
        <v>30000</v>
      </c>
    </row>
    <row r="36" spans="3:6" ht="15" thickBot="1" x14ac:dyDescent="0.35">
      <c r="C36" s="8" t="s">
        <v>49</v>
      </c>
      <c r="D36" s="8" t="s">
        <v>71</v>
      </c>
      <c r="E36" s="2">
        <f>+SUM(E31:E35)</f>
        <v>1906871.61</v>
      </c>
      <c r="F36" s="2">
        <f>+SUM(F31:F35)</f>
        <v>2216871.6100000003</v>
      </c>
    </row>
    <row r="37" spans="3:6" ht="15" thickTop="1" x14ac:dyDescent="0.3">
      <c r="C37" s="1" t="s">
        <v>50</v>
      </c>
      <c r="D37" s="1" t="s">
        <v>72</v>
      </c>
      <c r="E37" s="6">
        <v>830000</v>
      </c>
      <c r="F37" s="6">
        <v>930000</v>
      </c>
    </row>
    <row r="38" spans="3:6" x14ac:dyDescent="0.3">
      <c r="C38" s="1" t="s">
        <v>51</v>
      </c>
      <c r="D38" s="1" t="s">
        <v>73</v>
      </c>
      <c r="E38" s="6">
        <v>230000</v>
      </c>
      <c r="F38" s="6">
        <v>250000</v>
      </c>
    </row>
    <row r="39" spans="3:6" x14ac:dyDescent="0.3">
      <c r="C39" s="1" t="s">
        <v>52</v>
      </c>
      <c r="D39" s="1" t="s">
        <v>74</v>
      </c>
      <c r="E39" s="6">
        <v>110000</v>
      </c>
      <c r="F39" s="6">
        <v>120000</v>
      </c>
    </row>
    <row r="40" spans="3:6" x14ac:dyDescent="0.3">
      <c r="C40" s="1" t="s">
        <v>53</v>
      </c>
      <c r="D40" s="1" t="s">
        <v>75</v>
      </c>
      <c r="E40" s="6">
        <v>450000</v>
      </c>
      <c r="F40" s="6">
        <v>450000</v>
      </c>
    </row>
    <row r="41" spans="3:6" x14ac:dyDescent="0.3">
      <c r="C41" s="4" t="s">
        <v>54</v>
      </c>
      <c r="D41" s="4" t="s">
        <v>76</v>
      </c>
      <c r="E41" s="7">
        <v>120000</v>
      </c>
      <c r="F41" s="7">
        <v>120000</v>
      </c>
    </row>
    <row r="42" spans="3:6" x14ac:dyDescent="0.3">
      <c r="C42" s="4" t="s">
        <v>55</v>
      </c>
      <c r="D42" s="4" t="s">
        <v>77</v>
      </c>
      <c r="E42" s="7">
        <v>100000</v>
      </c>
      <c r="F42" s="7">
        <v>100000</v>
      </c>
    </row>
    <row r="43" spans="3:6" x14ac:dyDescent="0.3">
      <c r="C43" s="11" t="s">
        <v>56</v>
      </c>
      <c r="D43" s="11" t="s">
        <v>78</v>
      </c>
      <c r="E43" s="12">
        <f>+E41+E42</f>
        <v>220000</v>
      </c>
      <c r="F43" s="12">
        <f>+F41+F42</f>
        <v>220000</v>
      </c>
    </row>
    <row r="44" spans="3:6" x14ac:dyDescent="0.3">
      <c r="C44" s="1" t="s">
        <v>57</v>
      </c>
      <c r="D44" s="1" t="s">
        <v>79</v>
      </c>
      <c r="E44" s="6">
        <v>25000</v>
      </c>
      <c r="F44" s="6">
        <v>35000</v>
      </c>
    </row>
    <row r="45" spans="3:6" x14ac:dyDescent="0.3">
      <c r="C45" s="1" t="s">
        <v>58</v>
      </c>
      <c r="D45" s="1" t="s">
        <v>80</v>
      </c>
      <c r="E45" s="6">
        <v>30000</v>
      </c>
      <c r="F45" s="6">
        <v>30000</v>
      </c>
    </row>
    <row r="46" spans="3:6" x14ac:dyDescent="0.3">
      <c r="C46" s="1" t="s">
        <v>59</v>
      </c>
      <c r="D46" s="1" t="s">
        <v>81</v>
      </c>
      <c r="E46" s="6">
        <v>20000</v>
      </c>
      <c r="F46" s="6">
        <v>20000</v>
      </c>
    </row>
    <row r="47" spans="3:6" x14ac:dyDescent="0.3">
      <c r="C47" s="1" t="s">
        <v>60</v>
      </c>
      <c r="D47" s="1" t="s">
        <v>82</v>
      </c>
      <c r="E47" s="6"/>
      <c r="F47" s="6"/>
    </row>
    <row r="48" spans="3:6" ht="15" thickBot="1" x14ac:dyDescent="0.35">
      <c r="C48" s="8" t="s">
        <v>61</v>
      </c>
      <c r="D48" s="8" t="s">
        <v>83</v>
      </c>
      <c r="E48" s="2">
        <f>+E37+E38+E39+E40+E43+E44+E45+E46+E47</f>
        <v>1915000</v>
      </c>
      <c r="F48" s="2">
        <f>+F37+F38+F39+F40+F43+F44+F45+F46+F47</f>
        <v>2055000</v>
      </c>
    </row>
    <row r="49" spans="3:6" ht="15" thickTop="1" x14ac:dyDescent="0.3">
      <c r="C49" s="1" t="s">
        <v>62</v>
      </c>
      <c r="D49" s="1" t="s">
        <v>84</v>
      </c>
      <c r="E49" s="6">
        <v>20000</v>
      </c>
      <c r="F49" s="6">
        <v>30000</v>
      </c>
    </row>
    <row r="50" spans="3:6" x14ac:dyDescent="0.3">
      <c r="C50" s="1" t="s">
        <v>63</v>
      </c>
      <c r="D50" s="1" t="s">
        <v>89</v>
      </c>
      <c r="E50" s="6">
        <v>5000</v>
      </c>
      <c r="F50" s="6">
        <v>10000</v>
      </c>
    </row>
    <row r="51" spans="3:6" x14ac:dyDescent="0.3">
      <c r="C51" s="1" t="s">
        <v>64</v>
      </c>
      <c r="D51" s="1" t="s">
        <v>85</v>
      </c>
      <c r="E51" s="6">
        <f>+E49+E50</f>
        <v>25000</v>
      </c>
      <c r="F51" s="6">
        <f>+F49+F50</f>
        <v>40000</v>
      </c>
    </row>
    <row r="52" spans="3:6" x14ac:dyDescent="0.3">
      <c r="C52" s="1" t="s">
        <v>65</v>
      </c>
      <c r="D52" s="1" t="s">
        <v>86</v>
      </c>
      <c r="E52" s="6">
        <f>+E49-E50+E51</f>
        <v>40000</v>
      </c>
      <c r="F52" s="6">
        <f>+F49-F50+F51</f>
        <v>60000</v>
      </c>
    </row>
    <row r="53" spans="3:6" ht="15" thickBot="1" x14ac:dyDescent="0.35">
      <c r="C53" s="8" t="s">
        <v>66</v>
      </c>
      <c r="D53" s="8" t="s">
        <v>87</v>
      </c>
      <c r="E53" s="2">
        <f>+E36-E48-E50-E51-E52</f>
        <v>-78128.389999999898</v>
      </c>
      <c r="F53" s="2">
        <f>+F36-F48-F50-F51-F52</f>
        <v>51871.610000000335</v>
      </c>
    </row>
    <row r="54" spans="3:6" ht="15" thickTop="1" x14ac:dyDescent="0.3">
      <c r="C54" s="1" t="s">
        <v>90</v>
      </c>
      <c r="D54" s="1" t="s">
        <v>88</v>
      </c>
      <c r="E54" s="6">
        <v>24999</v>
      </c>
      <c r="F54" s="6">
        <v>25000</v>
      </c>
    </row>
    <row r="55" spans="3:6" ht="15" thickBot="1" x14ac:dyDescent="0.35">
      <c r="C55" s="8" t="s">
        <v>91</v>
      </c>
      <c r="D55" s="8" t="s">
        <v>92</v>
      </c>
      <c r="E55" s="2">
        <f>+E53-E54</f>
        <v>-103127.3899999999</v>
      </c>
      <c r="F55" s="2">
        <f>+F53-F54</f>
        <v>26871.610000000335</v>
      </c>
    </row>
    <row r="56" spans="3:6" ht="15" thickTop="1" x14ac:dyDescent="0.3"/>
  </sheetData>
  <phoneticPr fontId="2" type="noConversion"/>
  <hyperlinks>
    <hyperlink ref="A1" location="Menu!A1" display="Menu" xr:uid="{17E5CEDC-BBB8-46C8-A35A-ACD095722688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57F4-AF93-4CCC-84EE-85741F3A9A6E}">
  <dimension ref="C4:E14"/>
  <sheetViews>
    <sheetView showGridLines="0" workbookViewId="0">
      <selection activeCell="E4" sqref="E4"/>
    </sheetView>
  </sheetViews>
  <sheetFormatPr defaultRowHeight="14.4" x14ac:dyDescent="0.3"/>
  <cols>
    <col min="4" max="4" width="62.6640625" bestFit="1" customWidth="1"/>
  </cols>
  <sheetData>
    <row r="4" spans="3:5" x14ac:dyDescent="0.3">
      <c r="C4" s="13" t="s">
        <v>95</v>
      </c>
      <c r="D4" s="14" t="s">
        <v>96</v>
      </c>
      <c r="E4" s="15" t="b">
        <f>Input_Quant!F19=Input_Quant!F28</f>
        <v>1</v>
      </c>
    </row>
    <row r="5" spans="3:5" x14ac:dyDescent="0.3">
      <c r="C5" s="13" t="s">
        <v>98</v>
      </c>
      <c r="D5" s="14" t="s">
        <v>97</v>
      </c>
      <c r="E5" s="15" t="b">
        <f>+Input_Quant!F21=Input_Quant!F55</f>
        <v>1</v>
      </c>
    </row>
    <row r="6" spans="3:5" x14ac:dyDescent="0.3">
      <c r="C6" s="13" t="s">
        <v>99</v>
      </c>
      <c r="D6" s="14" t="s">
        <v>100</v>
      </c>
      <c r="E6" s="15" t="b">
        <f>+(Input_Quant!F10-(Input_Quant!F9+Input_Quant!F8+Input_Quant!F7))&lt;=100</f>
        <v>1</v>
      </c>
    </row>
    <row r="7" spans="3:5" x14ac:dyDescent="0.3">
      <c r="C7" s="13" t="s">
        <v>101</v>
      </c>
      <c r="D7" s="14" t="s">
        <v>102</v>
      </c>
      <c r="E7" s="15" t="b">
        <f>+(Input_Quant!F14-(Input_Quant!F13+Input_Quant!F12))&lt;=100</f>
        <v>1</v>
      </c>
    </row>
    <row r="8" spans="3:5" x14ac:dyDescent="0.3">
      <c r="C8" s="13" t="s">
        <v>103</v>
      </c>
      <c r="D8" s="14" t="s">
        <v>104</v>
      </c>
      <c r="E8" s="15" t="b">
        <f>+(Input_Quant!F17-(Input_Quant!F11+Input_Quant!F14+Input_Quant!F15+Input_Quant!F16))&lt;=100</f>
        <v>1</v>
      </c>
    </row>
    <row r="9" spans="3:5" x14ac:dyDescent="0.3">
      <c r="C9" s="13" t="s">
        <v>106</v>
      </c>
      <c r="D9" s="14" t="s">
        <v>105</v>
      </c>
      <c r="E9" s="15" t="b">
        <f>+(Input_Quant!F19-(Input_Quant!F6+Input_Quant!F10+Input_Quant!F17+Input_Quant!F18))&lt;=100</f>
        <v>1</v>
      </c>
    </row>
    <row r="10" spans="3:5" x14ac:dyDescent="0.3">
      <c r="C10" s="13" t="s">
        <v>107</v>
      </c>
      <c r="D10" s="14" t="s">
        <v>108</v>
      </c>
      <c r="E10" s="15" t="b">
        <f>+(Input_Quant!F26-(Input_Quant!F25+Input_Quant!F24))&lt;=100</f>
        <v>1</v>
      </c>
    </row>
    <row r="11" spans="3:5" x14ac:dyDescent="0.3">
      <c r="C11" s="13" t="s">
        <v>109</v>
      </c>
      <c r="D11" s="14" t="s">
        <v>110</v>
      </c>
      <c r="E11" s="15" t="b">
        <f>+(Input_Quant!F28-(Input_Quant!F20+Input_Quant!F22+Input_Quant!F23+Input_Quant!F26+Input_Quant!F27))&lt;=100</f>
        <v>1</v>
      </c>
    </row>
    <row r="12" spans="3:5" x14ac:dyDescent="0.3">
      <c r="C12" s="13" t="s">
        <v>112</v>
      </c>
      <c r="D12" s="14" t="s">
        <v>113</v>
      </c>
      <c r="E12" s="15" t="b">
        <f>+(Input_Quant!F48-(Input_Quant!F37+Input_Quant!F38+Input_Quant!F39+Input_Quant!F40+Input_Quant!F43+Input_Quant!F44+Input_Quant!F45+Input_Quant!F46+Input_Quant!F47)&lt;=100)</f>
        <v>1</v>
      </c>
    </row>
    <row r="13" spans="3:5" x14ac:dyDescent="0.3">
      <c r="C13" s="13" t="s">
        <v>114</v>
      </c>
      <c r="D13" s="14" t="s">
        <v>115</v>
      </c>
      <c r="E13" s="15" t="b">
        <f>+(Input_Quant!F53-(Input_Quant!F36-Input_Quant!F48+Input_Quant!F50+Input_Quant!F51+Input_Quant!F52)&lt;=100)</f>
        <v>1</v>
      </c>
    </row>
    <row r="14" spans="3:5" x14ac:dyDescent="0.3">
      <c r="C14" s="13" t="s">
        <v>116</v>
      </c>
      <c r="D14" s="14" t="s">
        <v>117</v>
      </c>
      <c r="E14" s="15" t="b">
        <f>+(Input_Quant!F55-Input_Quant!F53-Input_Quant!F54-(Input_Quant!F37-Input_Quant!F49+Input_Quant!F51+Input_Quant!F52+Input_Quant!F53)&lt;=100)</f>
        <v>1</v>
      </c>
    </row>
  </sheetData>
  <phoneticPr fontId="2" type="noConversion"/>
  <conditionalFormatting sqref="E4">
    <cfRule type="cellIs" dxfId="3" priority="3" operator="equal">
      <formula>TRUE</formula>
    </cfRule>
    <cfRule type="cellIs" dxfId="2" priority="4" operator="equal">
      <formula>"""vero"""</formula>
    </cfRule>
  </conditionalFormatting>
  <conditionalFormatting sqref="E5:E14">
    <cfRule type="cellIs" dxfId="1" priority="1" operator="equal">
      <formula>TRUE</formula>
    </cfRule>
    <cfRule type="cellIs" dxfId="0" priority="2" operator="equal">
      <formula>"""vero"""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9EE16-59B3-4DD0-AD81-6C932A063C86}">
  <dimension ref="B4:O26"/>
  <sheetViews>
    <sheetView showGridLines="0" topLeftCell="B1" workbookViewId="0">
      <selection activeCell="F28" sqref="F28"/>
    </sheetView>
  </sheetViews>
  <sheetFormatPr defaultRowHeight="14.4" x14ac:dyDescent="0.3"/>
  <cols>
    <col min="2" max="2" width="41.44140625" bestFit="1" customWidth="1"/>
    <col min="4" max="5" width="26.44140625" bestFit="1" customWidth="1"/>
    <col min="6" max="6" width="12.109375" bestFit="1" customWidth="1"/>
    <col min="7" max="7" width="12.6640625" customWidth="1"/>
    <col min="13" max="13" width="10.21875" bestFit="1" customWidth="1"/>
    <col min="14" max="14" width="10.77734375" bestFit="1" customWidth="1"/>
  </cols>
  <sheetData>
    <row r="4" spans="2:15" ht="15" thickBot="1" x14ac:dyDescent="0.35">
      <c r="B4" s="5" t="s">
        <v>118</v>
      </c>
      <c r="C4" s="5" t="s">
        <v>119</v>
      </c>
      <c r="D4" s="5" t="s">
        <v>120</v>
      </c>
      <c r="E4" s="5" t="s">
        <v>121</v>
      </c>
      <c r="F4" s="5"/>
      <c r="G4" s="5"/>
      <c r="H4" s="5" t="s">
        <v>122</v>
      </c>
      <c r="I4" s="5" t="s">
        <v>133</v>
      </c>
      <c r="K4" s="19" t="s">
        <v>172</v>
      </c>
      <c r="L4" s="19" t="s">
        <v>173</v>
      </c>
      <c r="M4" s="19" t="s">
        <v>198</v>
      </c>
      <c r="N4" s="19" t="s">
        <v>208</v>
      </c>
      <c r="O4" s="19" t="s">
        <v>225</v>
      </c>
    </row>
    <row r="5" spans="2:15" ht="15" thickTop="1" x14ac:dyDescent="0.3">
      <c r="B5" s="13" t="s">
        <v>123</v>
      </c>
      <c r="C5" s="14" t="s">
        <v>124</v>
      </c>
      <c r="D5" s="14" t="s">
        <v>34</v>
      </c>
      <c r="E5" s="14" t="s">
        <v>43</v>
      </c>
      <c r="F5" s="14">
        <f>+Input_Quant!F24</f>
        <v>2030307</v>
      </c>
      <c r="G5" s="14">
        <f>+Input_Quant!F31</f>
        <v>1956871.61</v>
      </c>
      <c r="H5" s="14" t="s">
        <v>125</v>
      </c>
      <c r="I5" s="16">
        <f>+IFERROR(F5/G5,"na")</f>
        <v>1.0375269331031891</v>
      </c>
      <c r="K5" s="16">
        <f>+IF($G5=0,1,IF($I5&gt;1.4,1.4,IF($I5&lt;0.4,0.4,$F5/$G5)))</f>
        <v>1.0375269331031891</v>
      </c>
      <c r="L5" s="20"/>
      <c r="M5" s="20"/>
      <c r="N5" s="20"/>
      <c r="O5" s="16">
        <f>+IF($G5=0,2,IF($I5&gt;2.5,2.5,IF($I5&lt;0.2,0.2,$F5/$G5)))</f>
        <v>1.0375269331031891</v>
      </c>
    </row>
    <row r="6" spans="2:15" x14ac:dyDescent="0.3">
      <c r="B6" s="13" t="s">
        <v>134</v>
      </c>
      <c r="C6" s="14" t="s">
        <v>126</v>
      </c>
      <c r="D6" s="14" t="s">
        <v>62</v>
      </c>
      <c r="E6" s="14" t="s">
        <v>135</v>
      </c>
      <c r="F6" s="14">
        <f>+Input_Quant!F49</f>
        <v>30000</v>
      </c>
      <c r="G6" s="14">
        <f>+Input_Quant!F36-Input_Quant!F48+Input_Quant!F43+Input_Quant!F45+Input_Quant!F46</f>
        <v>431871.61000000034</v>
      </c>
      <c r="H6" s="14" t="s">
        <v>137</v>
      </c>
      <c r="I6" s="17">
        <f t="shared" ref="I6:I25" si="0">+F6/G6</f>
        <v>6.9465089404695937E-2</v>
      </c>
      <c r="K6" s="17">
        <f>+IF($G6=0,0.1,IF($I6&gt;1,1,IF($I6&lt;-1,-1,$F6/$G6)))</f>
        <v>6.9465089404695937E-2</v>
      </c>
      <c r="L6" s="17">
        <f>+IF($G6=0,1,IF($I6&gt;1,1,IF($I6&lt;-1,-1,$F6/$G6)))</f>
        <v>6.9465089404695937E-2</v>
      </c>
      <c r="M6" s="17">
        <f>+IF($G6=0,1,IF($I6&gt;1,1,IF($I6&lt;-1,-1,$F6/$G6)))</f>
        <v>6.9465089404695937E-2</v>
      </c>
      <c r="N6" s="17">
        <f>+IF($G6=0,0.8,IF($I6&gt;1,1,IF($I6&lt;-0.8,-0.8,$F6/$G6)))</f>
        <v>6.9465089404695937E-2</v>
      </c>
      <c r="O6" s="17">
        <f>+IF($G6=0,0.4,IF($I6&gt;1,1,IF($I6&lt;-1,-1,$F6/$G6)))</f>
        <v>6.9465089404695937E-2</v>
      </c>
    </row>
    <row r="7" spans="2:15" x14ac:dyDescent="0.3">
      <c r="B7" s="13" t="s">
        <v>136</v>
      </c>
      <c r="C7" s="14" t="s">
        <v>127</v>
      </c>
      <c r="D7" s="14" t="s">
        <v>62</v>
      </c>
      <c r="E7" s="14" t="s">
        <v>38</v>
      </c>
      <c r="F7" s="14">
        <f>+Input_Quant!F49</f>
        <v>30000</v>
      </c>
      <c r="G7" s="14">
        <f>+Input_Quant!F26</f>
        <v>5818905.8899999997</v>
      </c>
      <c r="H7" s="14" t="s">
        <v>138</v>
      </c>
      <c r="I7" s="17">
        <f t="shared" si="0"/>
        <v>5.1556083853420082E-3</v>
      </c>
      <c r="K7" s="17">
        <f>+IF($G7=0,0.06,IF($I7&gt;0.06,0.06,IF($I7&lt;0.01,0.01,$F7/$G7)))</f>
        <v>0.01</v>
      </c>
      <c r="L7" s="17">
        <f>+IF($G7=0,0.01,IF($I7&gt;0.03,0.03,IF($I7&lt;0,0,$F7/$G7)))</f>
        <v>5.1556083853420082E-3</v>
      </c>
      <c r="M7" s="17">
        <f>+IF($G7=0,0.06,IF($I7&gt;0.08,0.08,IF($I7&lt;0,0,$F7/$G7)))</f>
        <v>5.1556083853420082E-3</v>
      </c>
      <c r="N7" s="17">
        <f>+IF($G7=0,0.01,IF($I7&gt;0.06,0.06,IF($I7&lt;0,0,$F7/$G7)))</f>
        <v>5.1556083853420082E-3</v>
      </c>
    </row>
    <row r="8" spans="2:15" x14ac:dyDescent="0.3">
      <c r="B8" s="13" t="s">
        <v>144</v>
      </c>
      <c r="C8" s="14" t="s">
        <v>128</v>
      </c>
      <c r="D8" s="14" t="s">
        <v>19</v>
      </c>
      <c r="E8" s="14" t="s">
        <v>43</v>
      </c>
      <c r="F8" s="14">
        <f>+Input_Quant!F16</f>
        <v>567288.09</v>
      </c>
      <c r="G8" s="14">
        <f>+Input_Quant!F31</f>
        <v>1956871.61</v>
      </c>
      <c r="H8" s="14" t="s">
        <v>139</v>
      </c>
      <c r="I8" s="17">
        <f t="shared" si="0"/>
        <v>0.28989540606601161</v>
      </c>
      <c r="K8" s="17">
        <f>+IF($G8=0,0.2,IF($I8&gt;0.3,0.3,IF($I8&lt;0.01,0.01,$F8/$G8)))</f>
        <v>0.28989540606601161</v>
      </c>
      <c r="M8" s="17">
        <f>+IF($G8=0,0.2,IF($I8&gt;0.1,0.1,IF($I8&lt;0.01,0.01,$F8/$G8)))</f>
        <v>0.1</v>
      </c>
      <c r="O8" s="17">
        <f>+IF($G8=0,0.02,IF($I8&gt;0.16,0.16,IF($I8&lt;0.01,0.01,$F8/$G8)))</f>
        <v>0.16</v>
      </c>
    </row>
    <row r="9" spans="2:15" x14ac:dyDescent="0.3">
      <c r="B9" s="13" t="s">
        <v>145</v>
      </c>
      <c r="C9" s="14" t="s">
        <v>129</v>
      </c>
      <c r="D9" s="14" t="s">
        <v>43</v>
      </c>
      <c r="E9" s="14" t="s">
        <v>9</v>
      </c>
      <c r="F9" s="14">
        <f>+Input_Quant!F31</f>
        <v>1956871.61</v>
      </c>
      <c r="G9" s="14">
        <f>+Input_Quant!F11</f>
        <v>504243.82</v>
      </c>
      <c r="H9" s="14" t="s">
        <v>140</v>
      </c>
      <c r="I9" s="17">
        <f t="shared" si="0"/>
        <v>3.880804349768729</v>
      </c>
      <c r="K9" s="17">
        <f>+IF($G9=0,11,IF($I9&gt;11,11,IF($I9&lt;1.4,1.4,$F9/$G9)))</f>
        <v>3.880804349768729</v>
      </c>
    </row>
    <row r="10" spans="2:15" x14ac:dyDescent="0.3">
      <c r="B10" s="13" t="s">
        <v>150</v>
      </c>
      <c r="C10" s="14" t="s">
        <v>130</v>
      </c>
      <c r="D10" s="14" t="s">
        <v>151</v>
      </c>
      <c r="E10" s="14" t="s">
        <v>152</v>
      </c>
      <c r="F10" s="14">
        <f>+Input_Quant!F31-Input_Quant!E31</f>
        <v>200000</v>
      </c>
      <c r="G10" s="14">
        <f>+Input_Quant!E31</f>
        <v>1756871.61</v>
      </c>
      <c r="H10" s="14" t="s">
        <v>141</v>
      </c>
      <c r="I10" s="17">
        <f t="shared" si="0"/>
        <v>0.11383871129888654</v>
      </c>
      <c r="K10" s="17">
        <f>+IF($G10=0,0.2,IF($I10-0.1&gt;0.6,0.6,IF($I10-0.1&lt;-0.4,-0.4,$F10/$G10)))</f>
        <v>0.11383871129888654</v>
      </c>
      <c r="M10" s="17">
        <f>+IF($G10=0,0.24,IF($I10-0.06&gt;0.54,0.54,IF($I10-0.06&lt;-0.36,-0.36,$F10/$G10)))</f>
        <v>0.11383871129888654</v>
      </c>
      <c r="O10" s="17">
        <f>+IF($G10=0,0.14,IF($I10-0.06&gt;0.84,0.84,IF($I10-0.06&lt;-0.36,-0.36,$F10/$G10)))</f>
        <v>0.11383871129888654</v>
      </c>
    </row>
    <row r="11" spans="2:15" x14ac:dyDescent="0.3">
      <c r="B11" s="13" t="s">
        <v>153</v>
      </c>
      <c r="C11" s="14" t="s">
        <v>131</v>
      </c>
      <c r="D11" s="14" t="s">
        <v>154</v>
      </c>
      <c r="E11" s="14" t="s">
        <v>155</v>
      </c>
      <c r="F11" s="14">
        <f>+Input_Quant!F20-Input_Quant!F6</f>
        <v>1714757.1600000001</v>
      </c>
      <c r="G11" s="14">
        <f>+Input_Quant!F28-Input_Quant!F6</f>
        <v>8205403.1200000001</v>
      </c>
      <c r="H11" s="14" t="s">
        <v>142</v>
      </c>
      <c r="I11" s="17">
        <f t="shared" si="0"/>
        <v>0.20897902698045628</v>
      </c>
      <c r="K11" s="17">
        <f>+IF($G11=0,0.1,IF($I11&gt;0.64,0.64,IF($I11&lt;0,0,$F11/$G11)))</f>
        <v>0.20897902698045628</v>
      </c>
      <c r="L11" s="17">
        <f>+IF($G11=0,0.03,IF($I11&gt;2,2,IF($I11&lt;0,0,$F11/$G11)))</f>
        <v>0.20897902698045628</v>
      </c>
      <c r="M11" s="17">
        <f>+IF($G11=0,0.04,IF($I11&gt;1.6,1.6,IF($I11&lt;0,0,$F11/$G11)))</f>
        <v>0.20897902698045628</v>
      </c>
      <c r="N11" s="17">
        <f>+IF($G11=0,0.1,IF($I11&gt;1,1,IF($I11&lt;0,0,$F11/$G11)))</f>
        <v>0.20897902698045628</v>
      </c>
    </row>
    <row r="12" spans="2:15" x14ac:dyDescent="0.3">
      <c r="B12" s="13" t="s">
        <v>156</v>
      </c>
      <c r="C12" s="14" t="s">
        <v>132</v>
      </c>
      <c r="D12" s="14" t="s">
        <v>157</v>
      </c>
      <c r="E12" s="14" t="s">
        <v>154</v>
      </c>
      <c r="F12" s="14">
        <f>+Input_Quant!F10-Input_Quant!F13</f>
        <v>4023039.5900000003</v>
      </c>
      <c r="G12" s="14">
        <f>+Input_Quant!F20-Input_Quant!F6</f>
        <v>1714757.1600000001</v>
      </c>
      <c r="H12" s="14" t="s">
        <v>143</v>
      </c>
      <c r="I12" s="17">
        <f t="shared" si="0"/>
        <v>2.3461278855368652</v>
      </c>
    </row>
    <row r="13" spans="2:15" x14ac:dyDescent="0.3">
      <c r="B13" s="13" t="s">
        <v>174</v>
      </c>
      <c r="C13" s="14" t="s">
        <v>175</v>
      </c>
      <c r="D13" s="14" t="s">
        <v>38</v>
      </c>
      <c r="E13" s="14" t="s">
        <v>49</v>
      </c>
      <c r="F13" s="14">
        <f>+Input_Quant!F26</f>
        <v>5818905.8899999997</v>
      </c>
      <c r="G13" s="14">
        <f>+Input_Quant!F36</f>
        <v>2216871.6100000003</v>
      </c>
      <c r="H13" s="14" t="s">
        <v>176</v>
      </c>
      <c r="I13" s="17">
        <f t="shared" si="0"/>
        <v>2.6248276461982383</v>
      </c>
      <c r="L13" s="17">
        <f>+IF($G13=0,1,IF($I13&gt;1,1,IF($I13&lt;0,0,$F13/$G13)))</f>
        <v>1</v>
      </c>
    </row>
    <row r="14" spans="2:15" x14ac:dyDescent="0.3">
      <c r="B14" s="13" t="s">
        <v>177</v>
      </c>
      <c r="C14" s="14" t="s">
        <v>178</v>
      </c>
      <c r="D14" s="14" t="s">
        <v>179</v>
      </c>
      <c r="E14" s="14" t="s">
        <v>180</v>
      </c>
      <c r="F14" s="14">
        <f>+Input_Quant!F24+Input_Quant!F27</f>
        <v>2557307</v>
      </c>
      <c r="G14" s="14">
        <f>+Input_Quant!F23-Input_Quant!F6</f>
        <v>140642.32999999999</v>
      </c>
      <c r="H14" s="14" t="s">
        <v>181</v>
      </c>
      <c r="I14" s="17">
        <f t="shared" si="0"/>
        <v>18.183053423531877</v>
      </c>
      <c r="L14" s="17">
        <f>+IF($G14=0,0.8,IF($I14&gt;1,1,IF($I14&lt;0,0,$F14/$G14)))</f>
        <v>1</v>
      </c>
      <c r="O14" s="17">
        <f>+IF($G14=0,0.8,IF($I14&gt;1,1,IF($I14&lt;0,0,$F14/$G14)))</f>
        <v>1</v>
      </c>
    </row>
    <row r="15" spans="2:15" x14ac:dyDescent="0.3">
      <c r="B15" s="13" t="s">
        <v>182</v>
      </c>
      <c r="C15" s="14" t="s">
        <v>183</v>
      </c>
      <c r="D15" s="14" t="s">
        <v>91</v>
      </c>
      <c r="E15" s="14" t="s">
        <v>49</v>
      </c>
      <c r="F15" s="14">
        <f>+Input_Quant!F55</f>
        <v>26871.610000000335</v>
      </c>
      <c r="G15" s="14">
        <f>+Input_Quant!F36</f>
        <v>2216871.6100000003</v>
      </c>
      <c r="H15" s="14" t="s">
        <v>184</v>
      </c>
      <c r="I15" s="17">
        <f t="shared" si="0"/>
        <v>1.2121410134347081E-2</v>
      </c>
      <c r="L15" s="17">
        <f>+IF($G15=0,0.05,IF($I15&gt;0.07,0.07,IF($I15&lt;0,0,$F15/$G15)))</f>
        <v>1.2121410134347081E-2</v>
      </c>
    </row>
    <row r="16" spans="2:15" x14ac:dyDescent="0.3">
      <c r="B16" s="13" t="s">
        <v>185</v>
      </c>
      <c r="C16" s="14" t="s">
        <v>186</v>
      </c>
      <c r="D16" s="14" t="s">
        <v>154</v>
      </c>
      <c r="E16" s="14" t="s">
        <v>187</v>
      </c>
      <c r="F16" s="14">
        <f>+Input_Quant!F20-Input_Quant!F6</f>
        <v>1714757.1600000001</v>
      </c>
      <c r="G16" s="14">
        <f>+Input_Quant!F10+Input_Quant!F13</f>
        <v>5625744.8900000006</v>
      </c>
      <c r="H16" s="14" t="s">
        <v>188</v>
      </c>
      <c r="I16" s="17">
        <f t="shared" si="0"/>
        <v>0.30480535351826094</v>
      </c>
      <c r="L16" s="17">
        <f>+IF($G16=0,3,IF($I16&gt;8,8,IF($I16&lt;0,0,$F16/$G16)))</f>
        <v>0.30480535351826094</v>
      </c>
    </row>
    <row r="17" spans="2:15" x14ac:dyDescent="0.3">
      <c r="B17" s="13" t="s">
        <v>189</v>
      </c>
      <c r="C17" s="14" t="s">
        <v>190</v>
      </c>
      <c r="D17" s="14" t="s">
        <v>191</v>
      </c>
      <c r="E17" s="14" t="s">
        <v>192</v>
      </c>
      <c r="F17" s="14">
        <f>+Input_Quant!F36-Input_Quant!E36</f>
        <v>310000.00000000023</v>
      </c>
      <c r="G17" s="14">
        <f>+Input_Quant!E36</f>
        <v>1906871.61</v>
      </c>
      <c r="H17" s="14" t="s">
        <v>196</v>
      </c>
      <c r="I17" s="17">
        <f t="shared" si="0"/>
        <v>0.16256993830853678</v>
      </c>
      <c r="L17" s="17">
        <f>+IF($G17=0,0.2,IF($I17-0.1&gt;1.6,1.6,IF($I17-0.1&lt;-0.6,-0.6,$F17/$G17)))</f>
        <v>0.16256993830853678</v>
      </c>
    </row>
    <row r="18" spans="2:15" x14ac:dyDescent="0.3">
      <c r="B18" s="13" t="s">
        <v>193</v>
      </c>
      <c r="C18" s="14" t="s">
        <v>194</v>
      </c>
      <c r="D18" s="14" t="s">
        <v>135</v>
      </c>
      <c r="E18" s="14" t="s">
        <v>195</v>
      </c>
      <c r="F18" s="14">
        <f>+Input_Quant!F36-Input_Quant!F48+Input_Quant!F43+Input_Quant!F45+Input_Quant!F46</f>
        <v>431871.61000000034</v>
      </c>
      <c r="G18" s="14">
        <f>+Input_Quant!F49+Input_Quant!F26</f>
        <v>5848905.8899999997</v>
      </c>
      <c r="H18" s="14" t="s">
        <v>197</v>
      </c>
      <c r="I18" s="17">
        <f t="shared" si="0"/>
        <v>7.3838016566206088E-2</v>
      </c>
      <c r="M18" s="17">
        <f>+IF($G18=0,0.2,IF($I18&gt;0.3,0.3,IF($I18&lt;0,0,$F18/$G18)))</f>
        <v>7.3838016566206088E-2</v>
      </c>
    </row>
    <row r="19" spans="2:15" x14ac:dyDescent="0.3">
      <c r="B19" s="13" t="s">
        <v>199</v>
      </c>
      <c r="C19" s="14" t="s">
        <v>200</v>
      </c>
      <c r="D19" s="14" t="s">
        <v>201</v>
      </c>
      <c r="E19" s="14" t="s">
        <v>202</v>
      </c>
      <c r="F19" s="14">
        <f>+Input_Quant!F16+Input_Quant!F12+Input_Quant!F15</f>
        <v>1979856.58</v>
      </c>
      <c r="G19" s="14">
        <f>+Input_Quant!F24+Input_Quant!F27</f>
        <v>2557307</v>
      </c>
      <c r="H19" s="14" t="s">
        <v>203</v>
      </c>
      <c r="I19" s="17">
        <f t="shared" si="0"/>
        <v>0.77419589435292679</v>
      </c>
      <c r="M19" s="17">
        <f>+IF($G19=0,2,IF($I19&gt;2,2,IF($I19&lt;0,0,$F19/$G19)))</f>
        <v>0.77419589435292679</v>
      </c>
    </row>
    <row r="20" spans="2:15" x14ac:dyDescent="0.3">
      <c r="B20" s="13" t="s">
        <v>204</v>
      </c>
      <c r="C20" s="14" t="s">
        <v>205</v>
      </c>
      <c r="D20" s="14" t="s">
        <v>43</v>
      </c>
      <c r="E20" s="14" t="s">
        <v>206</v>
      </c>
      <c r="F20" s="14">
        <f>+Input_Quant!F31</f>
        <v>1956871.61</v>
      </c>
      <c r="G20" s="14">
        <f>+Input_Quant!F19-Input_Quant!F6</f>
        <v>8205403.1200000001</v>
      </c>
      <c r="H20" s="14" t="s">
        <v>207</v>
      </c>
      <c r="I20" s="17">
        <f t="shared" si="0"/>
        <v>0.23848573694451225</v>
      </c>
      <c r="M20" s="17">
        <f>+IF($G20=0,0.9,IF($I20&gt;1.7,1.7,IF($I20&lt;0.5,0.5,$F20/$G20)))</f>
        <v>0.5</v>
      </c>
    </row>
    <row r="21" spans="2:15" x14ac:dyDescent="0.3">
      <c r="B21" s="13" t="s">
        <v>209</v>
      </c>
      <c r="C21" s="14" t="s">
        <v>210</v>
      </c>
      <c r="D21" s="14" t="s">
        <v>211</v>
      </c>
      <c r="E21" s="14" t="s">
        <v>38</v>
      </c>
      <c r="F21" s="14">
        <f>+Input_Quant!F36-Input_Quant!F48</f>
        <v>161871.61000000034</v>
      </c>
      <c r="G21" s="14">
        <f>+Input_Quant!F26</f>
        <v>5818905.8899999997</v>
      </c>
      <c r="H21" s="14" t="s">
        <v>212</v>
      </c>
      <c r="I21" s="17">
        <f t="shared" si="0"/>
        <v>2.7818220995493768E-2</v>
      </c>
    </row>
    <row r="22" spans="2:15" x14ac:dyDescent="0.3">
      <c r="B22" s="13" t="s">
        <v>213</v>
      </c>
      <c r="C22" s="14" t="s">
        <v>214</v>
      </c>
      <c r="D22" s="14" t="s">
        <v>62</v>
      </c>
      <c r="E22" s="14" t="s">
        <v>49</v>
      </c>
      <c r="F22" s="14">
        <f>+Input_Quant!F49</f>
        <v>30000</v>
      </c>
      <c r="G22" s="14">
        <f>+Input_Quant!F36</f>
        <v>2216871.6100000003</v>
      </c>
      <c r="H22" s="14" t="s">
        <v>215</v>
      </c>
      <c r="I22" s="17">
        <f t="shared" si="0"/>
        <v>1.3532583422817164E-2</v>
      </c>
      <c r="O22" s="17">
        <f>+IF($G22=0,0.4,IF($I22&gt;0.4,0.4,IF($I22&lt;0,0,$F22/$G22)))</f>
        <v>1.3532583422817164E-2</v>
      </c>
    </row>
    <row r="23" spans="2:15" x14ac:dyDescent="0.3">
      <c r="B23" s="13" t="s">
        <v>216</v>
      </c>
      <c r="C23" s="14" t="s">
        <v>217</v>
      </c>
      <c r="D23" s="14" t="s">
        <v>38</v>
      </c>
      <c r="E23" s="14" t="s">
        <v>154</v>
      </c>
      <c r="F23" s="14">
        <f>+Input_Quant!F26</f>
        <v>5818905.8899999997</v>
      </c>
      <c r="G23" s="14">
        <f>+Input_Quant!F20-Input_Quant!F6</f>
        <v>1714757.1600000001</v>
      </c>
      <c r="H23" s="14" t="s">
        <v>218</v>
      </c>
      <c r="I23" s="17">
        <f t="shared" si="0"/>
        <v>3.3934285423832256</v>
      </c>
      <c r="O23" s="17">
        <f>+IF($G23=0,10.4,IF($I23&gt;20,20,IF($I23&lt;-2,-2,$F23/$G23)))</f>
        <v>3.3934285423832256</v>
      </c>
    </row>
    <row r="24" spans="2:15" x14ac:dyDescent="0.3">
      <c r="B24" s="13" t="s">
        <v>219</v>
      </c>
      <c r="C24" s="14" t="s">
        <v>220</v>
      </c>
      <c r="D24" s="14" t="s">
        <v>154</v>
      </c>
      <c r="E24" s="14" t="s">
        <v>43</v>
      </c>
      <c r="F24" s="14">
        <f>+Input_Quant!F20-Input_Quant!F6</f>
        <v>1714757.1600000001</v>
      </c>
      <c r="G24" s="14">
        <f>+Input_Quant!F31</f>
        <v>1956871.61</v>
      </c>
      <c r="H24" s="14" t="s">
        <v>221</v>
      </c>
      <c r="I24" s="17">
        <f t="shared" si="0"/>
        <v>0.87627473935298195</v>
      </c>
    </row>
    <row r="25" spans="2:15" x14ac:dyDescent="0.3">
      <c r="B25" s="13" t="s">
        <v>222</v>
      </c>
      <c r="C25" s="14" t="s">
        <v>223</v>
      </c>
      <c r="D25" s="14" t="s">
        <v>49</v>
      </c>
      <c r="E25" s="14" t="s">
        <v>21</v>
      </c>
      <c r="F25" s="14">
        <f>+Input_Quant!F36</f>
        <v>2216871.6100000003</v>
      </c>
      <c r="G25" s="14">
        <f>+Input_Quant!F17</f>
        <v>3285453.05</v>
      </c>
      <c r="H25" s="14" t="s">
        <v>224</v>
      </c>
      <c r="I25" s="17">
        <f t="shared" si="0"/>
        <v>0.67475370253731082</v>
      </c>
      <c r="N25" s="17">
        <f>+IF($G25=0,1.5,IF($I25&gt;10,10,IF($I25&lt;0.3,0.3,$F25/$G25)))</f>
        <v>0.67475370253731082</v>
      </c>
    </row>
    <row r="26" spans="2:15" x14ac:dyDescent="0.3">
      <c r="J26" s="14" t="s">
        <v>226</v>
      </c>
      <c r="O26" s="17">
        <f>+IF(AND(O6&lt;0,'Variabili Dicotomiche'!D5=1),1,'Variabili Discriminanti'!O6)</f>
        <v>6.9465089404695937E-2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CDFBF-995D-4228-ADC0-8F9BB61AC7C2}">
  <dimension ref="B3:D15"/>
  <sheetViews>
    <sheetView showGridLines="0" workbookViewId="0">
      <selection activeCell="B15" sqref="B15:D15"/>
    </sheetView>
  </sheetViews>
  <sheetFormatPr defaultRowHeight="14.4" x14ac:dyDescent="0.3"/>
  <cols>
    <col min="2" max="2" width="36.77734375" bestFit="1" customWidth="1"/>
    <col min="4" max="4" width="9.21875" bestFit="1" customWidth="1"/>
  </cols>
  <sheetData>
    <row r="3" spans="2:4" ht="15" thickBot="1" x14ac:dyDescent="0.35">
      <c r="B3" s="5" t="s">
        <v>118</v>
      </c>
      <c r="C3" s="5" t="s">
        <v>119</v>
      </c>
      <c r="D3" s="5" t="s">
        <v>133</v>
      </c>
    </row>
    <row r="4" spans="2:4" ht="15" thickTop="1" x14ac:dyDescent="0.3">
      <c r="B4" s="13" t="s">
        <v>165</v>
      </c>
      <c r="C4" s="14" t="s">
        <v>158</v>
      </c>
      <c r="D4" s="16">
        <f>+IF(Input_Quant!F36-Input_Quant!F48+Input_Quant!F43+Input_Quant!F45+Input_Quant!F46&lt;0,'Variabili Discriminanti'!I6,0)</f>
        <v>0</v>
      </c>
    </row>
    <row r="5" spans="2:4" x14ac:dyDescent="0.3">
      <c r="B5" s="13" t="s">
        <v>166</v>
      </c>
      <c r="C5" s="14" t="s">
        <v>159</v>
      </c>
      <c r="D5" s="17">
        <f>+IF(Input_Quant!F36-Input_Quant!F48+Input_Quant!F43+Input_Quant!F45+Input_Quant!F46&lt;0,1,0)</f>
        <v>0</v>
      </c>
    </row>
    <row r="6" spans="2:4" x14ac:dyDescent="0.3">
      <c r="B6" s="13" t="s">
        <v>167</v>
      </c>
      <c r="C6" s="14" t="s">
        <v>160</v>
      </c>
      <c r="D6" s="17">
        <f>+IF('Variabili Discriminanti'!I10&lt;0,'Variabili Discriminanti'!I10,0)</f>
        <v>0</v>
      </c>
    </row>
    <row r="7" spans="2:4" x14ac:dyDescent="0.3">
      <c r="B7" s="13" t="s">
        <v>168</v>
      </c>
      <c r="C7" s="14" t="s">
        <v>161</v>
      </c>
      <c r="D7" s="17">
        <f>+IF(Input_Quant!F36&gt;500000,0,1)</f>
        <v>0</v>
      </c>
    </row>
    <row r="8" spans="2:4" x14ac:dyDescent="0.3">
      <c r="B8" s="13" t="s">
        <v>169</v>
      </c>
      <c r="C8" s="14" t="s">
        <v>162</v>
      </c>
      <c r="D8" s="17">
        <f>+'Variabili Discriminanti'!I5*'Variabili Dicotomiche'!D7</f>
        <v>0</v>
      </c>
    </row>
    <row r="9" spans="2:4" x14ac:dyDescent="0.3">
      <c r="B9" s="13" t="s">
        <v>170</v>
      </c>
      <c r="C9" s="14" t="s">
        <v>163</v>
      </c>
      <c r="D9" s="17">
        <f>+'Variabili Discriminanti'!I7*'Variabili Dicotomiche'!D4</f>
        <v>0</v>
      </c>
    </row>
    <row r="10" spans="2:4" x14ac:dyDescent="0.3">
      <c r="B10" s="13" t="s">
        <v>171</v>
      </c>
      <c r="C10" s="14" t="s">
        <v>164</v>
      </c>
      <c r="D10" s="17">
        <f>+'Variabili Discriminanti'!I8*'Variabili Dicotomiche'!D7</f>
        <v>0</v>
      </c>
    </row>
    <row r="11" spans="2:4" x14ac:dyDescent="0.3">
      <c r="B11" s="13" t="s">
        <v>248</v>
      </c>
      <c r="C11" s="14" t="s">
        <v>246</v>
      </c>
      <c r="D11" s="17">
        <f>+IF('Variabili Discriminanti'!I17&gt;0,0,'Variabili Discriminanti'!I17)</f>
        <v>0</v>
      </c>
    </row>
    <row r="12" spans="2:4" x14ac:dyDescent="0.3">
      <c r="B12" s="13" t="s">
        <v>249</v>
      </c>
      <c r="C12" s="14" t="s">
        <v>247</v>
      </c>
      <c r="D12" s="17">
        <f>+'Variabili Discriminanti'!I9*'Variabili Dicotomiche'!D7</f>
        <v>0</v>
      </c>
    </row>
    <row r="13" spans="2:4" x14ac:dyDescent="0.3">
      <c r="B13" s="13" t="s">
        <v>250</v>
      </c>
      <c r="C13" s="14" t="s">
        <v>251</v>
      </c>
      <c r="D13" s="17">
        <f>+'Variabili Discriminanti'!I11*'Variabili Dicotomiche'!D7</f>
        <v>0</v>
      </c>
    </row>
    <row r="14" spans="2:4" x14ac:dyDescent="0.3">
      <c r="B14" s="13" t="s">
        <v>252</v>
      </c>
      <c r="C14" s="14" t="s">
        <v>253</v>
      </c>
      <c r="D14" s="17">
        <f>+'Variabili Discriminanti'!I20*'Variabili Dicotomiche'!D7</f>
        <v>0</v>
      </c>
    </row>
    <row r="15" spans="2:4" x14ac:dyDescent="0.3">
      <c r="B15" s="13" t="s">
        <v>255</v>
      </c>
      <c r="C15" s="14" t="s">
        <v>254</v>
      </c>
      <c r="D15" s="17">
        <f>+IF((Input_Quant!F20-Input_Quant!F6)&lt;0,1,0)</f>
        <v>0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CAD7A-A36C-4028-894C-B83558EC6F36}">
  <dimension ref="B1:E36"/>
  <sheetViews>
    <sheetView showGridLines="0" workbookViewId="0">
      <selection activeCell="B25" sqref="B25:D36"/>
    </sheetView>
  </sheetViews>
  <sheetFormatPr defaultRowHeight="14.4" x14ac:dyDescent="0.3"/>
  <cols>
    <col min="2" max="2" width="12.5546875" bestFit="1" customWidth="1"/>
    <col min="3" max="3" width="15.33203125" bestFit="1" customWidth="1"/>
    <col min="4" max="4" width="21.5546875" bestFit="1" customWidth="1"/>
    <col min="5" max="5" width="12.6640625" bestFit="1" customWidth="1"/>
  </cols>
  <sheetData>
    <row r="1" spans="2:5" x14ac:dyDescent="0.3">
      <c r="B1" s="1" t="s">
        <v>256</v>
      </c>
    </row>
    <row r="3" spans="2:5" ht="15" thickBot="1" x14ac:dyDescent="0.35">
      <c r="B3" s="24" t="s">
        <v>227</v>
      </c>
      <c r="C3" s="24" t="s">
        <v>229</v>
      </c>
      <c r="D3" s="24" t="s">
        <v>228</v>
      </c>
      <c r="E3" s="24" t="s">
        <v>133</v>
      </c>
    </row>
    <row r="4" spans="2:5" ht="15" thickTop="1" x14ac:dyDescent="0.3">
      <c r="B4" s="13" t="s">
        <v>124</v>
      </c>
      <c r="C4" s="21">
        <f>+'Variabili Discriminanti'!K5</f>
        <v>1.0375269331031891</v>
      </c>
      <c r="D4" s="21">
        <v>1.7097640000000001</v>
      </c>
      <c r="E4" s="21">
        <f>+C4*D4</f>
        <v>1.7739261992502411</v>
      </c>
    </row>
    <row r="5" spans="2:5" x14ac:dyDescent="0.3">
      <c r="B5" s="13" t="s">
        <v>126</v>
      </c>
      <c r="C5" s="17">
        <f>+'Variabili Discriminanti'!K6</f>
        <v>6.9465089404695937E-2</v>
      </c>
      <c r="D5" s="17">
        <v>1.0061549999999999</v>
      </c>
      <c r="E5" s="17">
        <f t="shared" ref="E5:E17" si="0">+C5*D5</f>
        <v>6.9892647029981839E-2</v>
      </c>
    </row>
    <row r="6" spans="2:5" x14ac:dyDescent="0.3">
      <c r="B6" s="13" t="s">
        <v>158</v>
      </c>
      <c r="C6" s="17">
        <f>+'Variabili Dicotomiche'!D4</f>
        <v>0</v>
      </c>
      <c r="D6" s="17">
        <v>-1.3806480000000001</v>
      </c>
      <c r="E6" s="17">
        <f t="shared" si="0"/>
        <v>0</v>
      </c>
    </row>
    <row r="7" spans="2:5" x14ac:dyDescent="0.3">
      <c r="B7" s="13" t="s">
        <v>159</v>
      </c>
      <c r="C7" s="17">
        <f>+'Variabili Dicotomiche'!D5</f>
        <v>0</v>
      </c>
      <c r="D7" s="17">
        <v>0.50253700000000001</v>
      </c>
      <c r="E7" s="17">
        <f t="shared" si="0"/>
        <v>0</v>
      </c>
    </row>
    <row r="8" spans="2:5" x14ac:dyDescent="0.3">
      <c r="B8" s="13" t="s">
        <v>127</v>
      </c>
      <c r="C8" s="17">
        <f>+'Variabili Discriminanti'!K7</f>
        <v>0.01</v>
      </c>
      <c r="D8" s="17">
        <v>21.733899999999998</v>
      </c>
      <c r="E8" s="17">
        <f t="shared" si="0"/>
        <v>0.21733899999999998</v>
      </c>
    </row>
    <row r="9" spans="2:5" x14ac:dyDescent="0.3">
      <c r="B9" s="13" t="s">
        <v>128</v>
      </c>
      <c r="C9" s="17">
        <f>+'Variabili Discriminanti'!K8</f>
        <v>0.28989540606601161</v>
      </c>
      <c r="D9" s="17">
        <v>-3.2573829999999999</v>
      </c>
      <c r="E9" s="17">
        <f t="shared" si="0"/>
        <v>-0.94430036749752311</v>
      </c>
    </row>
    <row r="10" spans="2:5" x14ac:dyDescent="0.3">
      <c r="B10" s="13" t="s">
        <v>129</v>
      </c>
      <c r="C10" s="17">
        <f>+'Variabili Discriminanti'!K9</f>
        <v>3.880804349768729</v>
      </c>
      <c r="D10" s="17">
        <v>-3.5930999999999998E-2</v>
      </c>
      <c r="E10" s="17">
        <f t="shared" si="0"/>
        <v>-0.13944118109154019</v>
      </c>
    </row>
    <row r="11" spans="2:5" x14ac:dyDescent="0.3">
      <c r="B11" s="13" t="s">
        <v>131</v>
      </c>
      <c r="C11" s="17">
        <f>+'Variabili Discriminanti'!K11</f>
        <v>0.20897902698045628</v>
      </c>
      <c r="D11" s="17">
        <v>-1.8428690000000001</v>
      </c>
      <c r="E11" s="17">
        <f t="shared" si="0"/>
        <v>-0.38512097047244653</v>
      </c>
    </row>
    <row r="12" spans="2:5" x14ac:dyDescent="0.3">
      <c r="B12" s="13" t="s">
        <v>130</v>
      </c>
      <c r="C12" s="22">
        <f>+'Variabili Discriminanti'!K10</f>
        <v>0.11383871129888654</v>
      </c>
      <c r="D12" s="17">
        <v>0.87492099999999995</v>
      </c>
      <c r="E12" s="17">
        <f t="shared" si="0"/>
        <v>9.9599879128333096E-2</v>
      </c>
    </row>
    <row r="13" spans="2:5" x14ac:dyDescent="0.3">
      <c r="B13" s="13" t="s">
        <v>160</v>
      </c>
      <c r="C13" s="22">
        <f>+'Variabili Dicotomiche'!D6</f>
        <v>0</v>
      </c>
      <c r="D13" s="17">
        <v>-1.3185750000000001</v>
      </c>
      <c r="E13" s="17">
        <f t="shared" si="0"/>
        <v>0</v>
      </c>
    </row>
    <row r="14" spans="2:5" x14ac:dyDescent="0.3">
      <c r="B14" s="13" t="s">
        <v>161</v>
      </c>
      <c r="C14" s="22">
        <f>+'Variabili Dicotomiche'!D7</f>
        <v>0</v>
      </c>
      <c r="D14" s="17">
        <v>0.92537499999999995</v>
      </c>
      <c r="E14" s="17">
        <f t="shared" si="0"/>
        <v>0</v>
      </c>
    </row>
    <row r="15" spans="2:5" x14ac:dyDescent="0.3">
      <c r="B15" s="13" t="s">
        <v>162</v>
      </c>
      <c r="C15" s="22">
        <f>+'Variabili Dicotomiche'!D8</f>
        <v>0</v>
      </c>
      <c r="D15" s="17">
        <v>-0.67270399999999997</v>
      </c>
      <c r="E15" s="17">
        <f t="shared" si="0"/>
        <v>0</v>
      </c>
    </row>
    <row r="16" spans="2:5" x14ac:dyDescent="0.3">
      <c r="B16" s="13" t="s">
        <v>163</v>
      </c>
      <c r="C16" s="22">
        <f>+'Variabili Dicotomiche'!D9</f>
        <v>0</v>
      </c>
      <c r="D16" s="17">
        <v>-11.510579999999999</v>
      </c>
      <c r="E16" s="17">
        <f t="shared" si="0"/>
        <v>0</v>
      </c>
    </row>
    <row r="17" spans="2:5" x14ac:dyDescent="0.3">
      <c r="B17" s="13" t="s">
        <v>164</v>
      </c>
      <c r="C17" s="22">
        <f>+'Variabili Dicotomiche'!D10</f>
        <v>0</v>
      </c>
      <c r="D17" s="17">
        <v>1.9340489999999999</v>
      </c>
      <c r="E17" s="17">
        <f t="shared" si="0"/>
        <v>0</v>
      </c>
    </row>
    <row r="18" spans="2:5" x14ac:dyDescent="0.3">
      <c r="B18" s="13" t="s">
        <v>230</v>
      </c>
      <c r="D18" s="17">
        <v>-4.5840022999999999</v>
      </c>
      <c r="E18" s="17"/>
    </row>
    <row r="22" spans="2:5" x14ac:dyDescent="0.3">
      <c r="B22" s="23" t="s">
        <v>231</v>
      </c>
      <c r="C22" s="17"/>
      <c r="D22" s="17"/>
      <c r="E22" s="17">
        <f>+D18+SUM(E4:E17)</f>
        <v>-3.8921070936529536</v>
      </c>
    </row>
    <row r="25" spans="2:5" ht="15" thickBot="1" x14ac:dyDescent="0.35">
      <c r="B25" s="24" t="s">
        <v>232</v>
      </c>
      <c r="C25" s="24" t="s">
        <v>233</v>
      </c>
      <c r="D25" s="24" t="s">
        <v>234</v>
      </c>
    </row>
    <row r="26" spans="2:5" ht="15" thickTop="1" x14ac:dyDescent="0.3">
      <c r="B26" s="25">
        <v>999999</v>
      </c>
      <c r="C26" s="27">
        <v>-1.5324059699999999</v>
      </c>
      <c r="D26" s="17" t="s">
        <v>235</v>
      </c>
    </row>
    <row r="27" spans="2:5" x14ac:dyDescent="0.3">
      <c r="B27" s="26">
        <f>+C26</f>
        <v>-1.5324059699999999</v>
      </c>
      <c r="C27" s="27">
        <v>-2.1981980800000001</v>
      </c>
      <c r="D27" s="17" t="s">
        <v>245</v>
      </c>
    </row>
    <row r="28" spans="2:5" x14ac:dyDescent="0.3">
      <c r="B28" s="26">
        <f t="shared" ref="B28:B35" si="1">+C27</f>
        <v>-2.1981980800000001</v>
      </c>
      <c r="C28" s="27">
        <v>-2.6198046210000001</v>
      </c>
      <c r="D28" s="17" t="s">
        <v>244</v>
      </c>
    </row>
    <row r="29" spans="2:5" x14ac:dyDescent="0.3">
      <c r="B29" s="26">
        <f t="shared" si="1"/>
        <v>-2.6198046210000001</v>
      </c>
      <c r="C29" s="27">
        <v>-2.8844139580000001</v>
      </c>
      <c r="D29" s="17" t="s">
        <v>237</v>
      </c>
    </row>
    <row r="30" spans="2:5" x14ac:dyDescent="0.3">
      <c r="B30" s="26">
        <f t="shared" si="1"/>
        <v>-2.8844139580000001</v>
      </c>
      <c r="C30" s="27">
        <v>-3.213093996</v>
      </c>
      <c r="D30" s="17" t="s">
        <v>238</v>
      </c>
    </row>
    <row r="31" spans="2:5" x14ac:dyDescent="0.3">
      <c r="B31" s="26">
        <f t="shared" si="1"/>
        <v>-3.213093996</v>
      </c>
      <c r="C31" s="27">
        <v>-3.4677848820000001</v>
      </c>
      <c r="D31" s="17" t="s">
        <v>239</v>
      </c>
    </row>
    <row r="32" spans="2:5" x14ac:dyDescent="0.3">
      <c r="B32" s="26">
        <f t="shared" si="1"/>
        <v>-3.4677848820000001</v>
      </c>
      <c r="C32" s="27">
        <v>-3.888909817</v>
      </c>
      <c r="D32" s="17" t="s">
        <v>240</v>
      </c>
    </row>
    <row r="33" spans="2:4" x14ac:dyDescent="0.3">
      <c r="B33" s="26">
        <f t="shared" si="1"/>
        <v>-3.888909817</v>
      </c>
      <c r="C33" s="27">
        <v>-4.2547779080000003</v>
      </c>
      <c r="D33" s="17" t="s">
        <v>241</v>
      </c>
    </row>
    <row r="34" spans="2:4" x14ac:dyDescent="0.3">
      <c r="B34" s="26">
        <f t="shared" si="1"/>
        <v>-4.2547779080000003</v>
      </c>
      <c r="C34" s="27">
        <v>-4.4338240620000002</v>
      </c>
      <c r="D34" s="17" t="s">
        <v>242</v>
      </c>
    </row>
    <row r="35" spans="2:4" x14ac:dyDescent="0.3">
      <c r="B35" s="26">
        <f t="shared" si="1"/>
        <v>-4.4338240620000002</v>
      </c>
      <c r="C35" s="27">
        <v>-4.7066745760000002</v>
      </c>
      <c r="D35" s="17" t="s">
        <v>243</v>
      </c>
    </row>
    <row r="36" spans="2:4" x14ac:dyDescent="0.3">
      <c r="B36" s="28">
        <f>+C35</f>
        <v>-4.7066745760000002</v>
      </c>
      <c r="C36" s="29">
        <v>-999999</v>
      </c>
      <c r="D36" s="17" t="s">
        <v>236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0B3D8-ED9A-4644-8356-E4C37543B029}">
  <dimension ref="B1:E34"/>
  <sheetViews>
    <sheetView showGridLines="0" workbookViewId="0">
      <selection activeCell="E15" sqref="E15"/>
    </sheetView>
  </sheetViews>
  <sheetFormatPr defaultRowHeight="14.4" x14ac:dyDescent="0.3"/>
  <cols>
    <col min="2" max="2" width="12.5546875" bestFit="1" customWidth="1"/>
    <col min="3" max="3" width="15.33203125" bestFit="1" customWidth="1"/>
    <col min="4" max="4" width="21.5546875" bestFit="1" customWidth="1"/>
    <col min="5" max="5" width="12.6640625" bestFit="1" customWidth="1"/>
  </cols>
  <sheetData>
    <row r="1" spans="2:5" x14ac:dyDescent="0.3">
      <c r="B1" s="1" t="s">
        <v>257</v>
      </c>
    </row>
    <row r="3" spans="2:5" ht="15" thickBot="1" x14ac:dyDescent="0.35">
      <c r="B3" s="24" t="s">
        <v>227</v>
      </c>
      <c r="C3" s="24" t="s">
        <v>229</v>
      </c>
      <c r="D3" s="24" t="s">
        <v>228</v>
      </c>
      <c r="E3" s="24" t="s">
        <v>133</v>
      </c>
    </row>
    <row r="4" spans="2:5" ht="15" thickTop="1" x14ac:dyDescent="0.3">
      <c r="B4" s="13" t="s">
        <v>126</v>
      </c>
      <c r="C4" s="21">
        <f>+'Variabili Discriminanti'!L6</f>
        <v>6.9465089404695937E-2</v>
      </c>
      <c r="D4" s="21">
        <v>0.37764999999999999</v>
      </c>
      <c r="E4" s="21">
        <f>+C4*D4</f>
        <v>2.623349101368342E-2</v>
      </c>
    </row>
    <row r="5" spans="2:5" x14ac:dyDescent="0.3">
      <c r="B5" s="13" t="s">
        <v>158</v>
      </c>
      <c r="C5" s="17">
        <f>+'Variabili Dicotomiche'!D4</f>
        <v>0</v>
      </c>
      <c r="D5" s="17">
        <v>-0.77986699999999998</v>
      </c>
      <c r="E5" s="17">
        <f t="shared" ref="E5:E15" si="0">+C5*D5</f>
        <v>0</v>
      </c>
    </row>
    <row r="6" spans="2:5" x14ac:dyDescent="0.3">
      <c r="B6" s="13" t="s">
        <v>127</v>
      </c>
      <c r="C6" s="17">
        <f>+'Variabili Discriminanti'!L7</f>
        <v>5.1556083853420082E-3</v>
      </c>
      <c r="D6" s="17">
        <v>34.641449999999999</v>
      </c>
      <c r="E6" s="17">
        <f t="shared" si="0"/>
        <v>0.17859775010040591</v>
      </c>
    </row>
    <row r="7" spans="2:5" x14ac:dyDescent="0.3">
      <c r="B7" s="13" t="s">
        <v>131</v>
      </c>
      <c r="C7" s="17">
        <f>+'Variabili Discriminanti'!L11</f>
        <v>0.20897902698045628</v>
      </c>
      <c r="D7" s="17">
        <v>-1.8828659999999999</v>
      </c>
      <c r="E7" s="17">
        <f t="shared" si="0"/>
        <v>-0.39347950461458381</v>
      </c>
    </row>
    <row r="8" spans="2:5" x14ac:dyDescent="0.3">
      <c r="B8" s="13" t="s">
        <v>175</v>
      </c>
      <c r="C8" s="17">
        <f>+'Variabili Discriminanti'!L13</f>
        <v>1</v>
      </c>
      <c r="D8" s="17">
        <v>1.314629</v>
      </c>
      <c r="E8" s="17">
        <f t="shared" si="0"/>
        <v>1.314629</v>
      </c>
    </row>
    <row r="9" spans="2:5" x14ac:dyDescent="0.3">
      <c r="B9" s="13" t="s">
        <v>178</v>
      </c>
      <c r="C9" s="17">
        <f>+'Variabili Discriminanti'!L14</f>
        <v>1</v>
      </c>
      <c r="D9" s="17">
        <v>0.44865500000000003</v>
      </c>
      <c r="E9" s="17">
        <f t="shared" si="0"/>
        <v>0.44865500000000003</v>
      </c>
    </row>
    <row r="10" spans="2:5" x14ac:dyDescent="0.3">
      <c r="B10" s="13" t="s">
        <v>183</v>
      </c>
      <c r="C10" s="17">
        <f>+'Variabili Discriminanti'!L15</f>
        <v>1.2121410134347081E-2</v>
      </c>
      <c r="D10" s="17">
        <v>-5.6389269999999998</v>
      </c>
      <c r="E10" s="17">
        <f t="shared" si="0"/>
        <v>-6.8351746884643377E-2</v>
      </c>
    </row>
    <row r="11" spans="2:5" x14ac:dyDescent="0.3">
      <c r="B11" s="13" t="s">
        <v>186</v>
      </c>
      <c r="C11" s="17">
        <f>+'Variabili Discriminanti'!L16</f>
        <v>0.30480535351826094</v>
      </c>
      <c r="D11" s="17">
        <v>-5.176E-2</v>
      </c>
      <c r="E11" s="17">
        <f t="shared" si="0"/>
        <v>-1.5776725098105186E-2</v>
      </c>
    </row>
    <row r="12" spans="2:5" x14ac:dyDescent="0.3">
      <c r="B12" s="13" t="s">
        <v>190</v>
      </c>
      <c r="C12" s="17">
        <f>+'Variabili Discriminanti'!L17</f>
        <v>0.16256993830853678</v>
      </c>
      <c r="D12" s="17">
        <v>0.32928800000000003</v>
      </c>
      <c r="E12" s="17">
        <f t="shared" si="0"/>
        <v>5.353232984574146E-2</v>
      </c>
    </row>
    <row r="13" spans="2:5" x14ac:dyDescent="0.3">
      <c r="B13" s="13" t="s">
        <v>246</v>
      </c>
      <c r="C13" s="22">
        <f>+'Variabili Dicotomiche'!D11</f>
        <v>0</v>
      </c>
      <c r="D13" s="17">
        <v>-0.99843400000000004</v>
      </c>
      <c r="E13" s="17">
        <f t="shared" si="0"/>
        <v>0</v>
      </c>
    </row>
    <row r="14" spans="2:5" x14ac:dyDescent="0.3">
      <c r="B14" s="13" t="s">
        <v>161</v>
      </c>
      <c r="C14" s="22">
        <f>+'Variabili Dicotomiche'!D4</f>
        <v>0</v>
      </c>
      <c r="D14" s="17">
        <v>0.48568</v>
      </c>
      <c r="E14" s="17">
        <f t="shared" si="0"/>
        <v>0</v>
      </c>
    </row>
    <row r="15" spans="2:5" x14ac:dyDescent="0.3">
      <c r="B15" s="13" t="s">
        <v>247</v>
      </c>
      <c r="C15" s="22">
        <f>+'Variabili Dicotomiche'!D12</f>
        <v>0</v>
      </c>
      <c r="D15" s="17">
        <v>-0.65572699999999995</v>
      </c>
      <c r="E15" s="17">
        <f t="shared" si="0"/>
        <v>0</v>
      </c>
    </row>
    <row r="16" spans="2:5" x14ac:dyDescent="0.3">
      <c r="B16" s="13" t="s">
        <v>230</v>
      </c>
      <c r="D16" s="17">
        <v>-4.5840022999999999</v>
      </c>
      <c r="E16" s="17"/>
    </row>
    <row r="20" spans="2:5" x14ac:dyDescent="0.3">
      <c r="B20" s="23" t="s">
        <v>231</v>
      </c>
      <c r="C20" s="17"/>
      <c r="D20" s="17"/>
      <c r="E20" s="17">
        <f>+D16+SUM(E4:E15)</f>
        <v>-3.0399627056375014</v>
      </c>
    </row>
    <row r="23" spans="2:5" ht="15" thickBot="1" x14ac:dyDescent="0.35">
      <c r="B23" s="24" t="s">
        <v>232</v>
      </c>
      <c r="C23" s="24" t="s">
        <v>233</v>
      </c>
      <c r="D23" s="24" t="s">
        <v>234</v>
      </c>
    </row>
    <row r="24" spans="2:5" ht="15" thickTop="1" x14ac:dyDescent="0.3">
      <c r="B24" s="25">
        <v>999999</v>
      </c>
      <c r="C24" s="27">
        <v>-1.5324059699999999</v>
      </c>
      <c r="D24" s="17" t="s">
        <v>235</v>
      </c>
    </row>
    <row r="25" spans="2:5" x14ac:dyDescent="0.3">
      <c r="B25" s="26">
        <f>+C24</f>
        <v>-1.5324059699999999</v>
      </c>
      <c r="C25" s="27">
        <v>-2.1981980800000001</v>
      </c>
      <c r="D25" s="17" t="s">
        <v>245</v>
      </c>
    </row>
    <row r="26" spans="2:5" x14ac:dyDescent="0.3">
      <c r="B26" s="26">
        <f t="shared" ref="B26:B33" si="1">+C25</f>
        <v>-2.1981980800000001</v>
      </c>
      <c r="C26" s="27">
        <v>-2.6198046210000001</v>
      </c>
      <c r="D26" s="17" t="s">
        <v>244</v>
      </c>
    </row>
    <row r="27" spans="2:5" x14ac:dyDescent="0.3">
      <c r="B27" s="26">
        <f t="shared" si="1"/>
        <v>-2.6198046210000001</v>
      </c>
      <c r="C27" s="27">
        <v>-2.8844139580000001</v>
      </c>
      <c r="D27" s="17" t="s">
        <v>237</v>
      </c>
    </row>
    <row r="28" spans="2:5" x14ac:dyDescent="0.3">
      <c r="B28" s="26">
        <f t="shared" si="1"/>
        <v>-2.8844139580000001</v>
      </c>
      <c r="C28" s="27">
        <v>-3.213093996</v>
      </c>
      <c r="D28" s="17" t="s">
        <v>238</v>
      </c>
    </row>
    <row r="29" spans="2:5" x14ac:dyDescent="0.3">
      <c r="B29" s="26">
        <f t="shared" si="1"/>
        <v>-3.213093996</v>
      </c>
      <c r="C29" s="27">
        <v>-3.4677848820000001</v>
      </c>
      <c r="D29" s="17" t="s">
        <v>239</v>
      </c>
    </row>
    <row r="30" spans="2:5" x14ac:dyDescent="0.3">
      <c r="B30" s="26">
        <f t="shared" si="1"/>
        <v>-3.4677848820000001</v>
      </c>
      <c r="C30" s="27">
        <v>-3.888909817</v>
      </c>
      <c r="D30" s="17" t="s">
        <v>240</v>
      </c>
    </row>
    <row r="31" spans="2:5" x14ac:dyDescent="0.3">
      <c r="B31" s="26">
        <f t="shared" si="1"/>
        <v>-3.888909817</v>
      </c>
      <c r="C31" s="27">
        <v>-4.2547779080000003</v>
      </c>
      <c r="D31" s="17" t="s">
        <v>241</v>
      </c>
    </row>
    <row r="32" spans="2:5" x14ac:dyDescent="0.3">
      <c r="B32" s="26">
        <f t="shared" si="1"/>
        <v>-4.2547779080000003</v>
      </c>
      <c r="C32" s="27">
        <v>-4.4338240620000002</v>
      </c>
      <c r="D32" s="17" t="s">
        <v>242</v>
      </c>
    </row>
    <row r="33" spans="2:4" x14ac:dyDescent="0.3">
      <c r="B33" s="26">
        <f t="shared" si="1"/>
        <v>-4.4338240620000002</v>
      </c>
      <c r="C33" s="27">
        <v>-4.7066745760000002</v>
      </c>
      <c r="D33" s="17" t="s">
        <v>243</v>
      </c>
    </row>
    <row r="34" spans="2:4" x14ac:dyDescent="0.3">
      <c r="B34" s="28">
        <f>+C33</f>
        <v>-4.7066745760000002</v>
      </c>
      <c r="C34" s="29">
        <v>-999999</v>
      </c>
      <c r="D34" s="17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1C350-C8DF-4723-B759-2E2F3960B1FC}">
  <dimension ref="B1:E35"/>
  <sheetViews>
    <sheetView showGridLines="0" workbookViewId="0">
      <selection activeCell="B1" sqref="B1"/>
    </sheetView>
  </sheetViews>
  <sheetFormatPr defaultRowHeight="14.4" x14ac:dyDescent="0.3"/>
  <cols>
    <col min="2" max="2" width="12.5546875" bestFit="1" customWidth="1"/>
    <col min="3" max="3" width="15.33203125" bestFit="1" customWidth="1"/>
    <col min="4" max="4" width="21.5546875" bestFit="1" customWidth="1"/>
    <col min="5" max="5" width="12.6640625" bestFit="1" customWidth="1"/>
  </cols>
  <sheetData>
    <row r="1" spans="2:5" x14ac:dyDescent="0.3">
      <c r="B1" s="1" t="s">
        <v>258</v>
      </c>
    </row>
    <row r="3" spans="2:5" ht="15" thickBot="1" x14ac:dyDescent="0.35">
      <c r="B3" s="24" t="s">
        <v>227</v>
      </c>
      <c r="C3" s="24" t="s">
        <v>229</v>
      </c>
      <c r="D3" s="24" t="s">
        <v>228</v>
      </c>
      <c r="E3" s="24" t="s">
        <v>133</v>
      </c>
    </row>
    <row r="4" spans="2:5" ht="15" thickTop="1" x14ac:dyDescent="0.3">
      <c r="B4" s="13" t="s">
        <v>194</v>
      </c>
      <c r="C4" s="21">
        <f>+'Variabili Discriminanti'!M18</f>
        <v>7.3838016566206088E-2</v>
      </c>
      <c r="D4" s="21">
        <v>-1.6806099999999999</v>
      </c>
      <c r="E4" s="21">
        <f>+C4*D4</f>
        <v>-0.1240929090213316</v>
      </c>
    </row>
    <row r="5" spans="2:5" x14ac:dyDescent="0.3">
      <c r="B5" s="13" t="s">
        <v>131</v>
      </c>
      <c r="C5" s="17">
        <f>+'Variabili Discriminanti'!M11</f>
        <v>0.20897902698045628</v>
      </c>
      <c r="D5" s="17">
        <v>-2.86327</v>
      </c>
      <c r="E5" s="17">
        <f t="shared" ref="E5:E16" si="0">+C5*D5</f>
        <v>-0.59836337858233102</v>
      </c>
    </row>
    <row r="6" spans="2:5" x14ac:dyDescent="0.3">
      <c r="B6" s="13" t="s">
        <v>126</v>
      </c>
      <c r="C6" s="17">
        <f>+'Variabili Discriminanti'!M6</f>
        <v>6.9465089404695937E-2</v>
      </c>
      <c r="D6" s="17">
        <v>0.73753000000000002</v>
      </c>
      <c r="E6" s="17">
        <f t="shared" si="0"/>
        <v>5.1232587388645397E-2</v>
      </c>
    </row>
    <row r="7" spans="2:5" x14ac:dyDescent="0.3">
      <c r="B7" s="13" t="s">
        <v>158</v>
      </c>
      <c r="C7" s="17">
        <f>+'Variabili Dicotomiche'!D4</f>
        <v>0</v>
      </c>
      <c r="D7" s="17">
        <v>-1.3164</v>
      </c>
      <c r="E7" s="17">
        <f t="shared" si="0"/>
        <v>0</v>
      </c>
    </row>
    <row r="8" spans="2:5" x14ac:dyDescent="0.3">
      <c r="B8" s="13" t="s">
        <v>127</v>
      </c>
      <c r="C8" s="17">
        <f>+'Variabili Discriminanti'!M7</f>
        <v>5.1556083853420082E-3</v>
      </c>
      <c r="D8" s="17">
        <v>16.97147</v>
      </c>
      <c r="E8" s="17">
        <f t="shared" si="0"/>
        <v>8.7498253043580332E-2</v>
      </c>
    </row>
    <row r="9" spans="2:5" x14ac:dyDescent="0.3">
      <c r="B9" s="13" t="s">
        <v>128</v>
      </c>
      <c r="C9" s="17">
        <f>+'Variabili Discriminanti'!M8</f>
        <v>0.1</v>
      </c>
      <c r="D9" s="17">
        <v>-3.9734099999999999</v>
      </c>
      <c r="E9" s="17">
        <f t="shared" si="0"/>
        <v>-0.397341</v>
      </c>
    </row>
    <row r="10" spans="2:5" x14ac:dyDescent="0.3">
      <c r="B10" s="13" t="s">
        <v>200</v>
      </c>
      <c r="C10" s="17">
        <f>+'Variabili Discriminanti'!M19</f>
        <v>0.77419589435292679</v>
      </c>
      <c r="D10" s="17">
        <v>-0.33306999999999998</v>
      </c>
      <c r="E10" s="17">
        <f t="shared" si="0"/>
        <v>-0.25786142653212929</v>
      </c>
    </row>
    <row r="11" spans="2:5" x14ac:dyDescent="0.3">
      <c r="B11" s="13" t="s">
        <v>205</v>
      </c>
      <c r="C11" s="17">
        <f>+'Variabili Discriminanti'!M20</f>
        <v>0.5</v>
      </c>
      <c r="D11" s="17">
        <v>-0.85672000000000004</v>
      </c>
      <c r="E11" s="17">
        <f t="shared" si="0"/>
        <v>-0.42836000000000002</v>
      </c>
    </row>
    <row r="12" spans="2:5" x14ac:dyDescent="0.3">
      <c r="B12" s="13" t="s">
        <v>130</v>
      </c>
      <c r="C12" s="17">
        <f>+'Variabili Discriminanti'!M10</f>
        <v>0.11383871129888654</v>
      </c>
      <c r="D12" s="17">
        <v>1.4468920000000001</v>
      </c>
      <c r="E12" s="17">
        <f t="shared" si="0"/>
        <v>0.16471232066866853</v>
      </c>
    </row>
    <row r="13" spans="2:5" x14ac:dyDescent="0.3">
      <c r="B13" s="13" t="s">
        <v>160</v>
      </c>
      <c r="C13" s="22">
        <f>+'Variabili Dicotomiche'!D6</f>
        <v>0</v>
      </c>
      <c r="D13" s="17">
        <v>-2.9843600000000001</v>
      </c>
      <c r="E13" s="17">
        <f t="shared" si="0"/>
        <v>0</v>
      </c>
    </row>
    <row r="14" spans="2:5" x14ac:dyDescent="0.3">
      <c r="B14" s="13" t="s">
        <v>251</v>
      </c>
      <c r="C14" s="22">
        <f>+'Variabili Dicotomiche'!D13</f>
        <v>0</v>
      </c>
      <c r="D14" s="17">
        <v>1.368938</v>
      </c>
      <c r="E14" s="17">
        <f t="shared" si="0"/>
        <v>0</v>
      </c>
    </row>
    <row r="15" spans="2:5" x14ac:dyDescent="0.3">
      <c r="B15" s="13" t="s">
        <v>253</v>
      </c>
      <c r="C15" s="22">
        <f>+'Variabili Dicotomiche'!D14</f>
        <v>0</v>
      </c>
      <c r="D15" s="17">
        <v>0.20769099999999999</v>
      </c>
      <c r="E15" s="17">
        <f t="shared" si="0"/>
        <v>0</v>
      </c>
    </row>
    <row r="16" spans="2:5" x14ac:dyDescent="0.3">
      <c r="B16" s="13" t="s">
        <v>163</v>
      </c>
      <c r="C16" s="22">
        <f>+'Variabili Dicotomiche'!D9</f>
        <v>0</v>
      </c>
      <c r="D16" s="17">
        <v>-8.2828499999999998</v>
      </c>
      <c r="E16" s="17">
        <f t="shared" si="0"/>
        <v>0</v>
      </c>
    </row>
    <row r="17" spans="2:5" x14ac:dyDescent="0.3">
      <c r="B17" s="13" t="s">
        <v>230</v>
      </c>
      <c r="C17" s="17"/>
      <c r="D17" s="17">
        <v>-1.8897699999999999</v>
      </c>
      <c r="E17" s="17">
        <v>-1.8897699999999999</v>
      </c>
    </row>
    <row r="21" spans="2:5" x14ac:dyDescent="0.3">
      <c r="B21" s="23" t="s">
        <v>231</v>
      </c>
      <c r="C21" s="17"/>
      <c r="D21" s="17"/>
      <c r="E21" s="17">
        <f>+D17+SUM(E4:E16)</f>
        <v>-3.3923455530348976</v>
      </c>
    </row>
    <row r="24" spans="2:5" ht="15" thickBot="1" x14ac:dyDescent="0.35">
      <c r="B24" s="24" t="s">
        <v>232</v>
      </c>
      <c r="C24" s="24" t="s">
        <v>233</v>
      </c>
      <c r="D24" s="24" t="s">
        <v>234</v>
      </c>
    </row>
    <row r="25" spans="2:5" ht="15" thickTop="1" x14ac:dyDescent="0.3">
      <c r="B25" s="25">
        <v>999999</v>
      </c>
      <c r="C25" s="27">
        <v>-1.5324059699999999</v>
      </c>
      <c r="D25" s="17" t="s">
        <v>235</v>
      </c>
    </row>
    <row r="26" spans="2:5" x14ac:dyDescent="0.3">
      <c r="B26" s="26">
        <f>+C25</f>
        <v>-1.5324059699999999</v>
      </c>
      <c r="C26" s="27">
        <v>-2.1981980800000001</v>
      </c>
      <c r="D26" s="17" t="s">
        <v>245</v>
      </c>
    </row>
    <row r="27" spans="2:5" x14ac:dyDescent="0.3">
      <c r="B27" s="26">
        <f t="shared" ref="B27:B34" si="1">+C26</f>
        <v>-2.1981980800000001</v>
      </c>
      <c r="C27" s="27">
        <v>-2.6198046210000001</v>
      </c>
      <c r="D27" s="17" t="s">
        <v>244</v>
      </c>
    </row>
    <row r="28" spans="2:5" x14ac:dyDescent="0.3">
      <c r="B28" s="26">
        <f t="shared" si="1"/>
        <v>-2.6198046210000001</v>
      </c>
      <c r="C28" s="27">
        <v>-2.8844139580000001</v>
      </c>
      <c r="D28" s="17" t="s">
        <v>237</v>
      </c>
    </row>
    <row r="29" spans="2:5" x14ac:dyDescent="0.3">
      <c r="B29" s="26">
        <f t="shared" si="1"/>
        <v>-2.8844139580000001</v>
      </c>
      <c r="C29" s="27">
        <v>-3.213093996</v>
      </c>
      <c r="D29" s="17" t="s">
        <v>238</v>
      </c>
    </row>
    <row r="30" spans="2:5" x14ac:dyDescent="0.3">
      <c r="B30" s="26">
        <f t="shared" si="1"/>
        <v>-3.213093996</v>
      </c>
      <c r="C30" s="27">
        <v>-3.4677848820000001</v>
      </c>
      <c r="D30" s="17" t="s">
        <v>239</v>
      </c>
    </row>
    <row r="31" spans="2:5" x14ac:dyDescent="0.3">
      <c r="B31" s="26">
        <f t="shared" si="1"/>
        <v>-3.4677848820000001</v>
      </c>
      <c r="C31" s="27">
        <v>-3.888909817</v>
      </c>
      <c r="D31" s="17" t="s">
        <v>240</v>
      </c>
    </row>
    <row r="32" spans="2:5" x14ac:dyDescent="0.3">
      <c r="B32" s="26">
        <f t="shared" si="1"/>
        <v>-3.888909817</v>
      </c>
      <c r="C32" s="27">
        <v>-4.2547779080000003</v>
      </c>
      <c r="D32" s="17" t="s">
        <v>241</v>
      </c>
    </row>
    <row r="33" spans="2:4" x14ac:dyDescent="0.3">
      <c r="B33" s="26">
        <f t="shared" si="1"/>
        <v>-4.2547779080000003</v>
      </c>
      <c r="C33" s="27">
        <v>-4.4338240620000002</v>
      </c>
      <c r="D33" s="17" t="s">
        <v>242</v>
      </c>
    </row>
    <row r="34" spans="2:4" x14ac:dyDescent="0.3">
      <c r="B34" s="26">
        <f t="shared" si="1"/>
        <v>-4.4338240620000002</v>
      </c>
      <c r="C34" s="27">
        <v>-4.7066745760000002</v>
      </c>
      <c r="D34" s="17" t="s">
        <v>243</v>
      </c>
    </row>
    <row r="35" spans="2:4" x14ac:dyDescent="0.3">
      <c r="B35" s="28">
        <f>+C34</f>
        <v>-4.7066745760000002</v>
      </c>
      <c r="C35" s="29">
        <v>-999999</v>
      </c>
      <c r="D35" s="17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5EADC-7B1C-4781-A749-10B8E608B9D1}">
  <dimension ref="B1:E29"/>
  <sheetViews>
    <sheetView showGridLines="0" workbookViewId="0">
      <selection activeCell="B18" sqref="B18:D29"/>
    </sheetView>
  </sheetViews>
  <sheetFormatPr defaultRowHeight="14.4" x14ac:dyDescent="0.3"/>
  <cols>
    <col min="2" max="2" width="12.5546875" bestFit="1" customWidth="1"/>
    <col min="3" max="3" width="15.33203125" bestFit="1" customWidth="1"/>
    <col min="4" max="4" width="21.5546875" bestFit="1" customWidth="1"/>
    <col min="5" max="5" width="12.6640625" bestFit="1" customWidth="1"/>
  </cols>
  <sheetData>
    <row r="1" spans="2:5" x14ac:dyDescent="0.3">
      <c r="B1" s="1" t="s">
        <v>259</v>
      </c>
    </row>
    <row r="3" spans="2:5" ht="15" thickBot="1" x14ac:dyDescent="0.35">
      <c r="B3" s="24" t="s">
        <v>227</v>
      </c>
      <c r="C3" s="24" t="s">
        <v>229</v>
      </c>
      <c r="D3" s="24" t="s">
        <v>228</v>
      </c>
      <c r="E3" s="24" t="s">
        <v>133</v>
      </c>
    </row>
    <row r="4" spans="2:5" ht="15" thickTop="1" x14ac:dyDescent="0.3">
      <c r="B4" s="13" t="s">
        <v>131</v>
      </c>
      <c r="C4" s="21">
        <f>+'Variabili Discriminanti'!N11</f>
        <v>0.20897902698045628</v>
      </c>
      <c r="D4" s="21">
        <v>-2.721187</v>
      </c>
      <c r="E4" s="21">
        <f>+C4*D4</f>
        <v>-0.56867101149186694</v>
      </c>
    </row>
    <row r="5" spans="2:5" x14ac:dyDescent="0.3">
      <c r="B5" s="13" t="s">
        <v>127</v>
      </c>
      <c r="C5" s="17">
        <f>+'Variabili Discriminanti'!N7</f>
        <v>5.1556083853420082E-3</v>
      </c>
      <c r="D5" s="17">
        <v>14.011900000000001</v>
      </c>
      <c r="E5" s="17">
        <f t="shared" ref="E5:E11" si="0">+C5*D5</f>
        <v>7.2239869134573684E-2</v>
      </c>
    </row>
    <row r="6" spans="2:5" x14ac:dyDescent="0.3">
      <c r="B6" s="13" t="s">
        <v>126</v>
      </c>
      <c r="C6" s="17">
        <f>+'Variabili Discriminanti'!N6</f>
        <v>6.9465089404695937E-2</v>
      </c>
      <c r="D6" s="17">
        <v>0.81306480000000003</v>
      </c>
      <c r="E6" s="17">
        <f t="shared" si="0"/>
        <v>5.6479619023811226E-2</v>
      </c>
    </row>
    <row r="7" spans="2:5" x14ac:dyDescent="0.3">
      <c r="B7" s="13" t="s">
        <v>158</v>
      </c>
      <c r="C7" s="17">
        <f>+'Variabili Dicotomiche'!D4</f>
        <v>0</v>
      </c>
      <c r="D7" s="17">
        <v>-1.401464</v>
      </c>
      <c r="E7" s="17">
        <f t="shared" si="0"/>
        <v>0</v>
      </c>
    </row>
    <row r="8" spans="2:5" x14ac:dyDescent="0.3">
      <c r="B8" s="13" t="s">
        <v>223</v>
      </c>
      <c r="C8" s="17">
        <f>+'Variabili Discriminanti'!N25</f>
        <v>0.67475370253731082</v>
      </c>
      <c r="D8" s="17">
        <v>-0.13910829999999999</v>
      </c>
      <c r="E8" s="17">
        <f t="shared" si="0"/>
        <v>-9.3863840478670982E-2</v>
      </c>
    </row>
    <row r="9" spans="2:5" x14ac:dyDescent="0.3">
      <c r="B9" s="13" t="s">
        <v>161</v>
      </c>
      <c r="C9" s="17">
        <f>+'Variabili Dicotomiche'!D7</f>
        <v>0</v>
      </c>
      <c r="D9" s="17">
        <v>-0.56884270000000003</v>
      </c>
      <c r="E9" s="17">
        <f t="shared" si="0"/>
        <v>0</v>
      </c>
    </row>
    <row r="10" spans="2:5" x14ac:dyDescent="0.3">
      <c r="B10" s="13" t="s">
        <v>251</v>
      </c>
      <c r="C10" s="17">
        <f>+'Variabili Dicotomiche'!D13</f>
        <v>0</v>
      </c>
      <c r="D10" s="17">
        <v>1.7652239999999999</v>
      </c>
      <c r="E10" s="17">
        <f t="shared" si="0"/>
        <v>0</v>
      </c>
    </row>
    <row r="11" spans="2:5" x14ac:dyDescent="0.3">
      <c r="B11" s="13" t="s">
        <v>230</v>
      </c>
      <c r="C11" s="17"/>
      <c r="D11" s="17">
        <v>-2.5692349999999999</v>
      </c>
      <c r="E11" s="17">
        <f t="shared" si="0"/>
        <v>0</v>
      </c>
    </row>
    <row r="15" spans="2:5" x14ac:dyDescent="0.3">
      <c r="B15" s="23" t="s">
        <v>231</v>
      </c>
      <c r="C15" s="17"/>
      <c r="D15" s="17"/>
      <c r="E15" s="17">
        <f>+D11+SUM(E4:E10)</f>
        <v>-3.1030503638121529</v>
      </c>
    </row>
    <row r="18" spans="2:4" ht="15" thickBot="1" x14ac:dyDescent="0.35">
      <c r="B18" s="24" t="s">
        <v>232</v>
      </c>
      <c r="C18" s="24" t="s">
        <v>233</v>
      </c>
      <c r="D18" s="24" t="s">
        <v>234</v>
      </c>
    </row>
    <row r="19" spans="2:4" ht="15" thickTop="1" x14ac:dyDescent="0.3">
      <c r="B19" s="25">
        <v>999999</v>
      </c>
      <c r="C19" s="27">
        <v>-1.5324059699999999</v>
      </c>
      <c r="D19" s="17" t="s">
        <v>235</v>
      </c>
    </row>
    <row r="20" spans="2:4" x14ac:dyDescent="0.3">
      <c r="B20" s="26">
        <f>+C19</f>
        <v>-1.5324059699999999</v>
      </c>
      <c r="C20" s="27">
        <v>-2.1981980800000001</v>
      </c>
      <c r="D20" s="17" t="s">
        <v>245</v>
      </c>
    </row>
    <row r="21" spans="2:4" x14ac:dyDescent="0.3">
      <c r="B21" s="26">
        <f t="shared" ref="B21:B28" si="1">+C20</f>
        <v>-2.1981980800000001</v>
      </c>
      <c r="C21" s="27">
        <v>-2.6198046210000001</v>
      </c>
      <c r="D21" s="17" t="s">
        <v>244</v>
      </c>
    </row>
    <row r="22" spans="2:4" x14ac:dyDescent="0.3">
      <c r="B22" s="26">
        <f t="shared" si="1"/>
        <v>-2.6198046210000001</v>
      </c>
      <c r="C22" s="27">
        <v>-2.8844139580000001</v>
      </c>
      <c r="D22" s="17" t="s">
        <v>237</v>
      </c>
    </row>
    <row r="23" spans="2:4" x14ac:dyDescent="0.3">
      <c r="B23" s="26">
        <f t="shared" si="1"/>
        <v>-2.8844139580000001</v>
      </c>
      <c r="C23" s="27">
        <v>-3.213093996</v>
      </c>
      <c r="D23" s="17" t="s">
        <v>238</v>
      </c>
    </row>
    <row r="24" spans="2:4" x14ac:dyDescent="0.3">
      <c r="B24" s="26">
        <f t="shared" si="1"/>
        <v>-3.213093996</v>
      </c>
      <c r="C24" s="27">
        <v>-3.4677848820000001</v>
      </c>
      <c r="D24" s="17" t="s">
        <v>239</v>
      </c>
    </row>
    <row r="25" spans="2:4" x14ac:dyDescent="0.3">
      <c r="B25" s="26">
        <f t="shared" si="1"/>
        <v>-3.4677848820000001</v>
      </c>
      <c r="C25" s="27">
        <v>-3.888909817</v>
      </c>
      <c r="D25" s="17" t="s">
        <v>240</v>
      </c>
    </row>
    <row r="26" spans="2:4" x14ac:dyDescent="0.3">
      <c r="B26" s="26">
        <f t="shared" si="1"/>
        <v>-3.888909817</v>
      </c>
      <c r="C26" s="27">
        <v>-4.2547779080000003</v>
      </c>
      <c r="D26" s="17" t="s">
        <v>241</v>
      </c>
    </row>
    <row r="27" spans="2:4" x14ac:dyDescent="0.3">
      <c r="B27" s="26">
        <f t="shared" si="1"/>
        <v>-4.2547779080000003</v>
      </c>
      <c r="C27" s="27">
        <v>-4.4338240620000002</v>
      </c>
      <c r="D27" s="17" t="s">
        <v>242</v>
      </c>
    </row>
    <row r="28" spans="2:4" x14ac:dyDescent="0.3">
      <c r="B28" s="26">
        <f t="shared" si="1"/>
        <v>-4.4338240620000002</v>
      </c>
      <c r="C28" s="27">
        <v>-4.7066745760000002</v>
      </c>
      <c r="D28" s="17" t="s">
        <v>243</v>
      </c>
    </row>
    <row r="29" spans="2:4" x14ac:dyDescent="0.3">
      <c r="B29" s="28">
        <f>+C28</f>
        <v>-4.7066745760000002</v>
      </c>
      <c r="C29" s="29">
        <v>-999999</v>
      </c>
      <c r="D29" s="17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Menu</vt:lpstr>
      <vt:lpstr>Input_Quant</vt:lpstr>
      <vt:lpstr>Quality ceck</vt:lpstr>
      <vt:lpstr>Variabili Discriminanti</vt:lpstr>
      <vt:lpstr>Variabili Dicotomiche</vt:lpstr>
      <vt:lpstr>Industria</vt:lpstr>
      <vt:lpstr>Edilizia</vt:lpstr>
      <vt:lpstr>Commercio</vt:lpstr>
      <vt:lpstr>Immobiliare</vt:lpstr>
      <vt:lpstr>Servizi</vt:lpstr>
      <vt:lpstr>MA_Credit Bureau discr</vt:lpstr>
      <vt:lpstr>MA_Credit Bureau dicot</vt:lpstr>
      <vt:lpstr>MA_Credit Bureau Valut</vt:lpstr>
      <vt:lpstr>MA_Centrale Rischi</vt:lpstr>
      <vt:lpstr>Valore Ponderato Andamentale</vt:lpstr>
      <vt:lpstr>Valutazione Finale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39393</dc:creator>
  <cp:lastModifiedBy>Gianluca Imperiale</cp:lastModifiedBy>
  <dcterms:created xsi:type="dcterms:W3CDTF">2019-08-01T07:52:59Z</dcterms:created>
  <dcterms:modified xsi:type="dcterms:W3CDTF">2019-09-02T08:41:52Z</dcterms:modified>
</cp:coreProperties>
</file>