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Gianluca Imperiale\Dropbox\"/>
    </mc:Choice>
  </mc:AlternateContent>
  <xr:revisionPtr revIDLastSave="0" documentId="13_ncr:1_{DFE27E70-8692-4D9C-B4CD-0C35AB6BE0AF}" xr6:coauthVersionLast="43" xr6:coauthVersionMax="43" xr10:uidLastSave="{00000000-0000-0000-0000-000000000000}"/>
  <bookViews>
    <workbookView xWindow="-108" yWindow="-108" windowWidth="23256" windowHeight="12576" tabRatio="768" xr2:uid="{00000000-000D-0000-FFFF-FFFF00000000}"/>
  </bookViews>
  <sheets>
    <sheet name="Menu" sheetId="1" r:id="rId1"/>
    <sheet name="SP" sheetId="2" r:id="rId2"/>
    <sheet name="Input Previsionale" sheetId="14" r:id="rId3"/>
    <sheet name="Scheda Debiti" sheetId="20" r:id="rId4"/>
    <sheet name="Scheda Crediti" sheetId="22" r:id="rId5"/>
    <sheet name="Scheda Inv" sheetId="19" r:id="rId6"/>
    <sheet name="Calcoli" sheetId="21" r:id="rId7"/>
    <sheet name="Flussi Cassa_Solvibilità" sheetId="27" r:id="rId8"/>
    <sheet name="SP Previsionale" sheetId="18" r:id="rId9"/>
    <sheet name="sp fin" sheetId="12" r:id="rId10"/>
    <sheet name="CE Previsionale" sheetId="17" r:id="rId11"/>
    <sheet name="ce va" sheetId="11" state="hidden" r:id="rId12"/>
    <sheet name="Fonte Impieghi" sheetId="5" state="hidden" r:id="rId13"/>
    <sheet name="Rat MedioCreditoCentrale" sheetId="23" r:id="rId14"/>
    <sheet name="In_Bancabilità" sheetId="25" r:id="rId15"/>
  </sheets>
  <externalReferences>
    <externalReference r:id="rId16"/>
  </externalReferences>
  <definedNames>
    <definedName name="anno_Prec">[1]Configurazione!$M$1</definedName>
    <definedName name="anno_Rif">[1]Configurazione!$K$1</definedName>
    <definedName name="_xlnm.Print_Area" localSheetId="2">'Input Previsionale'!$B$7:$E$30</definedName>
    <definedName name="_xlnm.Print_Area" localSheetId="1">SP!$A$3:$G$238</definedName>
    <definedName name="_xlnm.Print_Area" localSheetId="9">'sp fin'!$B$13:$C$15</definedName>
    <definedName name="prefix">#REF!</definedName>
    <definedName name="prospettiRng">[1]Impostazioni!$A$20:$J$52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7" i="27" l="1"/>
  <c r="F67" i="27"/>
  <c r="G67" i="27"/>
  <c r="H67" i="27"/>
  <c r="I67" i="27"/>
  <c r="J67" i="27"/>
  <c r="K67" i="27"/>
  <c r="L67" i="27"/>
  <c r="M67" i="27"/>
  <c r="N67" i="27"/>
  <c r="O67" i="27"/>
  <c r="D67" i="27"/>
  <c r="D11" i="17"/>
  <c r="E11" i="17"/>
  <c r="F11" i="17"/>
  <c r="G11" i="17"/>
  <c r="H11" i="17"/>
  <c r="I11" i="17"/>
  <c r="J11" i="17"/>
  <c r="K11" i="17"/>
  <c r="L11" i="17"/>
  <c r="M11" i="17"/>
  <c r="N11" i="17"/>
  <c r="C11" i="17"/>
  <c r="D57" i="27"/>
  <c r="E57" i="27"/>
  <c r="F57" i="27"/>
  <c r="G57" i="27"/>
  <c r="H57" i="27"/>
  <c r="I57" i="27"/>
  <c r="J57" i="27"/>
  <c r="K57" i="27"/>
  <c r="L57" i="27"/>
  <c r="M57" i="27"/>
  <c r="N57" i="27"/>
  <c r="O57" i="27"/>
  <c r="D58" i="27"/>
  <c r="E58" i="27"/>
  <c r="F58" i="27"/>
  <c r="G58" i="27"/>
  <c r="H58" i="27"/>
  <c r="I58" i="27"/>
  <c r="J58" i="27"/>
  <c r="K58" i="27"/>
  <c r="L58" i="27"/>
  <c r="M58" i="27"/>
  <c r="N58" i="27"/>
  <c r="D59" i="27"/>
  <c r="D60" i="27"/>
  <c r="E60" i="27"/>
  <c r="F60" i="27"/>
  <c r="G60" i="27"/>
  <c r="H60" i="27"/>
  <c r="I60" i="27"/>
  <c r="J60" i="27"/>
  <c r="K60" i="27"/>
  <c r="L60" i="27"/>
  <c r="M60" i="27"/>
  <c r="N60" i="27"/>
  <c r="O60" i="27"/>
  <c r="D61" i="27"/>
  <c r="E61" i="27"/>
  <c r="F61" i="27"/>
  <c r="G61" i="27"/>
  <c r="H61" i="27"/>
  <c r="I61" i="27"/>
  <c r="J61" i="27"/>
  <c r="K61" i="27"/>
  <c r="L61" i="27"/>
  <c r="M61" i="27"/>
  <c r="N61" i="27"/>
  <c r="O61" i="27"/>
  <c r="D62" i="27"/>
  <c r="E62" i="27"/>
  <c r="F62" i="27"/>
  <c r="G62" i="27"/>
  <c r="H62" i="27"/>
  <c r="I62" i="27"/>
  <c r="J62" i="27"/>
  <c r="K62" i="27"/>
  <c r="L62" i="27"/>
  <c r="M62" i="27"/>
  <c r="N62" i="27"/>
  <c r="O62" i="27"/>
  <c r="D48" i="27"/>
  <c r="D50" i="27"/>
  <c r="E50" i="27"/>
  <c r="F50" i="27"/>
  <c r="G50" i="27"/>
  <c r="H50" i="27"/>
  <c r="I50" i="27"/>
  <c r="J50" i="27"/>
  <c r="K50" i="27"/>
  <c r="L50" i="27"/>
  <c r="M50" i="27"/>
  <c r="N50" i="27"/>
  <c r="O50" i="27"/>
  <c r="D51" i="27"/>
  <c r="E51" i="27"/>
  <c r="F51" i="27"/>
  <c r="G51" i="27"/>
  <c r="H51" i="27"/>
  <c r="I51" i="27"/>
  <c r="J51" i="27"/>
  <c r="K51" i="27"/>
  <c r="L51" i="27"/>
  <c r="M51" i="27"/>
  <c r="N51" i="27"/>
  <c r="O51" i="27"/>
  <c r="D52" i="27"/>
  <c r="E52" i="27"/>
  <c r="F52" i="27"/>
  <c r="G52" i="27"/>
  <c r="H52" i="27"/>
  <c r="I52" i="27"/>
  <c r="J52" i="27"/>
  <c r="K52" i="27"/>
  <c r="L52" i="27"/>
  <c r="M52" i="27"/>
  <c r="N52" i="27"/>
  <c r="O52" i="27"/>
  <c r="D53" i="27"/>
  <c r="E53" i="27"/>
  <c r="F53" i="27"/>
  <c r="G53" i="27"/>
  <c r="H53" i="27"/>
  <c r="I53" i="27"/>
  <c r="J53" i="27"/>
  <c r="K53" i="27"/>
  <c r="L53" i="27"/>
  <c r="M53" i="27"/>
  <c r="N53" i="27"/>
  <c r="O53" i="27"/>
  <c r="D49" i="27"/>
  <c r="C48" i="27" l="1"/>
  <c r="C50" i="27"/>
  <c r="C51" i="27"/>
  <c r="C52" i="27"/>
  <c r="C53" i="27"/>
  <c r="C49" i="27"/>
  <c r="C40" i="27"/>
  <c r="C41" i="27"/>
  <c r="C42" i="27"/>
  <c r="C43" i="27"/>
  <c r="C39" i="27"/>
  <c r="C38" i="27"/>
  <c r="C62" i="27" l="1"/>
  <c r="C59" i="27"/>
  <c r="C60" i="27"/>
  <c r="C61" i="27"/>
  <c r="C58" i="27"/>
  <c r="C57" i="27"/>
  <c r="C44" i="27"/>
  <c r="D68" i="21" l="1"/>
  <c r="C68" i="21"/>
  <c r="D59" i="21"/>
  <c r="C59" i="21"/>
  <c r="O6" i="25" l="1"/>
  <c r="N8" i="25"/>
  <c r="O8" i="25"/>
  <c r="N9" i="25"/>
  <c r="O9" i="25"/>
  <c r="Y23" i="23"/>
  <c r="Y22" i="23"/>
  <c r="Y28" i="23" s="1"/>
  <c r="Z28" i="23" s="1"/>
  <c r="Y21" i="23"/>
  <c r="Y20" i="23"/>
  <c r="Y19" i="23"/>
  <c r="M1" i="17"/>
  <c r="N1" i="17"/>
  <c r="M5" i="17"/>
  <c r="N5" i="17"/>
  <c r="W19" i="23" s="1"/>
  <c r="M7" i="17"/>
  <c r="N4" i="17" s="1"/>
  <c r="N7" i="17"/>
  <c r="P14" i="18" s="1"/>
  <c r="M12" i="17"/>
  <c r="O15" i="18" s="1"/>
  <c r="N12" i="17"/>
  <c r="M17" i="17"/>
  <c r="M16" i="17" s="1"/>
  <c r="N17" i="17"/>
  <c r="N16" i="17" s="1"/>
  <c r="M27" i="17"/>
  <c r="M28" i="17" s="1"/>
  <c r="N82" i="21" s="1"/>
  <c r="N27" i="17"/>
  <c r="N28" i="17" s="1"/>
  <c r="M32" i="17"/>
  <c r="N32" i="17"/>
  <c r="M38" i="17"/>
  <c r="M37" i="17" s="1"/>
  <c r="N38" i="17"/>
  <c r="N37" i="17" s="1"/>
  <c r="W22" i="23" s="1"/>
  <c r="W28" i="23" s="1"/>
  <c r="X28" i="23" s="1"/>
  <c r="M125" i="21"/>
  <c r="N125" i="21"/>
  <c r="M104" i="21"/>
  <c r="N18" i="27" s="1"/>
  <c r="N104" i="21"/>
  <c r="O18" i="27" s="1"/>
  <c r="M105" i="21"/>
  <c r="N19" i="27" s="1"/>
  <c r="N105" i="21"/>
  <c r="O19" i="27" s="1"/>
  <c r="M107" i="21"/>
  <c r="N21" i="27" s="1"/>
  <c r="N107" i="21"/>
  <c r="O21" i="27" s="1"/>
  <c r="M108" i="21"/>
  <c r="N22" i="27" s="1"/>
  <c r="N108" i="21"/>
  <c r="O22" i="27" s="1"/>
  <c r="M94" i="21"/>
  <c r="N7" i="27" s="1"/>
  <c r="N94" i="21"/>
  <c r="O7" i="27" s="1"/>
  <c r="M95" i="21"/>
  <c r="N8" i="27" s="1"/>
  <c r="N95" i="21"/>
  <c r="O8" i="27" s="1"/>
  <c r="M56" i="21"/>
  <c r="M32" i="21"/>
  <c r="N32" i="21"/>
  <c r="M33" i="21"/>
  <c r="N33" i="21"/>
  <c r="M34" i="21"/>
  <c r="N34" i="21"/>
  <c r="M35" i="21"/>
  <c r="N35" i="21"/>
  <c r="D32" i="21"/>
  <c r="E32" i="21"/>
  <c r="F32" i="21"/>
  <c r="G32" i="21"/>
  <c r="H32" i="21"/>
  <c r="I32" i="21"/>
  <c r="J32" i="21"/>
  <c r="K32" i="21"/>
  <c r="L32" i="21"/>
  <c r="D33" i="21"/>
  <c r="E33" i="21"/>
  <c r="F33" i="21"/>
  <c r="G33" i="21"/>
  <c r="H33" i="21"/>
  <c r="I33" i="21"/>
  <c r="J33" i="21"/>
  <c r="K33" i="21"/>
  <c r="L33" i="21"/>
  <c r="D34" i="21"/>
  <c r="E34" i="21"/>
  <c r="F34" i="21"/>
  <c r="G34" i="21"/>
  <c r="H34" i="21"/>
  <c r="I34" i="21"/>
  <c r="J34" i="21"/>
  <c r="K34" i="21"/>
  <c r="L34" i="21"/>
  <c r="D35" i="21"/>
  <c r="E35" i="21"/>
  <c r="F35" i="21"/>
  <c r="G35" i="21"/>
  <c r="H35" i="21"/>
  <c r="I35" i="21"/>
  <c r="J35" i="21"/>
  <c r="K35" i="21"/>
  <c r="L35" i="21"/>
  <c r="C33" i="21"/>
  <c r="C34" i="21"/>
  <c r="C35" i="21"/>
  <c r="N39" i="19"/>
  <c r="M103" i="21" s="1"/>
  <c r="N17" i="27" s="1"/>
  <c r="O39" i="19"/>
  <c r="N40" i="19"/>
  <c r="O40" i="19"/>
  <c r="N41" i="19"/>
  <c r="O41" i="19"/>
  <c r="N42" i="19"/>
  <c r="O42" i="19"/>
  <c r="N46" i="19"/>
  <c r="O46" i="19"/>
  <c r="N47" i="19"/>
  <c r="O47" i="19"/>
  <c r="N48" i="19"/>
  <c r="O48" i="19"/>
  <c r="N53" i="19"/>
  <c r="O53" i="19"/>
  <c r="N54" i="19"/>
  <c r="O54" i="19"/>
  <c r="N55" i="19"/>
  <c r="O55" i="19"/>
  <c r="N56" i="19"/>
  <c r="O56" i="19"/>
  <c r="N66" i="19"/>
  <c r="O66" i="19"/>
  <c r="N67" i="19"/>
  <c r="O67" i="19"/>
  <c r="N68" i="19"/>
  <c r="O68" i="19"/>
  <c r="N69" i="19"/>
  <c r="O69" i="19"/>
  <c r="N79" i="19"/>
  <c r="O79" i="19"/>
  <c r="N80" i="19"/>
  <c r="O80" i="19"/>
  <c r="N81" i="19"/>
  <c r="O81" i="19"/>
  <c r="N82" i="19"/>
  <c r="O82" i="19"/>
  <c r="N92" i="19"/>
  <c r="O92" i="19"/>
  <c r="N93" i="19"/>
  <c r="O93" i="19"/>
  <c r="N94" i="19"/>
  <c r="O94" i="19"/>
  <c r="N95" i="19"/>
  <c r="O95" i="19"/>
  <c r="N105" i="19"/>
  <c r="O105" i="19"/>
  <c r="N106" i="19"/>
  <c r="O106" i="19"/>
  <c r="N107" i="19"/>
  <c r="O107" i="19"/>
  <c r="N108" i="19"/>
  <c r="O108" i="19"/>
  <c r="N118" i="19"/>
  <c r="O118" i="19"/>
  <c r="N119" i="19"/>
  <c r="O119" i="19"/>
  <c r="N120" i="19"/>
  <c r="O120" i="19"/>
  <c r="N121" i="19"/>
  <c r="O121" i="19"/>
  <c r="N131" i="19"/>
  <c r="O131" i="19"/>
  <c r="N132" i="19"/>
  <c r="O132" i="19"/>
  <c r="N133" i="19"/>
  <c r="O133" i="19"/>
  <c r="N134" i="19"/>
  <c r="O134" i="19"/>
  <c r="N144" i="19"/>
  <c r="O144" i="19"/>
  <c r="N145" i="19"/>
  <c r="O145" i="19"/>
  <c r="N146" i="19"/>
  <c r="O146" i="19"/>
  <c r="N147" i="19"/>
  <c r="O147" i="19"/>
  <c r="N157" i="19"/>
  <c r="O157" i="19"/>
  <c r="N158" i="19"/>
  <c r="O158" i="19"/>
  <c r="N159" i="19"/>
  <c r="O159" i="19"/>
  <c r="N160" i="19"/>
  <c r="O160" i="19"/>
  <c r="N170" i="19"/>
  <c r="O170" i="19"/>
  <c r="N171" i="19"/>
  <c r="O171" i="19"/>
  <c r="N172" i="19"/>
  <c r="O172" i="19"/>
  <c r="N173" i="19"/>
  <c r="O173" i="19"/>
  <c r="N177" i="19"/>
  <c r="O177" i="19"/>
  <c r="N178" i="19"/>
  <c r="O178" i="19"/>
  <c r="N179" i="19"/>
  <c r="O179" i="19"/>
  <c r="N183" i="19"/>
  <c r="O184" i="19"/>
  <c r="N185" i="19"/>
  <c r="M74" i="21" l="1"/>
  <c r="M75" i="21" s="1"/>
  <c r="M81" i="21"/>
  <c r="M102" i="21" s="1"/>
  <c r="N16" i="27" s="1"/>
  <c r="O14" i="18"/>
  <c r="M57" i="21"/>
  <c r="M121" i="21" s="1"/>
  <c r="O186" i="19"/>
  <c r="N103" i="21"/>
  <c r="O17" i="27" s="1"/>
  <c r="N186" i="19"/>
  <c r="N184" i="19"/>
  <c r="N187" i="19" s="1"/>
  <c r="O185" i="19"/>
  <c r="O183" i="19"/>
  <c r="O187" i="19" s="1"/>
  <c r="M83" i="21"/>
  <c r="N10" i="17"/>
  <c r="N81" i="21"/>
  <c r="N3" i="17"/>
  <c r="N56" i="21"/>
  <c r="N74" i="21"/>
  <c r="N75" i="21" s="1"/>
  <c r="O13" i="18"/>
  <c r="O10" i="25"/>
  <c r="O12" i="25" s="1"/>
  <c r="N10" i="25"/>
  <c r="Y29" i="23"/>
  <c r="Z29" i="23" s="1"/>
  <c r="P15" i="18"/>
  <c r="P13" i="18" s="1"/>
  <c r="Y8" i="23" s="1"/>
  <c r="D8" i="25"/>
  <c r="E8" i="25"/>
  <c r="F8" i="25"/>
  <c r="G8" i="25"/>
  <c r="H8" i="25"/>
  <c r="I8" i="25"/>
  <c r="J8" i="25"/>
  <c r="K8" i="25"/>
  <c r="L8" i="25"/>
  <c r="M8" i="25"/>
  <c r="D9" i="25"/>
  <c r="E9" i="25"/>
  <c r="F9" i="25"/>
  <c r="G9" i="25"/>
  <c r="H9" i="25"/>
  <c r="I9" i="25"/>
  <c r="J9" i="25"/>
  <c r="K9" i="25"/>
  <c r="L9" i="25"/>
  <c r="M9" i="25"/>
  <c r="C9" i="25"/>
  <c r="C8" i="25"/>
  <c r="D4" i="25"/>
  <c r="E4" i="25"/>
  <c r="F4" i="25"/>
  <c r="G4" i="25"/>
  <c r="H4" i="25"/>
  <c r="I4" i="25"/>
  <c r="J4" i="25"/>
  <c r="K4" i="25"/>
  <c r="L4" i="25"/>
  <c r="M4" i="25"/>
  <c r="C4" i="25"/>
  <c r="W8" i="23" l="1"/>
  <c r="O43" i="27"/>
  <c r="N57" i="21"/>
  <c r="N121" i="21" s="1"/>
  <c r="N65" i="21"/>
  <c r="N9" i="17"/>
  <c r="N14" i="17" s="1"/>
  <c r="N20" i="17" s="1"/>
  <c r="N102" i="21"/>
  <c r="O16" i="27" s="1"/>
  <c r="N83" i="21"/>
  <c r="N77" i="21"/>
  <c r="D39" i="19"/>
  <c r="D40" i="19"/>
  <c r="D41" i="19"/>
  <c r="D42" i="19"/>
  <c r="E39" i="19"/>
  <c r="F39" i="19"/>
  <c r="G39" i="19"/>
  <c r="H39" i="19"/>
  <c r="I39" i="19"/>
  <c r="J39" i="19"/>
  <c r="K39" i="19"/>
  <c r="L39" i="19"/>
  <c r="M39" i="19"/>
  <c r="E40" i="19"/>
  <c r="F40" i="19"/>
  <c r="G40" i="19"/>
  <c r="H40" i="19"/>
  <c r="I40" i="19"/>
  <c r="J40" i="19"/>
  <c r="K40" i="19"/>
  <c r="L40" i="19"/>
  <c r="M40" i="19"/>
  <c r="E41" i="19"/>
  <c r="F41" i="19"/>
  <c r="G41" i="19"/>
  <c r="H41" i="19"/>
  <c r="I41" i="19"/>
  <c r="J41" i="19"/>
  <c r="K41" i="19"/>
  <c r="L41" i="19"/>
  <c r="M41" i="19"/>
  <c r="E42" i="19"/>
  <c r="F42" i="19"/>
  <c r="G42" i="19"/>
  <c r="H42" i="19"/>
  <c r="I42" i="19"/>
  <c r="J42" i="19"/>
  <c r="K42" i="19"/>
  <c r="L42" i="19"/>
  <c r="M42" i="19"/>
  <c r="D46" i="19"/>
  <c r="D47" i="19"/>
  <c r="D48" i="19"/>
  <c r="E46" i="19"/>
  <c r="F46" i="19"/>
  <c r="G46" i="19"/>
  <c r="H46" i="19"/>
  <c r="I46" i="19"/>
  <c r="J46" i="19"/>
  <c r="K46" i="19"/>
  <c r="L46" i="19"/>
  <c r="M46" i="19"/>
  <c r="E47" i="19"/>
  <c r="F47" i="19"/>
  <c r="G47" i="19"/>
  <c r="H47" i="19"/>
  <c r="I47" i="19"/>
  <c r="J47" i="19"/>
  <c r="K47" i="19"/>
  <c r="L47" i="19"/>
  <c r="M47" i="19"/>
  <c r="E48" i="19"/>
  <c r="F48" i="19"/>
  <c r="G48" i="19"/>
  <c r="H48" i="19"/>
  <c r="I48" i="19"/>
  <c r="J48" i="19"/>
  <c r="K48" i="19"/>
  <c r="L48" i="19"/>
  <c r="M48" i="19"/>
  <c r="M171" i="19"/>
  <c r="M172" i="19"/>
  <c r="M173" i="19"/>
  <c r="M170" i="19"/>
  <c r="M157" i="19"/>
  <c r="M158" i="19"/>
  <c r="M159" i="19"/>
  <c r="M160" i="19"/>
  <c r="L158" i="19"/>
  <c r="L159" i="19"/>
  <c r="L160" i="19"/>
  <c r="L157" i="19"/>
  <c r="L144" i="19"/>
  <c r="M144" i="19"/>
  <c r="L145" i="19"/>
  <c r="M145" i="19"/>
  <c r="L146" i="19"/>
  <c r="M146" i="19"/>
  <c r="L147" i="19"/>
  <c r="M147" i="19"/>
  <c r="K145" i="19"/>
  <c r="K146" i="19"/>
  <c r="K147" i="19"/>
  <c r="K144" i="19"/>
  <c r="K131" i="19"/>
  <c r="L131" i="19"/>
  <c r="M131" i="19"/>
  <c r="K132" i="19"/>
  <c r="L132" i="19"/>
  <c r="M132" i="19"/>
  <c r="K133" i="19"/>
  <c r="L133" i="19"/>
  <c r="M133" i="19"/>
  <c r="K134" i="19"/>
  <c r="L134" i="19"/>
  <c r="M134" i="19"/>
  <c r="J132" i="19"/>
  <c r="J133" i="19"/>
  <c r="J134" i="19"/>
  <c r="J131" i="19"/>
  <c r="J118" i="19"/>
  <c r="K118" i="19"/>
  <c r="L118" i="19"/>
  <c r="M118" i="19"/>
  <c r="J119" i="19"/>
  <c r="K119" i="19"/>
  <c r="L119" i="19"/>
  <c r="M119" i="19"/>
  <c r="J120" i="19"/>
  <c r="K120" i="19"/>
  <c r="L120" i="19"/>
  <c r="M120" i="19"/>
  <c r="J121" i="19"/>
  <c r="K121" i="19"/>
  <c r="L121" i="19"/>
  <c r="M121" i="19"/>
  <c r="I119" i="19"/>
  <c r="I120" i="19"/>
  <c r="I121" i="19"/>
  <c r="I118" i="19"/>
  <c r="I105" i="19"/>
  <c r="J105" i="19"/>
  <c r="K105" i="19"/>
  <c r="L105" i="19"/>
  <c r="M105" i="19"/>
  <c r="I106" i="19"/>
  <c r="J106" i="19"/>
  <c r="K106" i="19"/>
  <c r="L106" i="19"/>
  <c r="M106" i="19"/>
  <c r="I107" i="19"/>
  <c r="J107" i="19"/>
  <c r="K107" i="19"/>
  <c r="L107" i="19"/>
  <c r="M107" i="19"/>
  <c r="I108" i="19"/>
  <c r="J108" i="19"/>
  <c r="K108" i="19"/>
  <c r="L108" i="19"/>
  <c r="M108" i="19"/>
  <c r="H106" i="19"/>
  <c r="H107" i="19"/>
  <c r="H108" i="19"/>
  <c r="H105" i="19"/>
  <c r="H92" i="19"/>
  <c r="I92" i="19"/>
  <c r="J92" i="19"/>
  <c r="K92" i="19"/>
  <c r="L92" i="19"/>
  <c r="M92" i="19"/>
  <c r="H93" i="19"/>
  <c r="I93" i="19"/>
  <c r="J93" i="19"/>
  <c r="K93" i="19"/>
  <c r="L93" i="19"/>
  <c r="M93" i="19"/>
  <c r="H94" i="19"/>
  <c r="I94" i="19"/>
  <c r="J94" i="19"/>
  <c r="K94" i="19"/>
  <c r="L94" i="19"/>
  <c r="M94" i="19"/>
  <c r="H95" i="19"/>
  <c r="I95" i="19"/>
  <c r="J95" i="19"/>
  <c r="K95" i="19"/>
  <c r="L95" i="19"/>
  <c r="M95" i="19"/>
  <c r="G93" i="19"/>
  <c r="G94" i="19"/>
  <c r="G95" i="19"/>
  <c r="G92" i="19"/>
  <c r="G79" i="19"/>
  <c r="H79" i="19"/>
  <c r="I79" i="19"/>
  <c r="J79" i="19"/>
  <c r="K79" i="19"/>
  <c r="L79" i="19"/>
  <c r="M79" i="19"/>
  <c r="G80" i="19"/>
  <c r="H80" i="19"/>
  <c r="I80" i="19"/>
  <c r="J80" i="19"/>
  <c r="K80" i="19"/>
  <c r="L80" i="19"/>
  <c r="M80" i="19"/>
  <c r="G81" i="19"/>
  <c r="H81" i="19"/>
  <c r="I81" i="19"/>
  <c r="J81" i="19"/>
  <c r="K81" i="19"/>
  <c r="L81" i="19"/>
  <c r="M81" i="19"/>
  <c r="G82" i="19"/>
  <c r="H82" i="19"/>
  <c r="I82" i="19"/>
  <c r="J82" i="19"/>
  <c r="K82" i="19"/>
  <c r="L82" i="19"/>
  <c r="M82" i="19"/>
  <c r="F80" i="19"/>
  <c r="F81" i="19"/>
  <c r="F82" i="19"/>
  <c r="F79" i="19"/>
  <c r="F66" i="19"/>
  <c r="G66" i="19"/>
  <c r="H66" i="19"/>
  <c r="I66" i="19"/>
  <c r="J66" i="19"/>
  <c r="K66" i="19"/>
  <c r="L66" i="19"/>
  <c r="M66" i="19"/>
  <c r="F67" i="19"/>
  <c r="G67" i="19"/>
  <c r="H67" i="19"/>
  <c r="I67" i="19"/>
  <c r="J67" i="19"/>
  <c r="K67" i="19"/>
  <c r="L67" i="19"/>
  <c r="M67" i="19"/>
  <c r="F68" i="19"/>
  <c r="G68" i="19"/>
  <c r="H68" i="19"/>
  <c r="I68" i="19"/>
  <c r="J68" i="19"/>
  <c r="K68" i="19"/>
  <c r="L68" i="19"/>
  <c r="M68" i="19"/>
  <c r="F69" i="19"/>
  <c r="G69" i="19"/>
  <c r="H69" i="19"/>
  <c r="I69" i="19"/>
  <c r="J69" i="19"/>
  <c r="K69" i="19"/>
  <c r="L69" i="19"/>
  <c r="M69" i="19"/>
  <c r="E67" i="19"/>
  <c r="E68" i="19"/>
  <c r="E69" i="19"/>
  <c r="E66" i="19"/>
  <c r="E53" i="19"/>
  <c r="F53" i="19"/>
  <c r="G53" i="19"/>
  <c r="H53" i="19"/>
  <c r="I53" i="19"/>
  <c r="J53" i="19"/>
  <c r="K53" i="19"/>
  <c r="L53" i="19"/>
  <c r="M53" i="19"/>
  <c r="E54" i="19"/>
  <c r="F54" i="19"/>
  <c r="G54" i="19"/>
  <c r="H54" i="19"/>
  <c r="I54" i="19"/>
  <c r="J54" i="19"/>
  <c r="K54" i="19"/>
  <c r="L54" i="19"/>
  <c r="M54" i="19"/>
  <c r="E55" i="19"/>
  <c r="F55" i="19"/>
  <c r="G55" i="19"/>
  <c r="H55" i="19"/>
  <c r="I55" i="19"/>
  <c r="J55" i="19"/>
  <c r="K55" i="19"/>
  <c r="L55" i="19"/>
  <c r="M55" i="19"/>
  <c r="E56" i="19"/>
  <c r="F56" i="19"/>
  <c r="G56" i="19"/>
  <c r="H56" i="19"/>
  <c r="I56" i="19"/>
  <c r="J56" i="19"/>
  <c r="K56" i="19"/>
  <c r="L56" i="19"/>
  <c r="M56" i="19"/>
  <c r="D54" i="19"/>
  <c r="D55" i="19"/>
  <c r="D56" i="19"/>
  <c r="D53" i="19"/>
  <c r="D107" i="21"/>
  <c r="E107" i="21"/>
  <c r="F107" i="21"/>
  <c r="G107" i="21"/>
  <c r="H107" i="21"/>
  <c r="I107" i="21"/>
  <c r="J107" i="21"/>
  <c r="K107" i="21"/>
  <c r="L107" i="21"/>
  <c r="C107" i="21"/>
  <c r="C14" i="27"/>
  <c r="C15" i="27"/>
  <c r="C16" i="27"/>
  <c r="C17" i="27"/>
  <c r="C18" i="27"/>
  <c r="C19" i="27"/>
  <c r="C20" i="27"/>
  <c r="C21" i="27"/>
  <c r="C22" i="27"/>
  <c r="C23" i="27"/>
  <c r="C13" i="27"/>
  <c r="C7" i="27"/>
  <c r="C8" i="27"/>
  <c r="C6" i="27"/>
  <c r="E7" i="14"/>
  <c r="F7" i="14" s="1"/>
  <c r="D2" i="17" s="1"/>
  <c r="D2" i="5" s="1"/>
  <c r="D25" i="5" s="1"/>
  <c r="D27" i="17"/>
  <c r="D28" i="17" s="1"/>
  <c r="E27" i="17"/>
  <c r="E28" i="17" s="1"/>
  <c r="F27" i="17"/>
  <c r="F28" i="17" s="1"/>
  <c r="G27" i="17"/>
  <c r="G28" i="17" s="1"/>
  <c r="H27" i="17"/>
  <c r="H28" i="17" s="1"/>
  <c r="I27" i="17"/>
  <c r="I28" i="17" s="1"/>
  <c r="J27" i="17"/>
  <c r="J28" i="17" s="1"/>
  <c r="K27" i="17"/>
  <c r="K28" i="17" s="1"/>
  <c r="L27" i="17"/>
  <c r="C27" i="17"/>
  <c r="C28" i="17" s="1"/>
  <c r="D17" i="17"/>
  <c r="E17" i="17"/>
  <c r="F17" i="17"/>
  <c r="G17" i="17"/>
  <c r="H17" i="17"/>
  <c r="I17" i="17"/>
  <c r="J17" i="17"/>
  <c r="K17" i="17"/>
  <c r="L17" i="17"/>
  <c r="C17" i="17"/>
  <c r="D5" i="17"/>
  <c r="E5" i="17"/>
  <c r="F5" i="17"/>
  <c r="G5" i="17"/>
  <c r="H5" i="17"/>
  <c r="I5" i="17"/>
  <c r="J5" i="17"/>
  <c r="K5" i="17"/>
  <c r="L5" i="17"/>
  <c r="C5" i="17"/>
  <c r="D30" i="18"/>
  <c r="G4" i="2"/>
  <c r="D3" i="18" s="1"/>
  <c r="N15" i="17" l="1"/>
  <c r="L28" i="17"/>
  <c r="M82" i="21" s="1"/>
  <c r="N66" i="21"/>
  <c r="N79" i="21"/>
  <c r="N100" i="21"/>
  <c r="O14" i="27" s="1"/>
  <c r="C4" i="20"/>
  <c r="C4" i="22" s="1"/>
  <c r="C5" i="25"/>
  <c r="C2" i="17"/>
  <c r="C2" i="5" s="1"/>
  <c r="C25" i="5" s="1"/>
  <c r="E3" i="18"/>
  <c r="C5" i="23" s="1"/>
  <c r="C18" i="23" s="1"/>
  <c r="G7" i="14"/>
  <c r="D125" i="21"/>
  <c r="E125" i="21"/>
  <c r="F125" i="21"/>
  <c r="G125" i="21"/>
  <c r="H125" i="21"/>
  <c r="I125" i="21"/>
  <c r="J125" i="21"/>
  <c r="K125" i="21"/>
  <c r="L125" i="21"/>
  <c r="C125" i="21"/>
  <c r="N120" i="21" l="1"/>
  <c r="N123" i="21" s="1"/>
  <c r="E5" i="23"/>
  <c r="G5" i="23" s="1"/>
  <c r="I5" i="23" s="1"/>
  <c r="I18" i="23" s="1"/>
  <c r="D5" i="25"/>
  <c r="D14" i="19"/>
  <c r="D3" i="27"/>
  <c r="D36" i="27" s="1"/>
  <c r="H7" i="14"/>
  <c r="E2" i="17"/>
  <c r="E2" i="5" s="1"/>
  <c r="E25" i="5" s="1"/>
  <c r="F3" i="18"/>
  <c r="C7" i="17"/>
  <c r="N128" i="21" l="1"/>
  <c r="N126" i="21"/>
  <c r="N106" i="21" s="1"/>
  <c r="O20" i="27" s="1"/>
  <c r="G18" i="23"/>
  <c r="K5" i="23"/>
  <c r="M5" i="23" s="1"/>
  <c r="E18" i="23"/>
  <c r="E5" i="25"/>
  <c r="E14" i="19"/>
  <c r="E3" i="27"/>
  <c r="E36" i="27" s="1"/>
  <c r="D169" i="19"/>
  <c r="D65" i="19"/>
  <c r="D38" i="19"/>
  <c r="D29" i="19"/>
  <c r="D156" i="19"/>
  <c r="D104" i="19"/>
  <c r="D78" i="19"/>
  <c r="D52" i="19"/>
  <c r="D34" i="19"/>
  <c r="D22" i="19"/>
  <c r="G3" i="18"/>
  <c r="I7" i="14"/>
  <c r="F2" i="17"/>
  <c r="F2" i="5" s="1"/>
  <c r="F25" i="5" s="1"/>
  <c r="G75" i="2"/>
  <c r="G70" i="2"/>
  <c r="C12" i="17"/>
  <c r="D10" i="17" s="1"/>
  <c r="E14" i="18"/>
  <c r="D12" i="17"/>
  <c r="F15" i="18" s="1"/>
  <c r="D7" i="17"/>
  <c r="F14" i="18" s="1"/>
  <c r="E12" i="17"/>
  <c r="F10" i="17" s="1"/>
  <c r="E7" i="17"/>
  <c r="G14" i="18" s="1"/>
  <c r="F12" i="17"/>
  <c r="H15" i="18" s="1"/>
  <c r="F7" i="17"/>
  <c r="H14" i="18" s="1"/>
  <c r="G12" i="17"/>
  <c r="I15" i="18" s="1"/>
  <c r="G7" i="17"/>
  <c r="I14" i="18" s="1"/>
  <c r="H12" i="17"/>
  <c r="J15" i="18" s="1"/>
  <c r="H7" i="17"/>
  <c r="J14" i="18" s="1"/>
  <c r="I12" i="17"/>
  <c r="K15" i="18" s="1"/>
  <c r="I7" i="17"/>
  <c r="K14" i="18" s="1"/>
  <c r="J12" i="17"/>
  <c r="L15" i="18" s="1"/>
  <c r="J7" i="17"/>
  <c r="K4" i="17" s="1"/>
  <c r="K12" i="17"/>
  <c r="M15" i="18" s="1"/>
  <c r="K7" i="17"/>
  <c r="M14" i="18" s="1"/>
  <c r="K10" i="25"/>
  <c r="U22" i="23"/>
  <c r="U28" i="23" s="1"/>
  <c r="V28" i="23" s="1"/>
  <c r="U19" i="23"/>
  <c r="C1" i="17"/>
  <c r="D1" i="17"/>
  <c r="E1" i="17"/>
  <c r="F1" i="17"/>
  <c r="G1" i="17"/>
  <c r="H1" i="17"/>
  <c r="I1" i="17"/>
  <c r="J1" i="17"/>
  <c r="K1" i="17"/>
  <c r="L1" i="17"/>
  <c r="C14" i="12"/>
  <c r="D14" i="18" s="1"/>
  <c r="C4" i="17" s="1"/>
  <c r="C15" i="12"/>
  <c r="D15" i="18" s="1"/>
  <c r="C10" i="17" s="1"/>
  <c r="C19" i="12"/>
  <c r="C21" i="12"/>
  <c r="D21" i="18" s="1"/>
  <c r="C22" i="12"/>
  <c r="D22" i="18" s="1"/>
  <c r="C23" i="12"/>
  <c r="D23" i="18" s="1"/>
  <c r="C27" i="12"/>
  <c r="D27" i="18" s="1"/>
  <c r="C28" i="12"/>
  <c r="D28" i="18" s="1"/>
  <c r="C29" i="12"/>
  <c r="D29" i="18" s="1"/>
  <c r="C38" i="12"/>
  <c r="C50" i="12"/>
  <c r="D50" i="18" s="1"/>
  <c r="C51" i="12"/>
  <c r="D51" i="18" s="1"/>
  <c r="C57" i="12"/>
  <c r="D57" i="18" s="1"/>
  <c r="C58" i="12"/>
  <c r="D58" i="18" s="1"/>
  <c r="C60" i="12"/>
  <c r="D60" i="18" s="1"/>
  <c r="C61" i="12"/>
  <c r="D61" i="18" s="1"/>
  <c r="G79" i="2"/>
  <c r="G83" i="2"/>
  <c r="G87" i="2"/>
  <c r="G91" i="2"/>
  <c r="G95" i="2"/>
  <c r="G99" i="2"/>
  <c r="G103" i="2"/>
  <c r="G113" i="2"/>
  <c r="G118" i="2"/>
  <c r="G123" i="2"/>
  <c r="C10" i="12" s="1"/>
  <c r="D10" i="18" s="1"/>
  <c r="D41" i="27" s="1"/>
  <c r="G132" i="2"/>
  <c r="G153" i="2"/>
  <c r="G161" i="2"/>
  <c r="G169" i="2"/>
  <c r="C52" i="12" s="1"/>
  <c r="D52" i="18" s="1"/>
  <c r="G175" i="2"/>
  <c r="G179" i="2"/>
  <c r="G183" i="2"/>
  <c r="C47" i="12" s="1"/>
  <c r="D47" i="18" s="1"/>
  <c r="G187" i="2"/>
  <c r="G191" i="2"/>
  <c r="G195" i="2"/>
  <c r="G199" i="2"/>
  <c r="C41" i="12" s="1"/>
  <c r="D41" i="18" s="1"/>
  <c r="G203" i="2"/>
  <c r="G207" i="2"/>
  <c r="G211" i="2"/>
  <c r="G215" i="2"/>
  <c r="G219" i="2"/>
  <c r="G223" i="2"/>
  <c r="C43" i="12" s="1"/>
  <c r="D43" i="18" s="1"/>
  <c r="G227" i="2"/>
  <c r="C42" i="12" s="1"/>
  <c r="D42" i="18" s="1"/>
  <c r="G231" i="2"/>
  <c r="G236" i="2"/>
  <c r="C45" i="12" s="1"/>
  <c r="D45" i="18" s="1"/>
  <c r="C18" i="20" s="1"/>
  <c r="L7" i="17"/>
  <c r="L12" i="17"/>
  <c r="D94" i="21"/>
  <c r="E7" i="27" s="1"/>
  <c r="E94" i="21"/>
  <c r="F7" i="27" s="1"/>
  <c r="F94" i="21"/>
  <c r="G7" i="27" s="1"/>
  <c r="G94" i="21"/>
  <c r="H7" i="27" s="1"/>
  <c r="H94" i="21"/>
  <c r="I7" i="27" s="1"/>
  <c r="I94" i="21"/>
  <c r="J7" i="27" s="1"/>
  <c r="J94" i="21"/>
  <c r="K7" i="27" s="1"/>
  <c r="K94" i="21"/>
  <c r="L7" i="27" s="1"/>
  <c r="L94" i="21"/>
  <c r="M7" i="27" s="1"/>
  <c r="C94" i="21"/>
  <c r="D7" i="27" s="1"/>
  <c r="H104" i="21"/>
  <c r="I18" i="27" s="1"/>
  <c r="I104" i="21"/>
  <c r="J18" i="27" s="1"/>
  <c r="J104" i="21"/>
  <c r="K18" i="27" s="1"/>
  <c r="K104" i="21"/>
  <c r="L18" i="27" s="1"/>
  <c r="L104" i="21"/>
  <c r="M18" i="27" s="1"/>
  <c r="D95" i="21"/>
  <c r="E8" i="27" s="1"/>
  <c r="E95" i="21"/>
  <c r="F8" i="27" s="1"/>
  <c r="F95" i="21"/>
  <c r="G8" i="27" s="1"/>
  <c r="G95" i="21"/>
  <c r="H8" i="27" s="1"/>
  <c r="H95" i="21"/>
  <c r="I8" i="27" s="1"/>
  <c r="I95" i="21"/>
  <c r="J8" i="27" s="1"/>
  <c r="J95" i="21"/>
  <c r="K8" i="27" s="1"/>
  <c r="K95" i="21"/>
  <c r="L8" i="27" s="1"/>
  <c r="L95" i="21"/>
  <c r="M8" i="27" s="1"/>
  <c r="C95" i="21"/>
  <c r="D8" i="27" s="1"/>
  <c r="D105" i="21"/>
  <c r="E19" i="27" s="1"/>
  <c r="E105" i="21"/>
  <c r="F19" i="27" s="1"/>
  <c r="F105" i="21"/>
  <c r="G19" i="27" s="1"/>
  <c r="G105" i="21"/>
  <c r="H19" i="27" s="1"/>
  <c r="H105" i="21"/>
  <c r="I19" i="27" s="1"/>
  <c r="I105" i="21"/>
  <c r="J19" i="27" s="1"/>
  <c r="J105" i="21"/>
  <c r="K19" i="27" s="1"/>
  <c r="K105" i="21"/>
  <c r="L19" i="27" s="1"/>
  <c r="L105" i="21"/>
  <c r="M19" i="27" s="1"/>
  <c r="E33" i="14"/>
  <c r="E38" i="14" s="1"/>
  <c r="A6" i="18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D62" i="19"/>
  <c r="E75" i="19"/>
  <c r="F88" i="19"/>
  <c r="G101" i="19"/>
  <c r="H101" i="19" s="1"/>
  <c r="I101" i="19" s="1"/>
  <c r="J101" i="19" s="1"/>
  <c r="H114" i="19"/>
  <c r="I127" i="19"/>
  <c r="J140" i="19"/>
  <c r="K140" i="19" s="1"/>
  <c r="K153" i="19"/>
  <c r="L153" i="19" s="1"/>
  <c r="M153" i="19" s="1"/>
  <c r="N153" i="19" s="1"/>
  <c r="O153" i="19" s="1"/>
  <c r="L166" i="19"/>
  <c r="M166" i="19" s="1"/>
  <c r="N166" i="19" s="1"/>
  <c r="O166" i="19" s="1"/>
  <c r="M179" i="19"/>
  <c r="D61" i="19"/>
  <c r="E61" i="19" s="1"/>
  <c r="E191" i="19" s="1"/>
  <c r="E74" i="19"/>
  <c r="F74" i="19" s="1"/>
  <c r="G74" i="19" s="1"/>
  <c r="H74" i="19" s="1"/>
  <c r="F87" i="19"/>
  <c r="G87" i="19" s="1"/>
  <c r="H87" i="19" s="1"/>
  <c r="G100" i="19"/>
  <c r="H113" i="19"/>
  <c r="I126" i="19"/>
  <c r="J126" i="19" s="1"/>
  <c r="J139" i="19"/>
  <c r="K139" i="19" s="1"/>
  <c r="L139" i="19" s="1"/>
  <c r="K152" i="19"/>
  <c r="L152" i="19" s="1"/>
  <c r="M152" i="19" s="1"/>
  <c r="N152" i="19" s="1"/>
  <c r="O152" i="19" s="1"/>
  <c r="L165" i="19"/>
  <c r="M165" i="19" s="1"/>
  <c r="N165" i="19" s="1"/>
  <c r="O165" i="19" s="1"/>
  <c r="M178" i="19"/>
  <c r="D60" i="19"/>
  <c r="E60" i="19" s="1"/>
  <c r="E73" i="19"/>
  <c r="F86" i="19"/>
  <c r="G99" i="19"/>
  <c r="H99" i="19" s="1"/>
  <c r="H112" i="19"/>
  <c r="I125" i="19"/>
  <c r="J125" i="19" s="1"/>
  <c r="J138" i="19"/>
  <c r="K151" i="19"/>
  <c r="L151" i="19"/>
  <c r="M151" i="19" s="1"/>
  <c r="N151" i="19" s="1"/>
  <c r="O151" i="19" s="1"/>
  <c r="L164" i="19"/>
  <c r="M164" i="19" s="1"/>
  <c r="N164" i="19" s="1"/>
  <c r="O164" i="19" s="1"/>
  <c r="M177" i="19"/>
  <c r="D186" i="19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D103" i="21"/>
  <c r="E17" i="27" s="1"/>
  <c r="I103" i="21"/>
  <c r="J17" i="27" s="1"/>
  <c r="J103" i="21"/>
  <c r="K17" i="27" s="1"/>
  <c r="B31" i="19"/>
  <c r="B47" i="19" s="1"/>
  <c r="B26" i="19"/>
  <c r="C32" i="21"/>
  <c r="B31" i="21"/>
  <c r="B32" i="19"/>
  <c r="B30" i="19"/>
  <c r="B60" i="19" s="1"/>
  <c r="B73" i="19" s="1"/>
  <c r="B86" i="19" s="1"/>
  <c r="B99" i="19" s="1"/>
  <c r="B112" i="19" s="1"/>
  <c r="B125" i="19" s="1"/>
  <c r="B138" i="19" s="1"/>
  <c r="B151" i="19" s="1"/>
  <c r="B164" i="19" s="1"/>
  <c r="B177" i="19" s="1"/>
  <c r="B190" i="19" s="1"/>
  <c r="C29" i="19"/>
  <c r="B29" i="19"/>
  <c r="B24" i="19"/>
  <c r="B40" i="19" s="1"/>
  <c r="B25" i="19"/>
  <c r="B23" i="19"/>
  <c r="B22" i="19"/>
  <c r="C32" i="17"/>
  <c r="D32" i="17"/>
  <c r="E32" i="17"/>
  <c r="F32" i="17"/>
  <c r="G32" i="17"/>
  <c r="H32" i="17"/>
  <c r="H38" i="17"/>
  <c r="I32" i="17"/>
  <c r="I38" i="17"/>
  <c r="J32" i="17"/>
  <c r="J38" i="17"/>
  <c r="K32" i="17"/>
  <c r="K38" i="17"/>
  <c r="L38" i="17"/>
  <c r="L37" i="17" s="1"/>
  <c r="B25" i="21"/>
  <c r="B24" i="21"/>
  <c r="B23" i="21"/>
  <c r="B5" i="21"/>
  <c r="B12" i="21" s="1"/>
  <c r="B6" i="21"/>
  <c r="B13" i="21" s="1"/>
  <c r="B7" i="21"/>
  <c r="B4" i="21"/>
  <c r="B11" i="21" s="1"/>
  <c r="L32" i="17"/>
  <c r="C3" i="11"/>
  <c r="C8" i="11" s="1"/>
  <c r="D3" i="11"/>
  <c r="D8" i="11" s="1"/>
  <c r="E3" i="11"/>
  <c r="E8" i="11" s="1"/>
  <c r="F3" i="11"/>
  <c r="F8" i="11" s="1"/>
  <c r="G3" i="11"/>
  <c r="G8" i="11" s="1"/>
  <c r="G4" i="11"/>
  <c r="G5" i="11"/>
  <c r="G6" i="11"/>
  <c r="G7" i="11"/>
  <c r="H3" i="11"/>
  <c r="H8" i="11" s="1"/>
  <c r="I3" i="11"/>
  <c r="I8" i="11" s="1"/>
  <c r="J3" i="11"/>
  <c r="J8" i="11" s="1"/>
  <c r="K3" i="11"/>
  <c r="K8" i="11" s="1"/>
  <c r="K4" i="11"/>
  <c r="K5" i="11"/>
  <c r="K6" i="11"/>
  <c r="K7" i="11"/>
  <c r="B3" i="11"/>
  <c r="C4" i="11"/>
  <c r="D4" i="11"/>
  <c r="E4" i="11"/>
  <c r="F4" i="11"/>
  <c r="H4" i="11"/>
  <c r="I4" i="11"/>
  <c r="J4" i="11"/>
  <c r="C5" i="11"/>
  <c r="D5" i="11"/>
  <c r="D6" i="11"/>
  <c r="D7" i="11"/>
  <c r="D10" i="11"/>
  <c r="D9" i="11" s="1"/>
  <c r="D11" i="11"/>
  <c r="D12" i="11"/>
  <c r="D13" i="11"/>
  <c r="D14" i="11"/>
  <c r="E5" i="11"/>
  <c r="F5" i="11"/>
  <c r="H5" i="11"/>
  <c r="I5" i="11"/>
  <c r="J5" i="11"/>
  <c r="C6" i="11"/>
  <c r="E6" i="11"/>
  <c r="F6" i="11"/>
  <c r="G10" i="11"/>
  <c r="G9" i="11" s="1"/>
  <c r="G11" i="11"/>
  <c r="G12" i="11"/>
  <c r="G13" i="11"/>
  <c r="G14" i="11"/>
  <c r="H6" i="11"/>
  <c r="I6" i="11"/>
  <c r="J6" i="11"/>
  <c r="C10" i="11"/>
  <c r="C9" i="11" s="1"/>
  <c r="E10" i="11"/>
  <c r="E9" i="11" s="1"/>
  <c r="F10" i="11"/>
  <c r="F9" i="11" s="1"/>
  <c r="H10" i="11"/>
  <c r="H9" i="11" s="1"/>
  <c r="I10" i="11"/>
  <c r="I9" i="11" s="1"/>
  <c r="J10" i="11"/>
  <c r="J9" i="11" s="1"/>
  <c r="J11" i="11"/>
  <c r="J12" i="11"/>
  <c r="J13" i="11"/>
  <c r="J14" i="11"/>
  <c r="K10" i="11"/>
  <c r="K9" i="11" s="1"/>
  <c r="C11" i="11"/>
  <c r="E11" i="11"/>
  <c r="E12" i="11"/>
  <c r="E13" i="11"/>
  <c r="E14" i="11"/>
  <c r="E7" i="11"/>
  <c r="E16" i="11"/>
  <c r="E18" i="11"/>
  <c r="E20" i="11"/>
  <c r="E22" i="11"/>
  <c r="E26" i="11"/>
  <c r="F11" i="11"/>
  <c r="H11" i="11"/>
  <c r="I11" i="11"/>
  <c r="K11" i="11"/>
  <c r="C12" i="11"/>
  <c r="C13" i="11"/>
  <c r="C14" i="11"/>
  <c r="F12" i="11"/>
  <c r="H12" i="11"/>
  <c r="I12" i="11"/>
  <c r="I13" i="11"/>
  <c r="I14" i="11"/>
  <c r="K12" i="11"/>
  <c r="F13" i="11"/>
  <c r="H13" i="11"/>
  <c r="H14" i="11"/>
  <c r="K13" i="11"/>
  <c r="F14" i="11"/>
  <c r="K14" i="11"/>
  <c r="B14" i="11"/>
  <c r="B13" i="11"/>
  <c r="B11" i="11"/>
  <c r="B12" i="11"/>
  <c r="B10" i="11"/>
  <c r="B6" i="11"/>
  <c r="B5" i="11"/>
  <c r="B4" i="11"/>
  <c r="F7" i="11"/>
  <c r="I7" i="11"/>
  <c r="F26" i="11"/>
  <c r="G26" i="11"/>
  <c r="D26" i="11"/>
  <c r="C18" i="11"/>
  <c r="C16" i="11"/>
  <c r="B18" i="11"/>
  <c r="B16" i="11"/>
  <c r="I20" i="11"/>
  <c r="D18" i="11"/>
  <c r="I18" i="11"/>
  <c r="H18" i="11"/>
  <c r="I16" i="11"/>
  <c r="H16" i="11"/>
  <c r="D16" i="11"/>
  <c r="F16" i="11"/>
  <c r="I22" i="11"/>
  <c r="K20" i="11"/>
  <c r="K18" i="11"/>
  <c r="K22" i="11"/>
  <c r="J26" i="11"/>
  <c r="H7" i="11"/>
  <c r="I26" i="11"/>
  <c r="F22" i="11"/>
  <c r="H26" i="11"/>
  <c r="H22" i="11"/>
  <c r="J20" i="11"/>
  <c r="D20" i="11"/>
  <c r="C7" i="11"/>
  <c r="C20" i="11"/>
  <c r="J7" i="11"/>
  <c r="G16" i="11"/>
  <c r="J16" i="11"/>
  <c r="K16" i="11"/>
  <c r="C26" i="11"/>
  <c r="G22" i="11"/>
  <c r="J18" i="11"/>
  <c r="C22" i="11"/>
  <c r="G20" i="11"/>
  <c r="F18" i="11"/>
  <c r="J22" i="11"/>
  <c r="K26" i="11"/>
  <c r="G18" i="11"/>
  <c r="H20" i="11"/>
  <c r="F20" i="11"/>
  <c r="D22" i="11"/>
  <c r="B54" i="19"/>
  <c r="B67" i="19" s="1"/>
  <c r="B80" i="19" s="1"/>
  <c r="B93" i="19" s="1"/>
  <c r="B106" i="19" s="1"/>
  <c r="B119" i="19" s="1"/>
  <c r="B132" i="19" s="1"/>
  <c r="B145" i="19" s="1"/>
  <c r="B158" i="19" s="1"/>
  <c r="B171" i="19" s="1"/>
  <c r="B184" i="19" s="1"/>
  <c r="E12" i="14"/>
  <c r="E22" i="14"/>
  <c r="E27" i="14"/>
  <c r="G88" i="19"/>
  <c r="E103" i="21"/>
  <c r="F17" i="27" s="1"/>
  <c r="G86" i="19"/>
  <c r="B61" i="19"/>
  <c r="B74" i="19" s="1"/>
  <c r="B87" i="19" s="1"/>
  <c r="B100" i="19" s="1"/>
  <c r="B113" i="19" s="1"/>
  <c r="B126" i="19" s="1"/>
  <c r="B139" i="19" s="1"/>
  <c r="B152" i="19" s="1"/>
  <c r="B165" i="19" s="1"/>
  <c r="B178" i="19" s="1"/>
  <c r="B191" i="19" s="1"/>
  <c r="F27" i="14"/>
  <c r="D2" i="11"/>
  <c r="C2" i="11"/>
  <c r="D190" i="19"/>
  <c r="H100" i="19"/>
  <c r="D191" i="19"/>
  <c r="J127" i="19"/>
  <c r="K127" i="19" s="1"/>
  <c r="E2" i="11"/>
  <c r="F2" i="11"/>
  <c r="G2" i="11"/>
  <c r="H2" i="11"/>
  <c r="I2" i="11"/>
  <c r="J2" i="11"/>
  <c r="K2" i="11"/>
  <c r="D4" i="17"/>
  <c r="D21" i="27"/>
  <c r="C105" i="21"/>
  <c r="D19" i="27" s="1"/>
  <c r="E43" i="18" l="1"/>
  <c r="D55" i="27"/>
  <c r="C5" i="20"/>
  <c r="L140" i="19"/>
  <c r="M140" i="19" s="1"/>
  <c r="N140" i="19" s="1"/>
  <c r="G155" i="2"/>
  <c r="G163" i="2" s="1"/>
  <c r="N14" i="18"/>
  <c r="N13" i="18" s="1"/>
  <c r="M4" i="17"/>
  <c r="M3" i="17" s="1"/>
  <c r="F4" i="17"/>
  <c r="B46" i="19"/>
  <c r="D192" i="19"/>
  <c r="D193" i="19" s="1"/>
  <c r="O10" i="18"/>
  <c r="O41" i="27" s="1"/>
  <c r="P10" i="18"/>
  <c r="I113" i="19"/>
  <c r="E50" i="18"/>
  <c r="F50" i="18" s="1"/>
  <c r="H86" i="19"/>
  <c r="M139" i="19"/>
  <c r="N139" i="19" s="1"/>
  <c r="F75" i="19"/>
  <c r="G75" i="19" s="1"/>
  <c r="M101" i="21"/>
  <c r="N15" i="27" s="1"/>
  <c r="N101" i="21"/>
  <c r="O15" i="27" s="1"/>
  <c r="N15" i="18"/>
  <c r="M10" i="17"/>
  <c r="P42" i="18"/>
  <c r="O42" i="18"/>
  <c r="C11" i="19"/>
  <c r="C18" i="21" s="1"/>
  <c r="C24" i="21" s="1"/>
  <c r="K18" i="23"/>
  <c r="G15" i="18"/>
  <c r="H4" i="17"/>
  <c r="K10" i="17"/>
  <c r="E10" i="17"/>
  <c r="C53" i="12"/>
  <c r="D53" i="18" s="1"/>
  <c r="C37" i="12"/>
  <c r="D38" i="18"/>
  <c r="D37" i="18" s="1"/>
  <c r="C59" i="12"/>
  <c r="D59" i="18" s="1"/>
  <c r="D56" i="18" s="1"/>
  <c r="C18" i="12"/>
  <c r="D19" i="18"/>
  <c r="G18" i="21"/>
  <c r="K18" i="21"/>
  <c r="L18" i="21"/>
  <c r="F18" i="21"/>
  <c r="J18" i="21"/>
  <c r="F5" i="25"/>
  <c r="F14" i="19"/>
  <c r="F3" i="27"/>
  <c r="F36" i="27" s="1"/>
  <c r="O5" i="23"/>
  <c r="M18" i="23"/>
  <c r="E169" i="19"/>
  <c r="E65" i="19"/>
  <c r="E38" i="19"/>
  <c r="E29" i="19"/>
  <c r="E156" i="19"/>
  <c r="E104" i="19"/>
  <c r="E78" i="19"/>
  <c r="E52" i="19"/>
  <c r="E34" i="19"/>
  <c r="E22" i="19"/>
  <c r="D143" i="19"/>
  <c r="D117" i="19"/>
  <c r="D91" i="19"/>
  <c r="D130" i="19"/>
  <c r="J10" i="25"/>
  <c r="G10" i="17"/>
  <c r="E4" i="17"/>
  <c r="B34" i="21"/>
  <c r="H13" i="18"/>
  <c r="H37" i="17"/>
  <c r="K22" i="23" s="1"/>
  <c r="F15" i="11"/>
  <c r="F17" i="11" s="1"/>
  <c r="F19" i="11" s="1"/>
  <c r="F21" i="11" s="1"/>
  <c r="F23" i="11" s="1"/>
  <c r="F25" i="11" s="1"/>
  <c r="F27" i="11" s="1"/>
  <c r="I15" i="11"/>
  <c r="I17" i="11" s="1"/>
  <c r="I19" i="11" s="1"/>
  <c r="I21" i="11" s="1"/>
  <c r="I23" i="11" s="1"/>
  <c r="I25" i="11" s="1"/>
  <c r="I27" i="11" s="1"/>
  <c r="H15" i="11"/>
  <c r="H17" i="11" s="1"/>
  <c r="H19" i="11" s="1"/>
  <c r="H21" i="11" s="1"/>
  <c r="H23" i="11" s="1"/>
  <c r="H25" i="11" s="1"/>
  <c r="H27" i="11" s="1"/>
  <c r="D15" i="11"/>
  <c r="D17" i="11" s="1"/>
  <c r="D19" i="11" s="1"/>
  <c r="D21" i="11" s="1"/>
  <c r="D23" i="11" s="1"/>
  <c r="D25" i="11" s="1"/>
  <c r="D27" i="11" s="1"/>
  <c r="C15" i="11"/>
  <c r="C17" i="11" s="1"/>
  <c r="C19" i="11" s="1"/>
  <c r="C21" i="11" s="1"/>
  <c r="C23" i="11" s="1"/>
  <c r="C25" i="11" s="1"/>
  <c r="C27" i="11" s="1"/>
  <c r="J7" i="14"/>
  <c r="G2" i="17"/>
  <c r="G2" i="5" s="1"/>
  <c r="G25" i="5" s="1"/>
  <c r="H3" i="18"/>
  <c r="H10" i="17"/>
  <c r="B7" i="11"/>
  <c r="J15" i="11"/>
  <c r="J17" i="11" s="1"/>
  <c r="J19" i="11" s="1"/>
  <c r="J21" i="11" s="1"/>
  <c r="J23" i="11" s="1"/>
  <c r="J25" i="11" s="1"/>
  <c r="J27" i="11" s="1"/>
  <c r="C44" i="12"/>
  <c r="D44" i="18" s="1"/>
  <c r="C17" i="20" s="1"/>
  <c r="C9" i="12"/>
  <c r="D9" i="18" s="1"/>
  <c r="J42" i="18"/>
  <c r="E58" i="18"/>
  <c r="F58" i="18" s="1"/>
  <c r="G58" i="18" s="1"/>
  <c r="H58" i="18" s="1"/>
  <c r="I58" i="18" s="1"/>
  <c r="J58" i="18" s="1"/>
  <c r="K58" i="18" s="1"/>
  <c r="L58" i="18" s="1"/>
  <c r="M58" i="18" s="1"/>
  <c r="C10" i="19"/>
  <c r="D10" i="25"/>
  <c r="F42" i="18"/>
  <c r="I37" i="17"/>
  <c r="M22" i="23" s="1"/>
  <c r="D185" i="19"/>
  <c r="E185" i="19"/>
  <c r="C9" i="20"/>
  <c r="C11" i="12"/>
  <c r="D11" i="18" s="1"/>
  <c r="D42" i="27" s="1"/>
  <c r="F73" i="19"/>
  <c r="G73" i="19" s="1"/>
  <c r="K103" i="21"/>
  <c r="L17" i="27" s="1"/>
  <c r="D35" i="18"/>
  <c r="G104" i="2"/>
  <c r="G119" i="2" s="1"/>
  <c r="K37" i="17"/>
  <c r="E183" i="19"/>
  <c r="D183" i="19"/>
  <c r="C5" i="12"/>
  <c r="D5" i="18" s="1"/>
  <c r="I112" i="19"/>
  <c r="I114" i="19"/>
  <c r="J114" i="19" s="1"/>
  <c r="K114" i="19" s="1"/>
  <c r="J10" i="17"/>
  <c r="S22" i="23"/>
  <c r="S28" i="23" s="1"/>
  <c r="T28" i="23" s="1"/>
  <c r="B32" i="21"/>
  <c r="G21" i="2"/>
  <c r="G36" i="2"/>
  <c r="G5" i="2"/>
  <c r="K138" i="19"/>
  <c r="C2" i="12"/>
  <c r="H88" i="19"/>
  <c r="I88" i="19" s="1"/>
  <c r="C26" i="12"/>
  <c r="C25" i="12" s="1"/>
  <c r="L10" i="17"/>
  <c r="F33" i="14"/>
  <c r="F38" i="14" s="1"/>
  <c r="F12" i="14"/>
  <c r="F22" i="14"/>
  <c r="K15" i="11"/>
  <c r="K17" i="11" s="1"/>
  <c r="K19" i="11" s="1"/>
  <c r="K21" i="11" s="1"/>
  <c r="K23" i="11" s="1"/>
  <c r="K25" i="11" s="1"/>
  <c r="K27" i="11" s="1"/>
  <c r="E15" i="11"/>
  <c r="E17" i="11" s="1"/>
  <c r="E19" i="11" s="1"/>
  <c r="E21" i="11" s="1"/>
  <c r="E23" i="11" s="1"/>
  <c r="E25" i="11" s="1"/>
  <c r="E27" i="11" s="1"/>
  <c r="D38" i="17"/>
  <c r="D37" i="17" s="1"/>
  <c r="B2" i="11"/>
  <c r="D184" i="19"/>
  <c r="D104" i="21"/>
  <c r="E18" i="27" s="1"/>
  <c r="B14" i="21"/>
  <c r="B35" i="21"/>
  <c r="B62" i="19"/>
  <c r="B75" i="19" s="1"/>
  <c r="B88" i="19" s="1"/>
  <c r="B101" i="19" s="1"/>
  <c r="B114" i="19" s="1"/>
  <c r="B127" i="19" s="1"/>
  <c r="B140" i="19" s="1"/>
  <c r="B153" i="19" s="1"/>
  <c r="B166" i="19" s="1"/>
  <c r="B179" i="19" s="1"/>
  <c r="B192" i="19" s="1"/>
  <c r="B48" i="19"/>
  <c r="C103" i="21"/>
  <c r="D17" i="27" s="1"/>
  <c r="I10" i="17"/>
  <c r="I42" i="18"/>
  <c r="J37" i="17"/>
  <c r="G103" i="21"/>
  <c r="H17" i="27" s="1"/>
  <c r="F103" i="21"/>
  <c r="G17" i="27" s="1"/>
  <c r="K126" i="19"/>
  <c r="L126" i="19" s="1"/>
  <c r="I87" i="19"/>
  <c r="F61" i="19"/>
  <c r="I4" i="17"/>
  <c r="L14" i="18"/>
  <c r="L13" i="18" s="1"/>
  <c r="L4" i="17"/>
  <c r="G4" i="17"/>
  <c r="I13" i="18"/>
  <c r="E42" i="18"/>
  <c r="K42" i="18"/>
  <c r="L42" i="18"/>
  <c r="G42" i="18"/>
  <c r="C15" i="20"/>
  <c r="M42" i="18"/>
  <c r="H42" i="18"/>
  <c r="N42" i="18"/>
  <c r="C16" i="20"/>
  <c r="C14" i="20"/>
  <c r="E38" i="17"/>
  <c r="G38" i="17"/>
  <c r="G104" i="21"/>
  <c r="H18" i="27" s="1"/>
  <c r="G10" i="25"/>
  <c r="E47" i="18"/>
  <c r="G232" i="2"/>
  <c r="E52" i="18"/>
  <c r="E57" i="18"/>
  <c r="C8" i="12"/>
  <c r="D8" i="18" s="1"/>
  <c r="D39" i="27" s="1"/>
  <c r="C13" i="12"/>
  <c r="D13" i="18"/>
  <c r="D43" i="27" s="1"/>
  <c r="C7" i="19"/>
  <c r="D20" i="18"/>
  <c r="C6" i="19"/>
  <c r="D26" i="18"/>
  <c r="D25" i="18" s="1"/>
  <c r="C12" i="19"/>
  <c r="B33" i="21"/>
  <c r="M13" i="18"/>
  <c r="M43" i="27" s="1"/>
  <c r="K13" i="18"/>
  <c r="K43" i="27" s="1"/>
  <c r="L10" i="25"/>
  <c r="H10" i="25"/>
  <c r="J4" i="17"/>
  <c r="G13" i="18"/>
  <c r="M10" i="25"/>
  <c r="I10" i="25"/>
  <c r="C41" i="5"/>
  <c r="C74" i="21"/>
  <c r="B9" i="11"/>
  <c r="B26" i="11"/>
  <c r="C82" i="21"/>
  <c r="C19" i="23"/>
  <c r="B8" i="11"/>
  <c r="C8" i="22"/>
  <c r="K125" i="19"/>
  <c r="E190" i="19"/>
  <c r="F60" i="19"/>
  <c r="I99" i="19"/>
  <c r="J99" i="19" s="1"/>
  <c r="I86" i="19"/>
  <c r="B41" i="19"/>
  <c r="B55" i="19"/>
  <c r="B68" i="19" s="1"/>
  <c r="B81" i="19" s="1"/>
  <c r="B94" i="19" s="1"/>
  <c r="B107" i="19" s="1"/>
  <c r="B120" i="19" s="1"/>
  <c r="B133" i="19" s="1"/>
  <c r="B146" i="19" s="1"/>
  <c r="B159" i="19" s="1"/>
  <c r="B172" i="19" s="1"/>
  <c r="B185" i="19" s="1"/>
  <c r="K101" i="19"/>
  <c r="L101" i="19" s="1"/>
  <c r="G15" i="11"/>
  <c r="G17" i="11" s="1"/>
  <c r="G19" i="11" s="1"/>
  <c r="G21" i="11" s="1"/>
  <c r="G23" i="11" s="1"/>
  <c r="G25" i="11" s="1"/>
  <c r="G27" i="11" s="1"/>
  <c r="I74" i="19"/>
  <c r="I100" i="19"/>
  <c r="J100" i="19" s="1"/>
  <c r="L127" i="19"/>
  <c r="M127" i="19" s="1"/>
  <c r="J113" i="19"/>
  <c r="K113" i="19" s="1"/>
  <c r="B42" i="19"/>
  <c r="B56" i="19"/>
  <c r="B69" i="19" s="1"/>
  <c r="B82" i="19" s="1"/>
  <c r="B95" i="19" s="1"/>
  <c r="B108" i="19" s="1"/>
  <c r="B121" i="19" s="1"/>
  <c r="B134" i="19" s="1"/>
  <c r="B147" i="19" s="1"/>
  <c r="B160" i="19" s="1"/>
  <c r="B173" i="19" s="1"/>
  <c r="B186" i="19" s="1"/>
  <c r="L103" i="21"/>
  <c r="M17" i="27" s="1"/>
  <c r="H103" i="21"/>
  <c r="I17" i="27" s="1"/>
  <c r="B53" i="19"/>
  <c r="B66" i="19" s="1"/>
  <c r="B79" i="19" s="1"/>
  <c r="B92" i="19" s="1"/>
  <c r="B105" i="19" s="1"/>
  <c r="B118" i="19" s="1"/>
  <c r="B131" i="19" s="1"/>
  <c r="B144" i="19" s="1"/>
  <c r="B157" i="19" s="1"/>
  <c r="B170" i="19" s="1"/>
  <c r="B183" i="19" s="1"/>
  <c r="B39" i="19"/>
  <c r="D101" i="21"/>
  <c r="E15" i="27" s="1"/>
  <c r="H101" i="21"/>
  <c r="I15" i="27" s="1"/>
  <c r="L101" i="21"/>
  <c r="M15" i="27" s="1"/>
  <c r="E101" i="21"/>
  <c r="F15" i="27" s="1"/>
  <c r="I101" i="21"/>
  <c r="J15" i="27" s="1"/>
  <c r="K101" i="21"/>
  <c r="L15" i="27" s="1"/>
  <c r="F101" i="21"/>
  <c r="G15" i="27" s="1"/>
  <c r="E15" i="18"/>
  <c r="E13" i="18" s="1"/>
  <c r="E43" i="27" s="1"/>
  <c r="E62" i="19"/>
  <c r="C104" i="21"/>
  <c r="D18" i="27" s="1"/>
  <c r="E104" i="21"/>
  <c r="F18" i="27" s="1"/>
  <c r="C20" i="12"/>
  <c r="C17" i="12" s="1"/>
  <c r="J101" i="21"/>
  <c r="K15" i="27" s="1"/>
  <c r="G101" i="21"/>
  <c r="H15" i="27" s="1"/>
  <c r="C54" i="12"/>
  <c r="D54" i="18" s="1"/>
  <c r="J13" i="18"/>
  <c r="J43" i="27" s="1"/>
  <c r="F13" i="18"/>
  <c r="F43" i="27" s="1"/>
  <c r="K8" i="23" l="1"/>
  <c r="I43" i="27"/>
  <c r="I8" i="23"/>
  <c r="H43" i="27"/>
  <c r="U8" i="23"/>
  <c r="N43" i="27"/>
  <c r="M9" i="17"/>
  <c r="M14" i="17" s="1"/>
  <c r="Q8" i="23"/>
  <c r="L43" i="27"/>
  <c r="G8" i="23"/>
  <c r="G43" i="27"/>
  <c r="C18" i="5"/>
  <c r="C114" i="21"/>
  <c r="D4" i="27" s="1"/>
  <c r="D38" i="27"/>
  <c r="C17" i="5"/>
  <c r="E54" i="18"/>
  <c r="C7" i="22"/>
  <c r="D40" i="27"/>
  <c r="F43" i="18"/>
  <c r="H18" i="21"/>
  <c r="C11" i="20"/>
  <c r="E53" i="18"/>
  <c r="E28" i="18"/>
  <c r="I18" i="21"/>
  <c r="D18" i="21"/>
  <c r="D24" i="21" s="1"/>
  <c r="O139" i="19"/>
  <c r="J87" i="19"/>
  <c r="K87" i="19" s="1"/>
  <c r="F190" i="19"/>
  <c r="H75" i="19"/>
  <c r="I75" i="19" s="1"/>
  <c r="E18" i="21"/>
  <c r="O140" i="19"/>
  <c r="M18" i="21"/>
  <c r="N18" i="21"/>
  <c r="M101" i="19"/>
  <c r="M19" i="21"/>
  <c r="N19" i="21"/>
  <c r="G19" i="21"/>
  <c r="K19" i="21"/>
  <c r="D19" i="21"/>
  <c r="H19" i="21"/>
  <c r="L19" i="21"/>
  <c r="F19" i="21"/>
  <c r="E19" i="21"/>
  <c r="I19" i="21"/>
  <c r="C19" i="21"/>
  <c r="C25" i="21" s="1"/>
  <c r="J19" i="21"/>
  <c r="M7" i="21"/>
  <c r="N7" i="21"/>
  <c r="L138" i="19"/>
  <c r="M17" i="21"/>
  <c r="N17" i="21"/>
  <c r="D17" i="21"/>
  <c r="H17" i="21"/>
  <c r="L17" i="21"/>
  <c r="K17" i="21"/>
  <c r="C17" i="21"/>
  <c r="C23" i="21" s="1"/>
  <c r="E17" i="21"/>
  <c r="I17" i="21"/>
  <c r="F17" i="21"/>
  <c r="J17" i="21"/>
  <c r="G17" i="21"/>
  <c r="J11" i="18"/>
  <c r="J42" i="27" s="1"/>
  <c r="P11" i="18"/>
  <c r="O11" i="18"/>
  <c r="O42" i="27" s="1"/>
  <c r="N127" i="19"/>
  <c r="O127" i="19" s="1"/>
  <c r="N101" i="19"/>
  <c r="O101" i="19" s="1"/>
  <c r="M6" i="21"/>
  <c r="N6" i="21"/>
  <c r="M138" i="19"/>
  <c r="E44" i="18"/>
  <c r="F44" i="18" s="1"/>
  <c r="G44" i="18" s="1"/>
  <c r="H44" i="18" s="1"/>
  <c r="I44" i="18" s="1"/>
  <c r="J44" i="18" s="1"/>
  <c r="K44" i="18" s="1"/>
  <c r="L44" i="18" s="1"/>
  <c r="M44" i="18" s="1"/>
  <c r="N44" i="18" s="1"/>
  <c r="O44" i="18" s="1"/>
  <c r="P44" i="18" s="1"/>
  <c r="D40" i="18"/>
  <c r="C56" i="12"/>
  <c r="G7" i="21"/>
  <c r="K7" i="21"/>
  <c r="D7" i="21"/>
  <c r="H7" i="21"/>
  <c r="L7" i="21"/>
  <c r="E7" i="21"/>
  <c r="I7" i="21"/>
  <c r="C7" i="21"/>
  <c r="C14" i="21" s="1"/>
  <c r="F7" i="21"/>
  <c r="J7" i="21"/>
  <c r="D6" i="21"/>
  <c r="H6" i="21"/>
  <c r="L6" i="21"/>
  <c r="E6" i="21"/>
  <c r="I6" i="21"/>
  <c r="F6" i="21"/>
  <c r="J6" i="21"/>
  <c r="G6" i="21"/>
  <c r="K6" i="21"/>
  <c r="C6" i="21"/>
  <c r="C13" i="21" s="1"/>
  <c r="Q5" i="23"/>
  <c r="O18" i="23"/>
  <c r="E143" i="19"/>
  <c r="E117" i="19"/>
  <c r="E91" i="19"/>
  <c r="E130" i="19"/>
  <c r="F169" i="19"/>
  <c r="F65" i="19"/>
  <c r="F38" i="19"/>
  <c r="F29" i="19"/>
  <c r="F156" i="19"/>
  <c r="F104" i="19"/>
  <c r="F78" i="19"/>
  <c r="F52" i="19"/>
  <c r="F34" i="19"/>
  <c r="F22" i="19"/>
  <c r="G5" i="25"/>
  <c r="G3" i="27"/>
  <c r="G36" i="27" s="1"/>
  <c r="G14" i="19"/>
  <c r="F184" i="19"/>
  <c r="G184" i="19"/>
  <c r="D187" i="19"/>
  <c r="C12" i="20"/>
  <c r="I3" i="18"/>
  <c r="K7" i="14"/>
  <c r="H2" i="17"/>
  <c r="H2" i="5" s="1"/>
  <c r="H25" i="5" s="1"/>
  <c r="B20" i="11"/>
  <c r="G237" i="2"/>
  <c r="M11" i="18"/>
  <c r="M42" i="27" s="1"/>
  <c r="G45" i="2"/>
  <c r="G53" i="2"/>
  <c r="G57" i="2"/>
  <c r="C40" i="12"/>
  <c r="G11" i="2"/>
  <c r="G28" i="2"/>
  <c r="G41" i="2"/>
  <c r="G49" i="2"/>
  <c r="E59" i="18"/>
  <c r="F59" i="18" s="1"/>
  <c r="G59" i="18" s="1"/>
  <c r="H59" i="18" s="1"/>
  <c r="I59" i="18" s="1"/>
  <c r="J59" i="18" s="1"/>
  <c r="K59" i="18" s="1"/>
  <c r="L59" i="18" s="1"/>
  <c r="M59" i="18" s="1"/>
  <c r="N59" i="18" s="1"/>
  <c r="O59" i="18" s="1"/>
  <c r="P59" i="18" s="1"/>
  <c r="D7" i="18"/>
  <c r="L11" i="18"/>
  <c r="L42" i="27" s="1"/>
  <c r="H73" i="19"/>
  <c r="I73" i="19"/>
  <c r="J75" i="19"/>
  <c r="K75" i="19" s="1"/>
  <c r="G27" i="14"/>
  <c r="G12" i="14"/>
  <c r="G33" i="14"/>
  <c r="G38" i="14" s="1"/>
  <c r="G22" i="14"/>
  <c r="Q22" i="23"/>
  <c r="Q28" i="23" s="1"/>
  <c r="R28" i="23" s="1"/>
  <c r="G11" i="18"/>
  <c r="G42" i="27" s="1"/>
  <c r="C9" i="22"/>
  <c r="N11" i="18"/>
  <c r="N42" i="27" s="1"/>
  <c r="E186" i="19"/>
  <c r="M126" i="19"/>
  <c r="N126" i="19" s="1"/>
  <c r="E35" i="18"/>
  <c r="F185" i="19"/>
  <c r="K100" i="19"/>
  <c r="L100" i="19" s="1"/>
  <c r="M100" i="19" s="1"/>
  <c r="I11" i="18"/>
  <c r="I42" i="27" s="1"/>
  <c r="H11" i="18"/>
  <c r="H42" i="27" s="1"/>
  <c r="E11" i="18"/>
  <c r="E42" i="27" s="1"/>
  <c r="O22" i="23"/>
  <c r="O28" i="23" s="1"/>
  <c r="P28" i="23" s="1"/>
  <c r="G61" i="19"/>
  <c r="F191" i="19"/>
  <c r="J112" i="19"/>
  <c r="K112" i="19" s="1"/>
  <c r="L112" i="19" s="1"/>
  <c r="M112" i="19" s="1"/>
  <c r="G185" i="19"/>
  <c r="L114" i="19"/>
  <c r="M114" i="19" s="1"/>
  <c r="F11" i="18"/>
  <c r="F42" i="27" s="1"/>
  <c r="K11" i="18"/>
  <c r="K42" i="27" s="1"/>
  <c r="E10" i="25"/>
  <c r="C5" i="19"/>
  <c r="J88" i="19"/>
  <c r="K88" i="19" s="1"/>
  <c r="L88" i="19" s="1"/>
  <c r="E184" i="19"/>
  <c r="J9" i="5"/>
  <c r="C56" i="21"/>
  <c r="G37" i="17"/>
  <c r="I22" i="23" s="1"/>
  <c r="K32" i="5"/>
  <c r="D56" i="21"/>
  <c r="G32" i="5"/>
  <c r="G9" i="5"/>
  <c r="E37" i="17"/>
  <c r="C40" i="5"/>
  <c r="F47" i="18"/>
  <c r="D49" i="18"/>
  <c r="C10" i="20"/>
  <c r="F57" i="18"/>
  <c r="C7" i="12"/>
  <c r="C6" i="22"/>
  <c r="C4" i="19"/>
  <c r="D18" i="18"/>
  <c r="D17" i="18" s="1"/>
  <c r="B22" i="11"/>
  <c r="E19" i="23"/>
  <c r="C75" i="21"/>
  <c r="C77" i="21" s="1"/>
  <c r="J32" i="5"/>
  <c r="O8" i="23"/>
  <c r="F32" i="5"/>
  <c r="S8" i="23"/>
  <c r="L32" i="5"/>
  <c r="K9" i="5"/>
  <c r="F52" i="18"/>
  <c r="F9" i="5"/>
  <c r="L9" i="5"/>
  <c r="D18" i="5"/>
  <c r="G50" i="18"/>
  <c r="D41" i="5"/>
  <c r="B15" i="11"/>
  <c r="B17" i="11" s="1"/>
  <c r="B19" i="11" s="1"/>
  <c r="B21" i="11" s="1"/>
  <c r="C16" i="17"/>
  <c r="C81" i="21"/>
  <c r="D82" i="21"/>
  <c r="E51" i="18"/>
  <c r="E59" i="27" s="1"/>
  <c r="C10" i="25"/>
  <c r="C38" i="17"/>
  <c r="C49" i="12"/>
  <c r="C3" i="21"/>
  <c r="J86" i="19"/>
  <c r="K86" i="19" s="1"/>
  <c r="L125" i="19"/>
  <c r="M125" i="19" s="1"/>
  <c r="F10" i="25"/>
  <c r="F38" i="17"/>
  <c r="F104" i="21"/>
  <c r="G18" i="27" s="1"/>
  <c r="K99" i="19"/>
  <c r="L99" i="19" s="1"/>
  <c r="M99" i="19" s="1"/>
  <c r="N58" i="18"/>
  <c r="O58" i="18" s="1"/>
  <c r="P58" i="18" s="1"/>
  <c r="E8" i="23"/>
  <c r="E32" i="5"/>
  <c r="E9" i="5"/>
  <c r="D9" i="5"/>
  <c r="F62" i="19"/>
  <c r="F192" i="19" s="1"/>
  <c r="E192" i="19"/>
  <c r="E193" i="19" s="1"/>
  <c r="L113" i="19"/>
  <c r="M113" i="19" s="1"/>
  <c r="G60" i="19"/>
  <c r="H9" i="5"/>
  <c r="M8" i="23"/>
  <c r="I9" i="5"/>
  <c r="I32" i="5"/>
  <c r="H32" i="5"/>
  <c r="D32" i="5"/>
  <c r="C8" i="23"/>
  <c r="C9" i="5"/>
  <c r="C32" i="5"/>
  <c r="C101" i="21"/>
  <c r="D15" i="27" s="1"/>
  <c r="E45" i="18"/>
  <c r="J74" i="19"/>
  <c r="E22" i="23"/>
  <c r="M65" i="21" l="1"/>
  <c r="D64" i="27"/>
  <c r="F53" i="18"/>
  <c r="F54" i="18"/>
  <c r="D16" i="5" s="1"/>
  <c r="E64" i="27"/>
  <c r="G52" i="18"/>
  <c r="C39" i="5"/>
  <c r="C16" i="5"/>
  <c r="C20" i="21"/>
  <c r="C24" i="17" s="1"/>
  <c r="G43" i="18"/>
  <c r="E18" i="5"/>
  <c r="F28" i="18"/>
  <c r="E24" i="21"/>
  <c r="C57" i="21"/>
  <c r="C121" i="21" s="1"/>
  <c r="D57" i="21"/>
  <c r="D121" i="21" s="1"/>
  <c r="M20" i="21"/>
  <c r="N138" i="19"/>
  <c r="L87" i="19"/>
  <c r="M87" i="19" s="1"/>
  <c r="N87" i="19" s="1"/>
  <c r="N20" i="21"/>
  <c r="E29" i="18"/>
  <c r="D25" i="21"/>
  <c r="E25" i="21" s="1"/>
  <c r="F25" i="21" s="1"/>
  <c r="E27" i="18"/>
  <c r="D23" i="21"/>
  <c r="M5" i="21"/>
  <c r="N5" i="21"/>
  <c r="J73" i="19"/>
  <c r="O126" i="19"/>
  <c r="N114" i="19"/>
  <c r="N113" i="19"/>
  <c r="O113" i="19" s="1"/>
  <c r="O87" i="19"/>
  <c r="N112" i="19"/>
  <c r="O112" i="19" s="1"/>
  <c r="B23" i="11"/>
  <c r="B25" i="11" s="1"/>
  <c r="B27" i="11" s="1"/>
  <c r="M66" i="21"/>
  <c r="M120" i="21" s="1"/>
  <c r="M123" i="21" s="1"/>
  <c r="M4" i="21"/>
  <c r="N4" i="21"/>
  <c r="L75" i="19"/>
  <c r="M75" i="19" s="1"/>
  <c r="M15" i="17"/>
  <c r="M20" i="17"/>
  <c r="O114" i="19"/>
  <c r="O138" i="19"/>
  <c r="N125" i="19"/>
  <c r="O125" i="19" s="1"/>
  <c r="N99" i="19"/>
  <c r="O99" i="19" s="1"/>
  <c r="N100" i="19"/>
  <c r="O100" i="19" s="1"/>
  <c r="D63" i="18"/>
  <c r="D4" i="21"/>
  <c r="H4" i="21"/>
  <c r="L4" i="21"/>
  <c r="E4" i="21"/>
  <c r="I4" i="21"/>
  <c r="C4" i="21"/>
  <c r="F4" i="21"/>
  <c r="J4" i="21"/>
  <c r="G4" i="21"/>
  <c r="K4" i="21"/>
  <c r="E23" i="18"/>
  <c r="D14" i="21"/>
  <c r="E14" i="21" s="1"/>
  <c r="E22" i="18"/>
  <c r="D13" i="21"/>
  <c r="E13" i="21" s="1"/>
  <c r="E5" i="21"/>
  <c r="I5" i="21"/>
  <c r="C5" i="21"/>
  <c r="C12" i="21" s="1"/>
  <c r="G5" i="21"/>
  <c r="D5" i="21"/>
  <c r="L5" i="21"/>
  <c r="F5" i="21"/>
  <c r="J5" i="21"/>
  <c r="K5" i="21"/>
  <c r="H5" i="21"/>
  <c r="H5" i="25"/>
  <c r="H3" i="27"/>
  <c r="H36" i="27" s="1"/>
  <c r="H14" i="19"/>
  <c r="F143" i="19"/>
  <c r="F117" i="19"/>
  <c r="F91" i="19"/>
  <c r="F130" i="19"/>
  <c r="G156" i="19"/>
  <c r="G104" i="19"/>
  <c r="G78" i="19"/>
  <c r="G52" i="19"/>
  <c r="G34" i="19"/>
  <c r="G22" i="19"/>
  <c r="G169" i="19"/>
  <c r="G65" i="19"/>
  <c r="G38" i="19"/>
  <c r="G29" i="19"/>
  <c r="C22" i="21"/>
  <c r="C10" i="21"/>
  <c r="C31" i="21"/>
  <c r="C16" i="21"/>
  <c r="S5" i="23"/>
  <c r="Q18" i="23"/>
  <c r="E187" i="19"/>
  <c r="L7" i="14"/>
  <c r="I2" i="17"/>
  <c r="I2" i="5" s="1"/>
  <c r="I25" i="5" s="1"/>
  <c r="J3" i="18"/>
  <c r="C63" i="12"/>
  <c r="F23" i="18"/>
  <c r="G58" i="2"/>
  <c r="G61" i="2" s="1"/>
  <c r="D39" i="5"/>
  <c r="G53" i="18"/>
  <c r="G57" i="18"/>
  <c r="K73" i="19"/>
  <c r="L73" i="19" s="1"/>
  <c r="M73" i="19" s="1"/>
  <c r="F186" i="19"/>
  <c r="G186" i="19"/>
  <c r="F193" i="19"/>
  <c r="D3" i="17"/>
  <c r="F183" i="19"/>
  <c r="H183" i="19"/>
  <c r="H61" i="19"/>
  <c r="G191" i="19"/>
  <c r="M88" i="19"/>
  <c r="N88" i="19" s="1"/>
  <c r="H185" i="19"/>
  <c r="F35" i="18"/>
  <c r="H33" i="14"/>
  <c r="H38" i="14" s="1"/>
  <c r="H22" i="14"/>
  <c r="H12" i="14"/>
  <c r="H27" i="14"/>
  <c r="E3" i="17"/>
  <c r="D17" i="5"/>
  <c r="D40" i="5"/>
  <c r="G47" i="18"/>
  <c r="C11" i="21"/>
  <c r="D20" i="21"/>
  <c r="D24" i="17" s="1"/>
  <c r="H50" i="18"/>
  <c r="E41" i="5"/>
  <c r="F24" i="21"/>
  <c r="G28" i="18"/>
  <c r="D16" i="17"/>
  <c r="D74" i="21"/>
  <c r="C83" i="21"/>
  <c r="C102" i="21"/>
  <c r="D16" i="27" s="1"/>
  <c r="F51" i="18"/>
  <c r="F59" i="27" s="1"/>
  <c r="E49" i="18"/>
  <c r="E82" i="21"/>
  <c r="D81" i="21"/>
  <c r="D3" i="21"/>
  <c r="K74" i="19"/>
  <c r="C64" i="21"/>
  <c r="C55" i="21"/>
  <c r="C91" i="21" s="1"/>
  <c r="C119" i="21"/>
  <c r="C132" i="21" s="1"/>
  <c r="C73" i="21"/>
  <c r="C37" i="17"/>
  <c r="F45" i="18"/>
  <c r="C108" i="21"/>
  <c r="D22" i="27" s="1"/>
  <c r="G62" i="19"/>
  <c r="G192" i="19" s="1"/>
  <c r="F37" i="17"/>
  <c r="E10" i="18"/>
  <c r="E41" i="27" s="1"/>
  <c r="H10" i="18"/>
  <c r="H41" i="27" s="1"/>
  <c r="F10" i="18"/>
  <c r="F41" i="27" s="1"/>
  <c r="L10" i="18"/>
  <c r="L41" i="27" s="1"/>
  <c r="J10" i="18"/>
  <c r="J41" i="27" s="1"/>
  <c r="I10" i="18"/>
  <c r="I41" i="27" s="1"/>
  <c r="K10" i="18"/>
  <c r="K41" i="27" s="1"/>
  <c r="N10" i="18"/>
  <c r="N41" i="27" s="1"/>
  <c r="G10" i="18"/>
  <c r="G41" i="27" s="1"/>
  <c r="M10" i="18"/>
  <c r="M41" i="27" s="1"/>
  <c r="L74" i="19"/>
  <c r="G190" i="19"/>
  <c r="H60" i="19"/>
  <c r="F27" i="18"/>
  <c r="E20" i="21"/>
  <c r="E24" i="17" s="1"/>
  <c r="H62" i="19"/>
  <c r="H192" i="19" s="1"/>
  <c r="D182" i="19"/>
  <c r="E4" i="20"/>
  <c r="E4" i="22" s="1"/>
  <c r="L86" i="19"/>
  <c r="M86" i="19" s="1"/>
  <c r="D75" i="21" l="1"/>
  <c r="D77" i="21" s="1"/>
  <c r="F59" i="21"/>
  <c r="F29" i="18"/>
  <c r="E17" i="5"/>
  <c r="H43" i="18"/>
  <c r="H52" i="18"/>
  <c r="G54" i="18"/>
  <c r="E16" i="5" s="1"/>
  <c r="F64" i="27"/>
  <c r="C58" i="21"/>
  <c r="D58" i="21" s="1"/>
  <c r="F8" i="18" s="1"/>
  <c r="F39" i="27" s="1"/>
  <c r="E59" i="21"/>
  <c r="G29" i="18"/>
  <c r="C8" i="21"/>
  <c r="C23" i="17" s="1"/>
  <c r="C19" i="5" s="1"/>
  <c r="F22" i="18"/>
  <c r="E26" i="18"/>
  <c r="E25" i="18" s="1"/>
  <c r="C37" i="5" s="1"/>
  <c r="D12" i="21"/>
  <c r="E21" i="18"/>
  <c r="E20" i="18" s="1"/>
  <c r="O88" i="19"/>
  <c r="N73" i="19"/>
  <c r="M8" i="21"/>
  <c r="M23" i="17" s="1"/>
  <c r="O73" i="19"/>
  <c r="N75" i="19"/>
  <c r="N86" i="19"/>
  <c r="O86" i="19" s="1"/>
  <c r="M128" i="21"/>
  <c r="P39" i="14" s="1"/>
  <c r="M126" i="21"/>
  <c r="M106" i="21" s="1"/>
  <c r="N20" i="27" s="1"/>
  <c r="O75" i="19"/>
  <c r="N8" i="21"/>
  <c r="N23" i="17" s="1"/>
  <c r="H53" i="18"/>
  <c r="H156" i="19"/>
  <c r="H104" i="19"/>
  <c r="H78" i="19"/>
  <c r="H52" i="19"/>
  <c r="H34" i="19"/>
  <c r="H22" i="19"/>
  <c r="H169" i="19"/>
  <c r="H65" i="19"/>
  <c r="H38" i="19"/>
  <c r="H29" i="19"/>
  <c r="I5" i="25"/>
  <c r="I14" i="19"/>
  <c r="I3" i="27"/>
  <c r="I36" i="27" s="1"/>
  <c r="U5" i="23"/>
  <c r="S18" i="23"/>
  <c r="D10" i="21"/>
  <c r="D31" i="21"/>
  <c r="D22" i="21"/>
  <c r="D16" i="21"/>
  <c r="G130" i="19"/>
  <c r="G143" i="19"/>
  <c r="G117" i="19"/>
  <c r="G91" i="19"/>
  <c r="F14" i="21"/>
  <c r="G23" i="18"/>
  <c r="F13" i="21"/>
  <c r="F187" i="19"/>
  <c r="I185" i="19"/>
  <c r="H184" i="19"/>
  <c r="K3" i="18"/>
  <c r="M7" i="14"/>
  <c r="J2" i="17"/>
  <c r="J2" i="5" s="1"/>
  <c r="J25" i="5" s="1"/>
  <c r="H57" i="18"/>
  <c r="I57" i="18" s="1"/>
  <c r="G62" i="2"/>
  <c r="G124" i="2" s="1"/>
  <c r="G238" i="2" s="1"/>
  <c r="G22" i="18"/>
  <c r="C31" i="12"/>
  <c r="D31" i="18" s="1"/>
  <c r="D44" i="27" s="1"/>
  <c r="D46" i="27" s="1"/>
  <c r="M74" i="19"/>
  <c r="N74" i="19" s="1"/>
  <c r="O74" i="19" s="1"/>
  <c r="H191" i="19"/>
  <c r="G35" i="18"/>
  <c r="I33" i="14"/>
  <c r="I38" i="14" s="1"/>
  <c r="I27" i="14"/>
  <c r="I12" i="14"/>
  <c r="I22" i="14"/>
  <c r="E12" i="21"/>
  <c r="F21" i="18"/>
  <c r="G183" i="19"/>
  <c r="G187" i="19" s="1"/>
  <c r="I186" i="19"/>
  <c r="G193" i="19"/>
  <c r="J185" i="19"/>
  <c r="I61" i="19"/>
  <c r="J61" i="19" s="1"/>
  <c r="E56" i="21"/>
  <c r="H47" i="18"/>
  <c r="E40" i="5"/>
  <c r="E19" i="18"/>
  <c r="E18" i="18" s="1"/>
  <c r="E17" i="18" s="1"/>
  <c r="D65" i="21"/>
  <c r="D9" i="17"/>
  <c r="C100" i="21"/>
  <c r="D14" i="27" s="1"/>
  <c r="C79" i="21"/>
  <c r="F26" i="18"/>
  <c r="F25" i="18" s="1"/>
  <c r="F56" i="21"/>
  <c r="F18" i="5"/>
  <c r="I50" i="18"/>
  <c r="F41" i="5"/>
  <c r="G24" i="21"/>
  <c r="H28" i="18"/>
  <c r="E23" i="21"/>
  <c r="G27" i="18" s="1"/>
  <c r="E16" i="17"/>
  <c r="E74" i="21"/>
  <c r="F82" i="21"/>
  <c r="G51" i="18"/>
  <c r="G59" i="27" s="1"/>
  <c r="F49" i="18"/>
  <c r="E81" i="21"/>
  <c r="C13" i="23"/>
  <c r="D83" i="21"/>
  <c r="D102" i="21"/>
  <c r="E16" i="27" s="1"/>
  <c r="E8" i="18"/>
  <c r="E39" i="27" s="1"/>
  <c r="H29" i="18"/>
  <c r="G25" i="21"/>
  <c r="C22" i="23"/>
  <c r="I62" i="19"/>
  <c r="D73" i="21"/>
  <c r="D64" i="21"/>
  <c r="D119" i="21"/>
  <c r="D132" i="21" s="1"/>
  <c r="D55" i="21"/>
  <c r="D91" i="21" s="1"/>
  <c r="G22" i="23"/>
  <c r="E3" i="21"/>
  <c r="H190" i="19"/>
  <c r="H193" i="19" s="1"/>
  <c r="I60" i="19"/>
  <c r="D108" i="21"/>
  <c r="E22" i="27" s="1"/>
  <c r="G45" i="18"/>
  <c r="F4" i="20"/>
  <c r="F4" i="22" s="1"/>
  <c r="E182" i="19"/>
  <c r="E75" i="21" l="1"/>
  <c r="E77" i="21"/>
  <c r="D61" i="21"/>
  <c r="D66" i="21"/>
  <c r="D120" i="21" s="1"/>
  <c r="D123" i="21" s="1"/>
  <c r="D126" i="21" s="1"/>
  <c r="D106" i="21" s="1"/>
  <c r="E20" i="27" s="1"/>
  <c r="E39" i="5"/>
  <c r="C42" i="5"/>
  <c r="F20" i="18"/>
  <c r="G26" i="18"/>
  <c r="G25" i="18" s="1"/>
  <c r="I52" i="18"/>
  <c r="F17" i="5"/>
  <c r="D68" i="27"/>
  <c r="I43" i="18"/>
  <c r="C22" i="17"/>
  <c r="C20" i="23"/>
  <c r="G64" i="27"/>
  <c r="H54" i="18"/>
  <c r="F57" i="21"/>
  <c r="F121" i="21" s="1"/>
  <c r="E57" i="21"/>
  <c r="E121" i="21" s="1"/>
  <c r="C14" i="5"/>
  <c r="F31" i="18"/>
  <c r="F44" i="27" s="1"/>
  <c r="P31" i="18"/>
  <c r="O31" i="18"/>
  <c r="O44" i="27" s="1"/>
  <c r="U18" i="23"/>
  <c r="W5" i="23"/>
  <c r="I53" i="18"/>
  <c r="E31" i="18"/>
  <c r="M31" i="18"/>
  <c r="M44" i="27" s="1"/>
  <c r="I169" i="19"/>
  <c r="I65" i="19"/>
  <c r="I38" i="19"/>
  <c r="I29" i="19"/>
  <c r="I156" i="19"/>
  <c r="I104" i="19"/>
  <c r="I78" i="19"/>
  <c r="I52" i="19"/>
  <c r="I34" i="19"/>
  <c r="I22" i="19"/>
  <c r="C15" i="19"/>
  <c r="H31" i="18"/>
  <c r="H44" i="27" s="1"/>
  <c r="K31" i="18"/>
  <c r="K44" i="27" s="1"/>
  <c r="J31" i="18"/>
  <c r="J44" i="27" s="1"/>
  <c r="N31" i="18"/>
  <c r="N44" i="27" s="1"/>
  <c r="J5" i="25"/>
  <c r="J14" i="19"/>
  <c r="J3" i="27"/>
  <c r="J36" i="27" s="1"/>
  <c r="H130" i="19"/>
  <c r="H143" i="19"/>
  <c r="H117" i="19"/>
  <c r="H91" i="19"/>
  <c r="D33" i="18"/>
  <c r="D65" i="18" s="1"/>
  <c r="G31" i="18"/>
  <c r="E22" i="21"/>
  <c r="E16" i="21"/>
  <c r="E10" i="21"/>
  <c r="E31" i="21"/>
  <c r="L31" i="18"/>
  <c r="L44" i="27" s="1"/>
  <c r="I31" i="18"/>
  <c r="I44" i="27" s="1"/>
  <c r="H23" i="18"/>
  <c r="G14" i="21"/>
  <c r="I23" i="18" s="1"/>
  <c r="H22" i="18"/>
  <c r="G13" i="21"/>
  <c r="H13" i="21" s="1"/>
  <c r="J184" i="19"/>
  <c r="I184" i="19"/>
  <c r="N7" i="14"/>
  <c r="K2" i="17"/>
  <c r="K2" i="5" s="1"/>
  <c r="K25" i="5" s="1"/>
  <c r="L3" i="18"/>
  <c r="D93" i="21"/>
  <c r="C33" i="12"/>
  <c r="C66" i="12" s="1"/>
  <c r="D37" i="5"/>
  <c r="J191" i="19"/>
  <c r="J27" i="14"/>
  <c r="J22" i="14"/>
  <c r="J33" i="14"/>
  <c r="J38" i="14" s="1"/>
  <c r="J12" i="14"/>
  <c r="I191" i="19"/>
  <c r="K61" i="19"/>
  <c r="K191" i="19" s="1"/>
  <c r="F20" i="21"/>
  <c r="F24" i="17" s="1"/>
  <c r="E14" i="5" s="1"/>
  <c r="I183" i="19"/>
  <c r="H186" i="19"/>
  <c r="H187" i="19" s="1"/>
  <c r="G21" i="18"/>
  <c r="G20" i="18" s="1"/>
  <c r="F12" i="21"/>
  <c r="H35" i="18"/>
  <c r="F3" i="17"/>
  <c r="G19" i="23"/>
  <c r="G56" i="21"/>
  <c r="F40" i="5"/>
  <c r="I47" i="18"/>
  <c r="D8" i="21"/>
  <c r="D23" i="17" s="1"/>
  <c r="D11" i="21"/>
  <c r="C36" i="5"/>
  <c r="C13" i="5"/>
  <c r="D14" i="17"/>
  <c r="D15" i="17" s="1"/>
  <c r="C3" i="17"/>
  <c r="D14" i="5"/>
  <c r="E65" i="21"/>
  <c r="E9" i="17"/>
  <c r="E14" i="17" s="1"/>
  <c r="E15" i="17" s="1"/>
  <c r="I19" i="23"/>
  <c r="J50" i="18"/>
  <c r="G41" i="5"/>
  <c r="G18" i="5"/>
  <c r="H24" i="21"/>
  <c r="I28" i="18"/>
  <c r="D100" i="21"/>
  <c r="E14" i="27" s="1"/>
  <c r="F74" i="21"/>
  <c r="F16" i="17"/>
  <c r="H51" i="18"/>
  <c r="H59" i="27" s="1"/>
  <c r="G49" i="18"/>
  <c r="G82" i="21"/>
  <c r="E13" i="23"/>
  <c r="F81" i="21"/>
  <c r="E102" i="21"/>
  <c r="F16" i="27" s="1"/>
  <c r="E83" i="21"/>
  <c r="C61" i="21"/>
  <c r="C93" i="21"/>
  <c r="K185" i="19"/>
  <c r="L185" i="19"/>
  <c r="I192" i="19"/>
  <c r="I29" i="18"/>
  <c r="H25" i="21"/>
  <c r="E108" i="21"/>
  <c r="F22" i="27" s="1"/>
  <c r="I190" i="19"/>
  <c r="J57" i="18"/>
  <c r="J62" i="19"/>
  <c r="E55" i="21"/>
  <c r="E91" i="21" s="1"/>
  <c r="E73" i="21"/>
  <c r="E119" i="21"/>
  <c r="E132" i="21" s="1"/>
  <c r="E64" i="21"/>
  <c r="H45" i="18"/>
  <c r="F3" i="21"/>
  <c r="J60" i="19"/>
  <c r="J190" i="19" s="1"/>
  <c r="F182" i="19"/>
  <c r="G4" i="20"/>
  <c r="G4" i="22" s="1"/>
  <c r="E37" i="5"/>
  <c r="F75" i="21" l="1"/>
  <c r="F77" i="21" s="1"/>
  <c r="E58" i="21"/>
  <c r="G59" i="21"/>
  <c r="H59" i="21"/>
  <c r="D128" i="21"/>
  <c r="G39" i="14" s="1"/>
  <c r="I54" i="18"/>
  <c r="H64" i="27"/>
  <c r="C38" i="5"/>
  <c r="E44" i="27"/>
  <c r="J53" i="18"/>
  <c r="F39" i="5"/>
  <c r="F38" i="5"/>
  <c r="G44" i="27"/>
  <c r="J52" i="18"/>
  <c r="G17" i="5"/>
  <c r="H14" i="21"/>
  <c r="J43" i="18"/>
  <c r="F16" i="5"/>
  <c r="H38" i="5"/>
  <c r="G38" i="5"/>
  <c r="G57" i="21"/>
  <c r="G121" i="21" s="1"/>
  <c r="E15" i="5"/>
  <c r="E38" i="5"/>
  <c r="F15" i="5"/>
  <c r="I187" i="19"/>
  <c r="L38" i="5"/>
  <c r="I193" i="19"/>
  <c r="K38" i="5"/>
  <c r="W18" i="23"/>
  <c r="Y5" i="23"/>
  <c r="Y18" i="23" s="1"/>
  <c r="D38" i="5"/>
  <c r="L2" i="17"/>
  <c r="L2" i="5" s="1"/>
  <c r="L25" i="5" s="1"/>
  <c r="O7" i="14"/>
  <c r="M2" i="17" s="1"/>
  <c r="M3" i="21" s="1"/>
  <c r="J38" i="5"/>
  <c r="D15" i="5"/>
  <c r="C10" i="23"/>
  <c r="K15" i="5"/>
  <c r="J15" i="5"/>
  <c r="C15" i="5"/>
  <c r="L15" i="5"/>
  <c r="I15" i="5"/>
  <c r="H15" i="5"/>
  <c r="G15" i="5"/>
  <c r="I38" i="5"/>
  <c r="K5" i="25"/>
  <c r="K3" i="27"/>
  <c r="K36" i="27" s="1"/>
  <c r="K14" i="19"/>
  <c r="I143" i="19"/>
  <c r="I117" i="19"/>
  <c r="I91" i="19"/>
  <c r="I130" i="19"/>
  <c r="F22" i="21"/>
  <c r="F16" i="21"/>
  <c r="F10" i="21"/>
  <c r="F31" i="21"/>
  <c r="J169" i="19"/>
  <c r="J65" i="19"/>
  <c r="J38" i="19"/>
  <c r="J29" i="19"/>
  <c r="J156" i="19"/>
  <c r="J104" i="19"/>
  <c r="J78" i="19"/>
  <c r="J52" i="19"/>
  <c r="J34" i="19"/>
  <c r="J22" i="19"/>
  <c r="I22" i="18"/>
  <c r="L184" i="19"/>
  <c r="K184" i="19"/>
  <c r="M184" i="19"/>
  <c r="C97" i="21"/>
  <c r="D6" i="27"/>
  <c r="D11" i="27" s="1"/>
  <c r="D97" i="21"/>
  <c r="E6" i="27"/>
  <c r="E11" i="27" s="1"/>
  <c r="M3" i="18"/>
  <c r="F23" i="21"/>
  <c r="H27" i="18" s="1"/>
  <c r="H26" i="18" s="1"/>
  <c r="H25" i="18" s="1"/>
  <c r="E93" i="21"/>
  <c r="K22" i="14"/>
  <c r="K33" i="14"/>
  <c r="K38" i="14" s="1"/>
  <c r="K27" i="14"/>
  <c r="K12" i="14"/>
  <c r="L61" i="19"/>
  <c r="I35" i="18"/>
  <c r="J186" i="19"/>
  <c r="H21" i="18"/>
  <c r="H20" i="18" s="1"/>
  <c r="G12" i="21"/>
  <c r="J183" i="19"/>
  <c r="G3" i="17"/>
  <c r="J47" i="18"/>
  <c r="G40" i="5"/>
  <c r="F19" i="18"/>
  <c r="F18" i="18" s="1"/>
  <c r="F17" i="18" s="1"/>
  <c r="E8" i="21"/>
  <c r="E23" i="17" s="1"/>
  <c r="D19" i="5"/>
  <c r="D22" i="17"/>
  <c r="E20" i="23"/>
  <c r="D42" i="5"/>
  <c r="D20" i="17"/>
  <c r="E20" i="17"/>
  <c r="F9" i="17"/>
  <c r="F14" i="17" s="1"/>
  <c r="F15" i="17" s="1"/>
  <c r="F65" i="21"/>
  <c r="E66" i="21"/>
  <c r="G68" i="21" s="1"/>
  <c r="H18" i="5"/>
  <c r="H41" i="5"/>
  <c r="K50" i="18"/>
  <c r="J28" i="18"/>
  <c r="I24" i="21"/>
  <c r="G74" i="21"/>
  <c r="G16" i="17"/>
  <c r="D79" i="21"/>
  <c r="F83" i="21"/>
  <c r="F102" i="21"/>
  <c r="G16" i="27" s="1"/>
  <c r="H82" i="21"/>
  <c r="G13" i="23"/>
  <c r="G81" i="21"/>
  <c r="I51" i="18"/>
  <c r="I59" i="27" s="1"/>
  <c r="H49" i="18"/>
  <c r="J23" i="18"/>
  <c r="I14" i="21"/>
  <c r="I13" i="21"/>
  <c r="J22" i="18"/>
  <c r="J29" i="18"/>
  <c r="I25" i="21"/>
  <c r="F119" i="21"/>
  <c r="F132" i="21" s="1"/>
  <c r="F64" i="21"/>
  <c r="F73" i="21"/>
  <c r="F55" i="21"/>
  <c r="F91" i="21" s="1"/>
  <c r="J192" i="19"/>
  <c r="J193" i="19" s="1"/>
  <c r="K62" i="19"/>
  <c r="L62" i="19" s="1"/>
  <c r="L192" i="19" s="1"/>
  <c r="G20" i="21"/>
  <c r="G24" i="17" s="1"/>
  <c r="F108" i="21"/>
  <c r="G22" i="27" s="1"/>
  <c r="K53" i="18"/>
  <c r="H4" i="20"/>
  <c r="H4" i="22" s="1"/>
  <c r="G182" i="19"/>
  <c r="G3" i="21"/>
  <c r="I45" i="18"/>
  <c r="K57" i="18"/>
  <c r="K60" i="19"/>
  <c r="M185" i="19"/>
  <c r="G75" i="21" l="1"/>
  <c r="G77" i="21" s="1"/>
  <c r="I59" i="21"/>
  <c r="F58" i="21"/>
  <c r="G8" i="18"/>
  <c r="G39" i="27" s="1"/>
  <c r="K43" i="18"/>
  <c r="K52" i="18"/>
  <c r="H17" i="5"/>
  <c r="I64" i="27"/>
  <c r="J54" i="18"/>
  <c r="G39" i="5"/>
  <c r="G16" i="5"/>
  <c r="M16" i="21"/>
  <c r="M10" i="21"/>
  <c r="M119" i="21"/>
  <c r="M132" i="21" s="1"/>
  <c r="M55" i="21"/>
  <c r="M91" i="21" s="1"/>
  <c r="M73" i="21"/>
  <c r="M64" i="21"/>
  <c r="M31" i="21"/>
  <c r="M22" i="21"/>
  <c r="P7" i="14"/>
  <c r="N2" i="17" s="1"/>
  <c r="N3" i="21" s="1"/>
  <c r="O33" i="14"/>
  <c r="O38" i="14" s="1"/>
  <c r="O12" i="14"/>
  <c r="O22" i="14"/>
  <c r="O27" i="14"/>
  <c r="K156" i="19"/>
  <c r="K104" i="19"/>
  <c r="K78" i="19"/>
  <c r="K52" i="19"/>
  <c r="K34" i="19"/>
  <c r="K22" i="19"/>
  <c r="K169" i="19"/>
  <c r="K65" i="19"/>
  <c r="K38" i="19"/>
  <c r="K29" i="19"/>
  <c r="G31" i="21"/>
  <c r="G22" i="21"/>
  <c r="G16" i="21"/>
  <c r="G10" i="21"/>
  <c r="L5" i="25"/>
  <c r="L3" i="27"/>
  <c r="L36" i="27" s="1"/>
  <c r="L14" i="19"/>
  <c r="J143" i="19"/>
  <c r="J117" i="19"/>
  <c r="J91" i="19"/>
  <c r="J130" i="19"/>
  <c r="E97" i="21"/>
  <c r="F6" i="27"/>
  <c r="F11" i="27" s="1"/>
  <c r="N3" i="18"/>
  <c r="O3" i="18" s="1"/>
  <c r="G9" i="17"/>
  <c r="G14" i="17" s="1"/>
  <c r="G15" i="17" s="1"/>
  <c r="E61" i="21"/>
  <c r="D30" i="17"/>
  <c r="J35" i="18"/>
  <c r="L191" i="19"/>
  <c r="M61" i="19"/>
  <c r="K183" i="19"/>
  <c r="L183" i="19"/>
  <c r="I21" i="18"/>
  <c r="I20" i="18" s="1"/>
  <c r="H12" i="21"/>
  <c r="K186" i="19"/>
  <c r="J187" i="19"/>
  <c r="L22" i="14"/>
  <c r="L33" i="14"/>
  <c r="L38" i="14" s="1"/>
  <c r="L12" i="14"/>
  <c r="L27" i="14"/>
  <c r="K19" i="23"/>
  <c r="H3" i="17"/>
  <c r="H56" i="21"/>
  <c r="I56" i="21"/>
  <c r="H40" i="5"/>
  <c r="K47" i="18"/>
  <c r="E42" i="5"/>
  <c r="E22" i="17"/>
  <c r="E30" i="17" s="1"/>
  <c r="E19" i="5"/>
  <c r="D36" i="5"/>
  <c r="D13" i="5"/>
  <c r="E10" i="23"/>
  <c r="E11" i="21"/>
  <c r="C65" i="21"/>
  <c r="C9" i="17"/>
  <c r="F61" i="21"/>
  <c r="F93" i="21"/>
  <c r="F66" i="21"/>
  <c r="H68" i="21" s="1"/>
  <c r="E120" i="21"/>
  <c r="E123" i="21" s="1"/>
  <c r="F20" i="17"/>
  <c r="L50" i="18"/>
  <c r="I41" i="5"/>
  <c r="I18" i="5"/>
  <c r="J24" i="21"/>
  <c r="K28" i="18"/>
  <c r="G23" i="21"/>
  <c r="H20" i="21" s="1"/>
  <c r="H24" i="17" s="1"/>
  <c r="E100" i="21"/>
  <c r="F14" i="27" s="1"/>
  <c r="E79" i="21"/>
  <c r="F100" i="21"/>
  <c r="G14" i="27" s="1"/>
  <c r="H74" i="21"/>
  <c r="H75" i="21" s="1"/>
  <c r="H16" i="17"/>
  <c r="I13" i="23"/>
  <c r="J51" i="18"/>
  <c r="J59" i="27" s="1"/>
  <c r="I49" i="18"/>
  <c r="G102" i="21"/>
  <c r="H16" i="27" s="1"/>
  <c r="G83" i="21"/>
  <c r="H81" i="21"/>
  <c r="I82" i="21"/>
  <c r="G93" i="21"/>
  <c r="K29" i="18"/>
  <c r="J25" i="21"/>
  <c r="J13" i="21"/>
  <c r="K22" i="18"/>
  <c r="K23" i="18"/>
  <c r="J14" i="21"/>
  <c r="L57" i="18"/>
  <c r="K192" i="19"/>
  <c r="M62" i="19"/>
  <c r="K190" i="19"/>
  <c r="L60" i="19"/>
  <c r="H182" i="19"/>
  <c r="I4" i="20"/>
  <c r="I4" i="22" s="1"/>
  <c r="F14" i="5"/>
  <c r="F37" i="5"/>
  <c r="H3" i="21"/>
  <c r="E41" i="14"/>
  <c r="J45" i="18"/>
  <c r="G55" i="21"/>
  <c r="G91" i="21" s="1"/>
  <c r="G73" i="21"/>
  <c r="G64" i="21"/>
  <c r="G119" i="21"/>
  <c r="G132" i="21" s="1"/>
  <c r="L53" i="18"/>
  <c r="G108" i="21"/>
  <c r="H22" i="27" s="1"/>
  <c r="G58" i="21" l="1"/>
  <c r="H8" i="18"/>
  <c r="H39" i="27" s="1"/>
  <c r="I17" i="5"/>
  <c r="L52" i="18"/>
  <c r="J64" i="27"/>
  <c r="K54" i="18"/>
  <c r="H39" i="5"/>
  <c r="H16" i="5"/>
  <c r="L43" i="18"/>
  <c r="C66" i="21"/>
  <c r="C120" i="21" s="1"/>
  <c r="C123" i="21" s="1"/>
  <c r="C126" i="21" s="1"/>
  <c r="C106" i="21" s="1"/>
  <c r="D20" i="27" s="1"/>
  <c r="H57" i="21"/>
  <c r="H121" i="21" s="1"/>
  <c r="I57" i="21"/>
  <c r="I121" i="21" s="1"/>
  <c r="M191" i="19"/>
  <c r="N61" i="19"/>
  <c r="M192" i="19"/>
  <c r="N62" i="19"/>
  <c r="P3" i="18"/>
  <c r="N5" i="25"/>
  <c r="N3" i="27"/>
  <c r="N36" i="27" s="1"/>
  <c r="O35" i="18"/>
  <c r="N14" i="19"/>
  <c r="N16" i="21"/>
  <c r="N22" i="21"/>
  <c r="N55" i="21"/>
  <c r="N91" i="21" s="1"/>
  <c r="N31" i="21"/>
  <c r="N10" i="21"/>
  <c r="N119" i="21"/>
  <c r="N132" i="21" s="1"/>
  <c r="N73" i="21"/>
  <c r="N64" i="21"/>
  <c r="P12" i="14"/>
  <c r="P27" i="14"/>
  <c r="P33" i="14"/>
  <c r="P38" i="14" s="1"/>
  <c r="P22" i="14"/>
  <c r="H10" i="21"/>
  <c r="H31" i="21"/>
  <c r="H22" i="21"/>
  <c r="H16" i="21"/>
  <c r="K130" i="19"/>
  <c r="K143" i="19"/>
  <c r="K117" i="19"/>
  <c r="K91" i="19"/>
  <c r="M5" i="25"/>
  <c r="M14" i="19"/>
  <c r="M3" i="27"/>
  <c r="M36" i="27" s="1"/>
  <c r="L156" i="19"/>
  <c r="L104" i="19"/>
  <c r="L78" i="19"/>
  <c r="L52" i="19"/>
  <c r="L34" i="19"/>
  <c r="L22" i="19"/>
  <c r="L169" i="19"/>
  <c r="L65" i="19"/>
  <c r="L38" i="19"/>
  <c r="L29" i="19"/>
  <c r="K187" i="19"/>
  <c r="M183" i="19"/>
  <c r="G65" i="21"/>
  <c r="F97" i="21"/>
  <c r="G6" i="27"/>
  <c r="G11" i="27" s="1"/>
  <c r="G97" i="21"/>
  <c r="H6" i="27"/>
  <c r="M19" i="23"/>
  <c r="H9" i="17"/>
  <c r="H14" i="17" s="1"/>
  <c r="H15" i="17" s="1"/>
  <c r="I27" i="18"/>
  <c r="I26" i="18" s="1"/>
  <c r="I25" i="18" s="1"/>
  <c r="G37" i="5" s="1"/>
  <c r="E21" i="23"/>
  <c r="E29" i="23" s="1"/>
  <c r="F29" i="23" s="1"/>
  <c r="D40" i="17"/>
  <c r="D44" i="17" s="1"/>
  <c r="J21" i="18"/>
  <c r="J20" i="18" s="1"/>
  <c r="I12" i="21"/>
  <c r="L186" i="19"/>
  <c r="L187" i="19" s="1"/>
  <c r="M186" i="19"/>
  <c r="K35" i="18"/>
  <c r="M33" i="14"/>
  <c r="M38" i="14" s="1"/>
  <c r="M22" i="14"/>
  <c r="M12" i="14"/>
  <c r="M27" i="14"/>
  <c r="I3" i="17"/>
  <c r="J3" i="17"/>
  <c r="I40" i="5"/>
  <c r="L47" i="18"/>
  <c r="E40" i="17"/>
  <c r="E44" i="17" s="1"/>
  <c r="F8" i="21"/>
  <c r="F23" i="17" s="1"/>
  <c r="G19" i="18"/>
  <c r="G18" i="18" s="1"/>
  <c r="G17" i="18" s="1"/>
  <c r="C14" i="17"/>
  <c r="C15" i="17" s="1"/>
  <c r="E126" i="21"/>
  <c r="E106" i="21" s="1"/>
  <c r="F20" i="27" s="1"/>
  <c r="E128" i="21"/>
  <c r="F120" i="21"/>
  <c r="F123" i="21" s="1"/>
  <c r="G20" i="17"/>
  <c r="J56" i="21"/>
  <c r="J18" i="5"/>
  <c r="J41" i="5"/>
  <c r="M50" i="18"/>
  <c r="L28" i="18"/>
  <c r="K24" i="21"/>
  <c r="H77" i="21"/>
  <c r="I16" i="17"/>
  <c r="I74" i="21"/>
  <c r="I75" i="21" s="1"/>
  <c r="F79" i="21"/>
  <c r="I81" i="21"/>
  <c r="K13" i="23"/>
  <c r="J82" i="21"/>
  <c r="K51" i="18"/>
  <c r="K59" i="27" s="1"/>
  <c r="J49" i="18"/>
  <c r="H83" i="21"/>
  <c r="H102" i="21"/>
  <c r="I16" i="27" s="1"/>
  <c r="K13" i="21"/>
  <c r="L22" i="18"/>
  <c r="K14" i="21"/>
  <c r="L23" i="18"/>
  <c r="L29" i="18"/>
  <c r="K25" i="21"/>
  <c r="I3" i="21"/>
  <c r="L190" i="19"/>
  <c r="L193" i="19" s="1"/>
  <c r="M60" i="19"/>
  <c r="H23" i="21"/>
  <c r="M57" i="18"/>
  <c r="I182" i="19"/>
  <c r="J4" i="20"/>
  <c r="J4" i="22" s="1"/>
  <c r="H108" i="21"/>
  <c r="I22" i="27" s="1"/>
  <c r="M53" i="18"/>
  <c r="K45" i="18"/>
  <c r="H55" i="21"/>
  <c r="H91" i="21" s="1"/>
  <c r="H64" i="21"/>
  <c r="H73" i="21"/>
  <c r="H119" i="21"/>
  <c r="H132" i="21" s="1"/>
  <c r="K193" i="19"/>
  <c r="F68" i="21" l="1"/>
  <c r="F99" i="21" s="1"/>
  <c r="G13" i="27" s="1"/>
  <c r="H58" i="21"/>
  <c r="I8" i="18"/>
  <c r="I39" i="27" s="1"/>
  <c r="G61" i="21"/>
  <c r="J59" i="21"/>
  <c r="K59" i="21"/>
  <c r="C128" i="21"/>
  <c r="F39" i="14" s="1"/>
  <c r="F41" i="14" s="1"/>
  <c r="G66" i="21"/>
  <c r="I68" i="21" s="1"/>
  <c r="L54" i="18"/>
  <c r="I39" i="5"/>
  <c r="I16" i="5"/>
  <c r="M52" i="18"/>
  <c r="K64" i="27"/>
  <c r="M43" i="18"/>
  <c r="C67" i="21"/>
  <c r="D67" i="21" s="1"/>
  <c r="D70" i="21" s="1"/>
  <c r="E68" i="21"/>
  <c r="J57" i="21"/>
  <c r="J121" i="21" s="1"/>
  <c r="N192" i="19"/>
  <c r="O62" i="19"/>
  <c r="O192" i="19" s="1"/>
  <c r="M190" i="19"/>
  <c r="M193" i="19" s="1"/>
  <c r="N60" i="19"/>
  <c r="N191" i="19"/>
  <c r="O61" i="19"/>
  <c r="O191" i="19" s="1"/>
  <c r="N52" i="19"/>
  <c r="N65" i="19"/>
  <c r="N22" i="19"/>
  <c r="N78" i="19"/>
  <c r="N38" i="19"/>
  <c r="N34" i="19"/>
  <c r="N156" i="19"/>
  <c r="N104" i="19"/>
  <c r="N169" i="19"/>
  <c r="N182" i="19" s="1"/>
  <c r="O4" i="20"/>
  <c r="O4" i="22" s="1"/>
  <c r="N29" i="19"/>
  <c r="O5" i="25"/>
  <c r="P35" i="18"/>
  <c r="O3" i="27"/>
  <c r="O36" i="27" s="1"/>
  <c r="O14" i="19"/>
  <c r="H11" i="27"/>
  <c r="I22" i="21"/>
  <c r="I16" i="21"/>
  <c r="I10" i="21"/>
  <c r="I31" i="21"/>
  <c r="M169" i="19"/>
  <c r="M65" i="19"/>
  <c r="M38" i="19"/>
  <c r="M29" i="19"/>
  <c r="M156" i="19"/>
  <c r="M104" i="19"/>
  <c r="M78" i="19"/>
  <c r="M52" i="19"/>
  <c r="M34" i="19"/>
  <c r="M22" i="19"/>
  <c r="L130" i="19"/>
  <c r="L143" i="19"/>
  <c r="L117" i="19"/>
  <c r="L91" i="19"/>
  <c r="M187" i="19"/>
  <c r="H65" i="21"/>
  <c r="E28" i="23"/>
  <c r="F28" i="23" s="1"/>
  <c r="O19" i="23"/>
  <c r="F21" i="27"/>
  <c r="G14" i="5"/>
  <c r="F11" i="21"/>
  <c r="N27" i="14"/>
  <c r="N22" i="14"/>
  <c r="N33" i="14"/>
  <c r="N38" i="14" s="1"/>
  <c r="N12" i="14"/>
  <c r="J12" i="21"/>
  <c r="K21" i="18"/>
  <c r="K20" i="18" s="1"/>
  <c r="L35" i="18"/>
  <c r="E41" i="18"/>
  <c r="E49" i="27" s="1"/>
  <c r="E55" i="27" s="1"/>
  <c r="K3" i="17"/>
  <c r="I93" i="21"/>
  <c r="G21" i="27"/>
  <c r="H20" i="17"/>
  <c r="J40" i="5"/>
  <c r="M47" i="18"/>
  <c r="J17" i="5"/>
  <c r="E36" i="5"/>
  <c r="G10" i="23"/>
  <c r="E13" i="5"/>
  <c r="F19" i="5"/>
  <c r="G20" i="23"/>
  <c r="F42" i="5"/>
  <c r="F22" i="17"/>
  <c r="F30" i="17" s="1"/>
  <c r="C20" i="17"/>
  <c r="C30" i="17" s="1"/>
  <c r="G41" i="14"/>
  <c r="H39" i="14"/>
  <c r="F126" i="21"/>
  <c r="F106" i="21" s="1"/>
  <c r="G20" i="27" s="1"/>
  <c r="F128" i="21"/>
  <c r="G99" i="21"/>
  <c r="H13" i="27" s="1"/>
  <c r="I9" i="17"/>
  <c r="I14" i="17" s="1"/>
  <c r="I15" i="17" s="1"/>
  <c r="I65" i="21"/>
  <c r="K18" i="5"/>
  <c r="K41" i="5"/>
  <c r="N50" i="18"/>
  <c r="H100" i="21"/>
  <c r="I14" i="27" s="1"/>
  <c r="H79" i="21"/>
  <c r="M28" i="18"/>
  <c r="L24" i="21"/>
  <c r="J16" i="17"/>
  <c r="J74" i="21"/>
  <c r="J75" i="21" s="1"/>
  <c r="I77" i="21"/>
  <c r="I100" i="21" s="1"/>
  <c r="J14" i="27" s="1"/>
  <c r="G100" i="21"/>
  <c r="H14" i="27" s="1"/>
  <c r="G79" i="21"/>
  <c r="M13" i="23"/>
  <c r="K82" i="21"/>
  <c r="I102" i="21"/>
  <c r="J16" i="27" s="1"/>
  <c r="I83" i="21"/>
  <c r="L51" i="18"/>
  <c r="L59" i="27" s="1"/>
  <c r="K49" i="18"/>
  <c r="J81" i="21"/>
  <c r="L25" i="21"/>
  <c r="M29" i="18"/>
  <c r="L13" i="21"/>
  <c r="M22" i="18"/>
  <c r="M23" i="18"/>
  <c r="L14" i="21"/>
  <c r="J3" i="21"/>
  <c r="L45" i="18"/>
  <c r="N53" i="18"/>
  <c r="I108" i="21"/>
  <c r="J22" i="27" s="1"/>
  <c r="N57" i="18"/>
  <c r="O57" i="18" s="1"/>
  <c r="P57" i="18" s="1"/>
  <c r="K4" i="20"/>
  <c r="K4" i="22" s="1"/>
  <c r="J182" i="19"/>
  <c r="I20" i="21"/>
  <c r="I24" i="17" s="1"/>
  <c r="J27" i="18"/>
  <c r="J26" i="18" s="1"/>
  <c r="J25" i="18" s="1"/>
  <c r="D99" i="21"/>
  <c r="E13" i="27" s="1"/>
  <c r="I55" i="21"/>
  <c r="I91" i="21" s="1"/>
  <c r="I73" i="21"/>
  <c r="I64" i="21"/>
  <c r="I119" i="21"/>
  <c r="I132" i="21" s="1"/>
  <c r="H9" i="18" l="1"/>
  <c r="H40" i="27" s="1"/>
  <c r="C70" i="21"/>
  <c r="E9" i="18"/>
  <c r="E40" i="27" s="1"/>
  <c r="G9" i="18"/>
  <c r="G40" i="27" s="1"/>
  <c r="F9" i="18"/>
  <c r="F40" i="27" s="1"/>
  <c r="G120" i="21"/>
  <c r="G123" i="21" s="1"/>
  <c r="G126" i="21" s="1"/>
  <c r="G106" i="21" s="1"/>
  <c r="H20" i="27" s="1"/>
  <c r="I58" i="21"/>
  <c r="J8" i="18"/>
  <c r="J39" i="27" s="1"/>
  <c r="L59" i="21"/>
  <c r="I66" i="21"/>
  <c r="H66" i="21"/>
  <c r="H120" i="21" s="1"/>
  <c r="H123" i="21" s="1"/>
  <c r="H126" i="21" s="1"/>
  <c r="H106" i="21" s="1"/>
  <c r="I20" i="27" s="1"/>
  <c r="F41" i="18"/>
  <c r="F49" i="27" s="1"/>
  <c r="F55" i="27" s="1"/>
  <c r="N52" i="18"/>
  <c r="O50" i="18"/>
  <c r="O58" i="27" s="1"/>
  <c r="L64" i="27"/>
  <c r="M54" i="18"/>
  <c r="J16" i="5"/>
  <c r="J39" i="5"/>
  <c r="N43" i="18"/>
  <c r="E99" i="21"/>
  <c r="F13" i="27" s="1"/>
  <c r="E6" i="25" s="1"/>
  <c r="E12" i="25" s="1"/>
  <c r="E67" i="21"/>
  <c r="F67" i="21" s="1"/>
  <c r="F6" i="25"/>
  <c r="F12" i="25" s="1"/>
  <c r="I99" i="21"/>
  <c r="J13" i="27" s="1"/>
  <c r="O53" i="18"/>
  <c r="N29" i="18"/>
  <c r="M25" i="21"/>
  <c r="N190" i="19"/>
  <c r="N193" i="19" s="1"/>
  <c r="M24" i="17" s="1"/>
  <c r="O60" i="19"/>
  <c r="O190" i="19" s="1"/>
  <c r="O193" i="19" s="1"/>
  <c r="N24" i="17" s="1"/>
  <c r="N23" i="18"/>
  <c r="M14" i="21"/>
  <c r="N28" i="18"/>
  <c r="M24" i="21"/>
  <c r="N22" i="18"/>
  <c r="M13" i="21"/>
  <c r="N130" i="19"/>
  <c r="N91" i="19"/>
  <c r="N143" i="19"/>
  <c r="N117" i="19"/>
  <c r="P4" i="20"/>
  <c r="P4" i="22" s="1"/>
  <c r="O29" i="19"/>
  <c r="O104" i="19"/>
  <c r="O38" i="19"/>
  <c r="O52" i="19"/>
  <c r="O78" i="19"/>
  <c r="O22" i="19"/>
  <c r="O65" i="19"/>
  <c r="O34" i="19"/>
  <c r="O156" i="19"/>
  <c r="O169" i="19"/>
  <c r="O182" i="19" s="1"/>
  <c r="J22" i="21"/>
  <c r="J16" i="21"/>
  <c r="J10" i="21"/>
  <c r="J31" i="21"/>
  <c r="M143" i="19"/>
  <c r="M117" i="19"/>
  <c r="M91" i="19"/>
  <c r="M130" i="19"/>
  <c r="G8" i="21"/>
  <c r="G23" i="17" s="1"/>
  <c r="I97" i="21"/>
  <c r="J6" i="27"/>
  <c r="H19" i="18"/>
  <c r="H18" i="18" s="1"/>
  <c r="H17" i="18" s="1"/>
  <c r="F36" i="5" s="1"/>
  <c r="Q19" i="23"/>
  <c r="G11" i="21"/>
  <c r="M35" i="18"/>
  <c r="N35" i="18"/>
  <c r="K12" i="21"/>
  <c r="L21" i="18"/>
  <c r="L20" i="18" s="1"/>
  <c r="C99" i="21"/>
  <c r="D13" i="27" s="1"/>
  <c r="C6" i="25" s="1"/>
  <c r="H61" i="21"/>
  <c r="H93" i="21"/>
  <c r="I61" i="21"/>
  <c r="K56" i="21"/>
  <c r="I20" i="17"/>
  <c r="N47" i="18"/>
  <c r="K40" i="5"/>
  <c r="K17" i="5"/>
  <c r="F40" i="17"/>
  <c r="F44" i="17" s="1"/>
  <c r="G21" i="23"/>
  <c r="C40" i="17"/>
  <c r="C44" i="17" s="1"/>
  <c r="C21" i="23"/>
  <c r="H41" i="14"/>
  <c r="I39" i="14"/>
  <c r="L56" i="21"/>
  <c r="L3" i="17"/>
  <c r="S19" i="23"/>
  <c r="J9" i="17"/>
  <c r="J14" i="17" s="1"/>
  <c r="J15" i="17" s="1"/>
  <c r="J65" i="21"/>
  <c r="L18" i="5"/>
  <c r="L41" i="5"/>
  <c r="J77" i="21"/>
  <c r="J100" i="21" s="1"/>
  <c r="K14" i="27" s="1"/>
  <c r="I120" i="21"/>
  <c r="I123" i="21" s="1"/>
  <c r="I79" i="21"/>
  <c r="K16" i="17"/>
  <c r="K74" i="21"/>
  <c r="K75" i="21" s="1"/>
  <c r="K81" i="21"/>
  <c r="O13" i="23"/>
  <c r="M51" i="18"/>
  <c r="M59" i="27" s="1"/>
  <c r="L49" i="18"/>
  <c r="J102" i="21"/>
  <c r="K16" i="27" s="1"/>
  <c r="J83" i="21"/>
  <c r="L82" i="21"/>
  <c r="H14" i="5"/>
  <c r="H37" i="5"/>
  <c r="L4" i="20"/>
  <c r="L4" i="22" s="1"/>
  <c r="K182" i="19"/>
  <c r="M45" i="18"/>
  <c r="J55" i="21"/>
  <c r="J91" i="21" s="1"/>
  <c r="J64" i="21"/>
  <c r="J119" i="21"/>
  <c r="J132" i="21" s="1"/>
  <c r="J73" i="21"/>
  <c r="I23" i="21"/>
  <c r="J108" i="21"/>
  <c r="K22" i="27" s="1"/>
  <c r="K3" i="21"/>
  <c r="K68" i="21" l="1"/>
  <c r="G128" i="21"/>
  <c r="I9" i="18" s="1"/>
  <c r="I40" i="27" s="1"/>
  <c r="N59" i="21"/>
  <c r="J58" i="21"/>
  <c r="K8" i="18"/>
  <c r="K39" i="27" s="1"/>
  <c r="J66" i="21"/>
  <c r="L68" i="21"/>
  <c r="J68" i="21"/>
  <c r="J99" i="21" s="1"/>
  <c r="K13" i="27" s="1"/>
  <c r="H128" i="21"/>
  <c r="K39" i="14" s="1"/>
  <c r="K41" i="14" s="1"/>
  <c r="G41" i="18"/>
  <c r="G49" i="27" s="1"/>
  <c r="G55" i="27" s="1"/>
  <c r="M64" i="27"/>
  <c r="N54" i="18"/>
  <c r="K16" i="5"/>
  <c r="K39" i="5"/>
  <c r="P50" i="18"/>
  <c r="O43" i="18"/>
  <c r="P53" i="18"/>
  <c r="O52" i="18"/>
  <c r="L16" i="5"/>
  <c r="G67" i="21"/>
  <c r="F70" i="21"/>
  <c r="E70" i="21"/>
  <c r="L57" i="21"/>
  <c r="L121" i="21" s="1"/>
  <c r="N13" i="21"/>
  <c r="P22" i="18" s="1"/>
  <c r="O22" i="18"/>
  <c r="N14" i="21"/>
  <c r="P23" i="18" s="1"/>
  <c r="O23" i="18"/>
  <c r="N25" i="21"/>
  <c r="P29" i="18" s="1"/>
  <c r="O29" i="18"/>
  <c r="N24" i="21"/>
  <c r="P28" i="18" s="1"/>
  <c r="O28" i="18"/>
  <c r="N22" i="17"/>
  <c r="N30" i="17" s="1"/>
  <c r="W20" i="23"/>
  <c r="L40" i="5"/>
  <c r="O47" i="18"/>
  <c r="M22" i="17"/>
  <c r="M30" i="17" s="1"/>
  <c r="U20" i="23"/>
  <c r="O117" i="19"/>
  <c r="O143" i="19"/>
  <c r="O130" i="19"/>
  <c r="O91" i="19"/>
  <c r="J11" i="27"/>
  <c r="K31" i="21"/>
  <c r="K22" i="21"/>
  <c r="K16" i="21"/>
  <c r="K10" i="21"/>
  <c r="I20" i="23"/>
  <c r="G22" i="17"/>
  <c r="G30" i="17" s="1"/>
  <c r="G40" i="17" s="1"/>
  <c r="G44" i="17" s="1"/>
  <c r="G42" i="5"/>
  <c r="G19" i="5"/>
  <c r="I19" i="18"/>
  <c r="I18" i="18" s="1"/>
  <c r="I17" i="18" s="1"/>
  <c r="K10" i="23" s="1"/>
  <c r="I10" i="23"/>
  <c r="F13" i="5"/>
  <c r="H97" i="21"/>
  <c r="I6" i="27"/>
  <c r="E23" i="23"/>
  <c r="J93" i="21"/>
  <c r="H8" i="21"/>
  <c r="H23" i="17" s="1"/>
  <c r="H22" i="17" s="1"/>
  <c r="H30" i="17" s="1"/>
  <c r="L17" i="5"/>
  <c r="L12" i="21"/>
  <c r="M21" i="18"/>
  <c r="M20" i="18" s="1"/>
  <c r="K57" i="21"/>
  <c r="K121" i="21" s="1"/>
  <c r="G29" i="23"/>
  <c r="H29" i="23" s="1"/>
  <c r="G28" i="23"/>
  <c r="H28" i="23" s="1"/>
  <c r="C29" i="23"/>
  <c r="D29" i="23" s="1"/>
  <c r="C28" i="23"/>
  <c r="D28" i="23" s="1"/>
  <c r="J20" i="17"/>
  <c r="I41" i="14"/>
  <c r="J39" i="14"/>
  <c r="J41" i="14" s="1"/>
  <c r="I128" i="21"/>
  <c r="L39" i="14" s="1"/>
  <c r="I126" i="21"/>
  <c r="I106" i="21" s="1"/>
  <c r="J20" i="27" s="1"/>
  <c r="K65" i="21"/>
  <c r="K9" i="17"/>
  <c r="K14" i="17" s="1"/>
  <c r="K15" i="17" s="1"/>
  <c r="H99" i="21"/>
  <c r="I13" i="27" s="1"/>
  <c r="J79" i="21"/>
  <c r="L74" i="21"/>
  <c r="L75" i="21" s="1"/>
  <c r="L16" i="17"/>
  <c r="K77" i="21"/>
  <c r="K100" i="21" s="1"/>
  <c r="L14" i="27" s="1"/>
  <c r="J120" i="21"/>
  <c r="J123" i="21" s="1"/>
  <c r="Q13" i="23"/>
  <c r="L81" i="21"/>
  <c r="N51" i="18"/>
  <c r="N59" i="27" s="1"/>
  <c r="M49" i="18"/>
  <c r="K83" i="21"/>
  <c r="K102" i="21"/>
  <c r="L16" i="27" s="1"/>
  <c r="J20" i="21"/>
  <c r="J24" i="17" s="1"/>
  <c r="K27" i="18"/>
  <c r="K26" i="18" s="1"/>
  <c r="K25" i="18" s="1"/>
  <c r="N45" i="18"/>
  <c r="O45" i="18" s="1"/>
  <c r="P45" i="18" s="1"/>
  <c r="L3" i="21"/>
  <c r="L182" i="19"/>
  <c r="M4" i="20"/>
  <c r="M4" i="22" s="1"/>
  <c r="K108" i="21"/>
  <c r="L22" i="27" s="1"/>
  <c r="K119" i="21"/>
  <c r="K132" i="21" s="1"/>
  <c r="K55" i="21"/>
  <c r="K91" i="21" s="1"/>
  <c r="K64" i="21"/>
  <c r="K73" i="21"/>
  <c r="J9" i="18" l="1"/>
  <c r="J40" i="27" s="1"/>
  <c r="K58" i="21"/>
  <c r="L58" i="21" s="1"/>
  <c r="L8" i="18"/>
  <c r="L39" i="27" s="1"/>
  <c r="J61" i="21"/>
  <c r="N93" i="21"/>
  <c r="M59" i="21"/>
  <c r="K66" i="21"/>
  <c r="K120" i="21" s="1"/>
  <c r="K123" i="21" s="1"/>
  <c r="K126" i="21" s="1"/>
  <c r="K106" i="21" s="1"/>
  <c r="L20" i="27" s="1"/>
  <c r="M68" i="21"/>
  <c r="H41" i="18"/>
  <c r="H49" i="27" s="1"/>
  <c r="H55" i="27" s="1"/>
  <c r="P47" i="18"/>
  <c r="P52" i="18"/>
  <c r="O54" i="18"/>
  <c r="L39" i="5"/>
  <c r="O51" i="18"/>
  <c r="O59" i="27" s="1"/>
  <c r="P43" i="18"/>
  <c r="H67" i="21"/>
  <c r="G70" i="21"/>
  <c r="I21" i="23"/>
  <c r="I29" i="23" s="1"/>
  <c r="J29" i="23" s="1"/>
  <c r="G13" i="5"/>
  <c r="G36" i="5"/>
  <c r="N8" i="18"/>
  <c r="N39" i="27" s="1"/>
  <c r="N21" i="18"/>
  <c r="N20" i="18" s="1"/>
  <c r="M12" i="21"/>
  <c r="M40" i="17"/>
  <c r="M44" i="17" s="1"/>
  <c r="U21" i="23"/>
  <c r="U29" i="23" s="1"/>
  <c r="V29" i="23" s="1"/>
  <c r="N40" i="17"/>
  <c r="N44" i="17" s="1"/>
  <c r="W21" i="23"/>
  <c r="W29" i="23" s="1"/>
  <c r="X29" i="23" s="1"/>
  <c r="I11" i="27"/>
  <c r="L10" i="21"/>
  <c r="L31" i="21"/>
  <c r="L22" i="21"/>
  <c r="K9" i="18"/>
  <c r="K40" i="27" s="1"/>
  <c r="J97" i="21"/>
  <c r="K6" i="27"/>
  <c r="F36" i="14"/>
  <c r="D109" i="21" s="1"/>
  <c r="E23" i="27" s="1"/>
  <c r="F61" i="18"/>
  <c r="H11" i="21"/>
  <c r="K20" i="23"/>
  <c r="H19" i="5"/>
  <c r="G36" i="14"/>
  <c r="E109" i="21" s="1"/>
  <c r="M8" i="18"/>
  <c r="M39" i="27" s="1"/>
  <c r="H42" i="5"/>
  <c r="G61" i="18"/>
  <c r="K21" i="23"/>
  <c r="H40" i="17"/>
  <c r="H44" i="17" s="1"/>
  <c r="H21" i="27"/>
  <c r="G6" i="25" s="1"/>
  <c r="G12" i="25" s="1"/>
  <c r="I28" i="23"/>
  <c r="J28" i="23" s="1"/>
  <c r="H40" i="18"/>
  <c r="J126" i="21"/>
  <c r="J106" i="21" s="1"/>
  <c r="K20" i="27" s="1"/>
  <c r="J128" i="21"/>
  <c r="K99" i="21"/>
  <c r="L13" i="27" s="1"/>
  <c r="L9" i="17"/>
  <c r="L14" i="17" s="1"/>
  <c r="L15" i="17" s="1"/>
  <c r="L65" i="21"/>
  <c r="K20" i="17"/>
  <c r="J23" i="21"/>
  <c r="L27" i="18" s="1"/>
  <c r="L26" i="18" s="1"/>
  <c r="L25" i="18" s="1"/>
  <c r="J37" i="5" s="1"/>
  <c r="K79" i="21"/>
  <c r="S13" i="23"/>
  <c r="L83" i="21"/>
  <c r="L102" i="21"/>
  <c r="M16" i="27" s="1"/>
  <c r="N49" i="18"/>
  <c r="E40" i="18"/>
  <c r="L108" i="21"/>
  <c r="M22" i="27" s="1"/>
  <c r="L16" i="21"/>
  <c r="L73" i="21"/>
  <c r="L64" i="21"/>
  <c r="L55" i="21"/>
  <c r="L91" i="21" s="1"/>
  <c r="L119" i="21"/>
  <c r="L132" i="21" s="1"/>
  <c r="E7" i="18"/>
  <c r="N4" i="20"/>
  <c r="N4" i="22" s="1"/>
  <c r="M182" i="19"/>
  <c r="I14" i="5"/>
  <c r="I37" i="5"/>
  <c r="I41" i="18"/>
  <c r="I49" i="27" s="1"/>
  <c r="I55" i="27" s="1"/>
  <c r="O6" i="27" l="1"/>
  <c r="O11" i="27" s="1"/>
  <c r="N97" i="21"/>
  <c r="M58" i="21"/>
  <c r="L66" i="21"/>
  <c r="L120" i="21" s="1"/>
  <c r="L123" i="21" s="1"/>
  <c r="N68" i="21"/>
  <c r="N99" i="21" s="1"/>
  <c r="O13" i="27" s="1"/>
  <c r="N6" i="25" s="1"/>
  <c r="N12" i="25" s="1"/>
  <c r="O49" i="18"/>
  <c r="W13" i="23" s="1"/>
  <c r="P54" i="18"/>
  <c r="O64" i="27"/>
  <c r="P51" i="18"/>
  <c r="N64" i="27"/>
  <c r="I67" i="21"/>
  <c r="H70" i="21"/>
  <c r="K128" i="21"/>
  <c r="N39" i="14" s="1"/>
  <c r="W23" i="23"/>
  <c r="P61" i="18"/>
  <c r="P36" i="14"/>
  <c r="N109" i="21" s="1"/>
  <c r="L77" i="21"/>
  <c r="M77" i="21"/>
  <c r="M93" i="21"/>
  <c r="M61" i="21"/>
  <c r="O61" i="18"/>
  <c r="O36" i="14"/>
  <c r="M109" i="21" s="1"/>
  <c r="N23" i="27" s="1"/>
  <c r="U23" i="23"/>
  <c r="N12" i="21"/>
  <c r="P21" i="18" s="1"/>
  <c r="P20" i="18" s="1"/>
  <c r="O21" i="18"/>
  <c r="O20" i="18" s="1"/>
  <c r="K29" i="23"/>
  <c r="L29" i="23" s="1"/>
  <c r="K28" i="23"/>
  <c r="L28" i="23" s="1"/>
  <c r="K11" i="27"/>
  <c r="I8" i="21"/>
  <c r="I23" i="17" s="1"/>
  <c r="J19" i="18"/>
  <c r="J18" i="18" s="1"/>
  <c r="J17" i="18" s="1"/>
  <c r="H36" i="5" s="1"/>
  <c r="L9" i="18"/>
  <c r="L40" i="27" s="1"/>
  <c r="L93" i="21"/>
  <c r="M6" i="27" s="1"/>
  <c r="K93" i="21"/>
  <c r="E111" i="21"/>
  <c r="E112" i="21" s="1"/>
  <c r="F23" i="27"/>
  <c r="F25" i="27" s="1"/>
  <c r="F27" i="27" s="1"/>
  <c r="D111" i="21"/>
  <c r="D112" i="21" s="1"/>
  <c r="E21" i="27"/>
  <c r="K20" i="21"/>
  <c r="K24" i="17" s="1"/>
  <c r="J14" i="5" s="1"/>
  <c r="I7" i="18"/>
  <c r="I40" i="18"/>
  <c r="G8" i="5" s="1"/>
  <c r="I21" i="27"/>
  <c r="H6" i="25" s="1"/>
  <c r="H12" i="25" s="1"/>
  <c r="I11" i="21"/>
  <c r="L41" i="14"/>
  <c r="M39" i="14"/>
  <c r="M41" i="14" s="1"/>
  <c r="L128" i="21"/>
  <c r="O9" i="18" s="1"/>
  <c r="L126" i="21"/>
  <c r="L106" i="21" s="1"/>
  <c r="M20" i="27" s="1"/>
  <c r="L20" i="17"/>
  <c r="L100" i="21"/>
  <c r="M14" i="27" s="1"/>
  <c r="L79" i="21"/>
  <c r="U13" i="23"/>
  <c r="C30" i="5"/>
  <c r="C8" i="5"/>
  <c r="J41" i="18"/>
  <c r="J49" i="27" s="1"/>
  <c r="J55" i="27" s="1"/>
  <c r="E36" i="14"/>
  <c r="C23" i="23"/>
  <c r="E61" i="18"/>
  <c r="C7" i="5"/>
  <c r="C31" i="5"/>
  <c r="F7" i="18"/>
  <c r="G40" i="18"/>
  <c r="F40" i="18"/>
  <c r="G7" i="18"/>
  <c r="H7" i="18"/>
  <c r="M9" i="18" l="1"/>
  <c r="M40" i="27" s="1"/>
  <c r="O8" i="18"/>
  <c r="O39" i="27" s="1"/>
  <c r="N58" i="21"/>
  <c r="P49" i="18"/>
  <c r="Y13" i="23" s="1"/>
  <c r="H13" i="5"/>
  <c r="O7" i="18"/>
  <c r="O40" i="27"/>
  <c r="J67" i="21"/>
  <c r="I70" i="21"/>
  <c r="L61" i="21"/>
  <c r="O23" i="27"/>
  <c r="O25" i="27" s="1"/>
  <c r="O27" i="27" s="1"/>
  <c r="N111" i="21"/>
  <c r="N112" i="21" s="1"/>
  <c r="M97" i="21"/>
  <c r="N6" i="27"/>
  <c r="L99" i="21"/>
  <c r="M13" i="27" s="1"/>
  <c r="M100" i="21"/>
  <c r="N14" i="27" s="1"/>
  <c r="M79" i="21"/>
  <c r="P9" i="18"/>
  <c r="E25" i="27"/>
  <c r="E27" i="27" s="1"/>
  <c r="D6" i="25"/>
  <c r="D12" i="25" s="1"/>
  <c r="N9" i="18"/>
  <c r="N40" i="27" s="1"/>
  <c r="O39" i="14"/>
  <c r="L97" i="21"/>
  <c r="M11" i="27"/>
  <c r="K23" i="21"/>
  <c r="L20" i="21" s="1"/>
  <c r="L24" i="17" s="1"/>
  <c r="M20" i="23"/>
  <c r="I42" i="5"/>
  <c r="I19" i="5"/>
  <c r="I22" i="17"/>
  <c r="I30" i="17" s="1"/>
  <c r="M10" i="23"/>
  <c r="K61" i="21"/>
  <c r="K97" i="21"/>
  <c r="L6" i="27"/>
  <c r="G23" i="23"/>
  <c r="H36" i="14"/>
  <c r="F109" i="21" s="1"/>
  <c r="H61" i="18"/>
  <c r="J21" i="27"/>
  <c r="I6" i="25" s="1"/>
  <c r="I12" i="25" s="1"/>
  <c r="J40" i="18"/>
  <c r="K19" i="18"/>
  <c r="K18" i="18" s="1"/>
  <c r="K17" i="18" s="1"/>
  <c r="J8" i="21"/>
  <c r="J23" i="17" s="1"/>
  <c r="N41" i="14"/>
  <c r="M27" i="18"/>
  <c r="M26" i="18" s="1"/>
  <c r="M25" i="18" s="1"/>
  <c r="G31" i="5"/>
  <c r="F7" i="5"/>
  <c r="E7" i="5"/>
  <c r="F31" i="5"/>
  <c r="E30" i="5"/>
  <c r="F8" i="5"/>
  <c r="D7" i="5"/>
  <c r="E31" i="5"/>
  <c r="D31" i="5"/>
  <c r="C109" i="21"/>
  <c r="E60" i="18"/>
  <c r="G7" i="5"/>
  <c r="K41" i="18"/>
  <c r="K49" i="27" s="1"/>
  <c r="K55" i="27" s="1"/>
  <c r="F30" i="5"/>
  <c r="G30" i="5"/>
  <c r="D30" i="5"/>
  <c r="E8" i="5"/>
  <c r="D8" i="5"/>
  <c r="P8" i="18" l="1"/>
  <c r="N61" i="21"/>
  <c r="P7" i="18"/>
  <c r="L23" i="21"/>
  <c r="K67" i="21"/>
  <c r="J70" i="21"/>
  <c r="K14" i="5"/>
  <c r="N27" i="18"/>
  <c r="N26" i="18" s="1"/>
  <c r="N25" i="18" s="1"/>
  <c r="L37" i="5" s="1"/>
  <c r="M23" i="21"/>
  <c r="M99" i="21"/>
  <c r="N11" i="27"/>
  <c r="L11" i="27"/>
  <c r="M21" i="23"/>
  <c r="I40" i="17"/>
  <c r="I44" i="17" s="1"/>
  <c r="K37" i="5"/>
  <c r="F111" i="21"/>
  <c r="F112" i="21" s="1"/>
  <c r="G23" i="27"/>
  <c r="G25" i="27" s="1"/>
  <c r="G27" i="27" s="1"/>
  <c r="C111" i="21"/>
  <c r="C112" i="21" s="1"/>
  <c r="C115" i="21" s="1"/>
  <c r="D114" i="21" s="1"/>
  <c r="D115" i="21" s="1"/>
  <c r="D23" i="27"/>
  <c r="D25" i="27" s="1"/>
  <c r="D27" i="27" s="1"/>
  <c r="D29" i="27" s="1"/>
  <c r="D33" i="27" s="1"/>
  <c r="J11" i="21"/>
  <c r="I36" i="5"/>
  <c r="I13" i="5"/>
  <c r="O10" i="23"/>
  <c r="J7" i="18"/>
  <c r="I23" i="23"/>
  <c r="I61" i="18"/>
  <c r="I36" i="14"/>
  <c r="G109" i="21" s="1"/>
  <c r="J42" i="5"/>
  <c r="J19" i="5"/>
  <c r="O20" i="23"/>
  <c r="J22" i="17"/>
  <c r="J30" i="17" s="1"/>
  <c r="L41" i="18"/>
  <c r="L49" i="27" s="1"/>
  <c r="L55" i="27" s="1"/>
  <c r="H30" i="5"/>
  <c r="F60" i="18"/>
  <c r="E56" i="18"/>
  <c r="H8" i="5"/>
  <c r="L14" i="5" l="1"/>
  <c r="L67" i="21"/>
  <c r="K70" i="21"/>
  <c r="N13" i="27"/>
  <c r="M111" i="21"/>
  <c r="M112" i="21" s="1"/>
  <c r="N23" i="21"/>
  <c r="P27" i="18" s="1"/>
  <c r="P26" i="18" s="1"/>
  <c r="P25" i="18" s="1"/>
  <c r="O27" i="18"/>
  <c r="O26" i="18" s="1"/>
  <c r="O25" i="18" s="1"/>
  <c r="M29" i="23"/>
  <c r="N29" i="23" s="1"/>
  <c r="M28" i="23"/>
  <c r="N28" i="23" s="1"/>
  <c r="E38" i="18"/>
  <c r="C29" i="5" s="1"/>
  <c r="E4" i="27"/>
  <c r="E29" i="27" s="1"/>
  <c r="E33" i="27" s="1"/>
  <c r="G111" i="21"/>
  <c r="G112" i="21" s="1"/>
  <c r="H23" i="27"/>
  <c r="H25" i="27" s="1"/>
  <c r="H27" i="27" s="1"/>
  <c r="E5" i="18"/>
  <c r="J61" i="18"/>
  <c r="J36" i="14"/>
  <c r="H109" i="21" s="1"/>
  <c r="K23" i="23"/>
  <c r="H7" i="5"/>
  <c r="H31" i="5"/>
  <c r="O21" i="23"/>
  <c r="O29" i="23" s="1"/>
  <c r="P29" i="23" s="1"/>
  <c r="J40" i="17"/>
  <c r="J44" i="17" s="1"/>
  <c r="K21" i="27"/>
  <c r="J6" i="25" s="1"/>
  <c r="J12" i="25" s="1"/>
  <c r="K40" i="18"/>
  <c r="I8" i="5" s="1"/>
  <c r="L19" i="18"/>
  <c r="L18" i="18" s="1"/>
  <c r="L17" i="18" s="1"/>
  <c r="K8" i="21"/>
  <c r="K23" i="17" s="1"/>
  <c r="C12" i="25"/>
  <c r="M41" i="18"/>
  <c r="M49" i="27" s="1"/>
  <c r="M55" i="27" s="1"/>
  <c r="F5" i="18"/>
  <c r="F38" i="27" s="1"/>
  <c r="F46" i="27" s="1"/>
  <c r="F68" i="27" s="1"/>
  <c r="F38" i="18"/>
  <c r="E114" i="21"/>
  <c r="E115" i="21" s="1"/>
  <c r="C43" i="5"/>
  <c r="C44" i="5" s="1"/>
  <c r="C20" i="5"/>
  <c r="C21" i="5" s="1"/>
  <c r="C14" i="23"/>
  <c r="G60" i="18"/>
  <c r="F56" i="18"/>
  <c r="C28" i="5" l="1"/>
  <c r="C33" i="5" s="1"/>
  <c r="C46" i="5" s="1"/>
  <c r="E38" i="27"/>
  <c r="E46" i="27" s="1"/>
  <c r="E68" i="27" s="1"/>
  <c r="M67" i="21"/>
  <c r="L70" i="21"/>
  <c r="N25" i="27"/>
  <c r="N27" i="27" s="1"/>
  <c r="M6" i="25"/>
  <c r="M12" i="25" s="1"/>
  <c r="C6" i="5"/>
  <c r="E33" i="18"/>
  <c r="D6" i="5"/>
  <c r="C5" i="5"/>
  <c r="E37" i="18"/>
  <c r="E48" i="27" s="1"/>
  <c r="D28" i="5"/>
  <c r="C9" i="23"/>
  <c r="C11" i="23" s="1"/>
  <c r="D9" i="23" s="1"/>
  <c r="H111" i="21"/>
  <c r="H112" i="21" s="1"/>
  <c r="I23" i="27"/>
  <c r="I25" i="27" s="1"/>
  <c r="I27" i="27" s="1"/>
  <c r="F4" i="27"/>
  <c r="F29" i="27" s="1"/>
  <c r="F33" i="27" s="1"/>
  <c r="I30" i="5"/>
  <c r="K11" i="21"/>
  <c r="K22" i="17"/>
  <c r="K30" i="17" s="1"/>
  <c r="K19" i="5"/>
  <c r="Q20" i="23"/>
  <c r="K42" i="5"/>
  <c r="K7" i="18"/>
  <c r="J13" i="5"/>
  <c r="Q10" i="23"/>
  <c r="J36" i="5"/>
  <c r="H60" i="18"/>
  <c r="G56" i="18"/>
  <c r="E20" i="5" s="1"/>
  <c r="E21" i="5" s="1"/>
  <c r="C26" i="23"/>
  <c r="D26" i="23" s="1"/>
  <c r="F37" i="18"/>
  <c r="F48" i="27" s="1"/>
  <c r="D29" i="5"/>
  <c r="D5" i="5"/>
  <c r="E9" i="23"/>
  <c r="F33" i="18"/>
  <c r="E14" i="23"/>
  <c r="D43" i="5"/>
  <c r="D44" i="5" s="1"/>
  <c r="D20" i="5"/>
  <c r="D21" i="5" s="1"/>
  <c r="N41" i="18"/>
  <c r="G38" i="18"/>
  <c r="F114" i="21"/>
  <c r="F115" i="21" s="1"/>
  <c r="G5" i="18"/>
  <c r="G38" i="27" s="1"/>
  <c r="G46" i="27" s="1"/>
  <c r="G68" i="27" s="1"/>
  <c r="O41" i="18" l="1"/>
  <c r="O49" i="27" s="1"/>
  <c r="O55" i="27" s="1"/>
  <c r="N49" i="27"/>
  <c r="N55" i="27" s="1"/>
  <c r="E63" i="18"/>
  <c r="E65" i="18" s="1"/>
  <c r="F63" i="18"/>
  <c r="F65" i="18" s="1"/>
  <c r="N67" i="21"/>
  <c r="N70" i="21" s="1"/>
  <c r="M70" i="21"/>
  <c r="P41" i="18"/>
  <c r="P40" i="18" s="1"/>
  <c r="O40" i="18"/>
  <c r="D33" i="5"/>
  <c r="D46" i="5" s="1"/>
  <c r="C10" i="5"/>
  <c r="C23" i="5" s="1"/>
  <c r="C12" i="23"/>
  <c r="C15" i="23" s="1"/>
  <c r="D10" i="5"/>
  <c r="D23" i="5" s="1"/>
  <c r="G4" i="27"/>
  <c r="G29" i="27" s="1"/>
  <c r="G33" i="27" s="1"/>
  <c r="D11" i="23"/>
  <c r="D10" i="23"/>
  <c r="D8" i="23"/>
  <c r="K61" i="18"/>
  <c r="M23" i="23"/>
  <c r="K36" i="14"/>
  <c r="I109" i="21" s="1"/>
  <c r="L40" i="18"/>
  <c r="M19" i="18"/>
  <c r="M18" i="18" s="1"/>
  <c r="M17" i="18" s="1"/>
  <c r="L8" i="21"/>
  <c r="L23" i="17" s="1"/>
  <c r="I7" i="5"/>
  <c r="I31" i="5"/>
  <c r="Q21" i="23"/>
  <c r="Q29" i="23" s="1"/>
  <c r="R29" i="23" s="1"/>
  <c r="K40" i="17"/>
  <c r="K44" i="17" s="1"/>
  <c r="E5" i="5"/>
  <c r="G33" i="18"/>
  <c r="G9" i="23"/>
  <c r="E12" i="23"/>
  <c r="G14" i="23"/>
  <c r="E43" i="5"/>
  <c r="E44" i="5" s="1"/>
  <c r="E11" i="23"/>
  <c r="E28" i="5"/>
  <c r="I60" i="18"/>
  <c r="H56" i="18"/>
  <c r="F20" i="5" s="1"/>
  <c r="F21" i="5" s="1"/>
  <c r="H5" i="18"/>
  <c r="H38" i="18"/>
  <c r="F6" i="5" s="1"/>
  <c r="G114" i="21"/>
  <c r="G115" i="21" s="1"/>
  <c r="E29" i="5"/>
  <c r="G37" i="18"/>
  <c r="G48" i="27" s="1"/>
  <c r="E26" i="23"/>
  <c r="F26" i="23" s="1"/>
  <c r="E6" i="5"/>
  <c r="F28" i="5" l="1"/>
  <c r="H38" i="27"/>
  <c r="H46" i="27" s="1"/>
  <c r="H68" i="27" s="1"/>
  <c r="I111" i="21"/>
  <c r="I112" i="21" s="1"/>
  <c r="J23" i="27"/>
  <c r="J25" i="27" s="1"/>
  <c r="J27" i="27" s="1"/>
  <c r="H4" i="27"/>
  <c r="H29" i="27" s="1"/>
  <c r="H33" i="27" s="1"/>
  <c r="D13" i="23"/>
  <c r="D15" i="23"/>
  <c r="D14" i="23"/>
  <c r="D12" i="23"/>
  <c r="F9" i="23"/>
  <c r="F10" i="23"/>
  <c r="F11" i="23"/>
  <c r="F8" i="23"/>
  <c r="J8" i="5"/>
  <c r="J30" i="5"/>
  <c r="K13" i="5"/>
  <c r="S10" i="23"/>
  <c r="K36" i="5"/>
  <c r="L11" i="21"/>
  <c r="L21" i="27"/>
  <c r="K6" i="25" s="1"/>
  <c r="K12" i="25" s="1"/>
  <c r="L22" i="17"/>
  <c r="L30" i="17" s="1"/>
  <c r="S20" i="23"/>
  <c r="L42" i="5"/>
  <c r="L19" i="5"/>
  <c r="L7" i="18"/>
  <c r="C27" i="23"/>
  <c r="D27" i="23" s="1"/>
  <c r="D30" i="23" s="1"/>
  <c r="G12" i="23"/>
  <c r="I38" i="18"/>
  <c r="G6" i="5" s="1"/>
  <c r="H114" i="21"/>
  <c r="H115" i="21" s="1"/>
  <c r="I5" i="18"/>
  <c r="J60" i="18"/>
  <c r="I56" i="18"/>
  <c r="G20" i="5" s="1"/>
  <c r="G21" i="5" s="1"/>
  <c r="G63" i="18"/>
  <c r="G65" i="18" s="1"/>
  <c r="E15" i="23"/>
  <c r="G11" i="23"/>
  <c r="F5" i="5"/>
  <c r="F10" i="5" s="1"/>
  <c r="F23" i="5" s="1"/>
  <c r="I9" i="23"/>
  <c r="H33" i="18"/>
  <c r="F29" i="5"/>
  <c r="F33" i="5" s="1"/>
  <c r="H37" i="18"/>
  <c r="H48" i="27" s="1"/>
  <c r="E33" i="5"/>
  <c r="E46" i="5" s="1"/>
  <c r="E10" i="5"/>
  <c r="E23" i="5" s="1"/>
  <c r="F43" i="5"/>
  <c r="F44" i="5" s="1"/>
  <c r="I14" i="23"/>
  <c r="G26" i="23"/>
  <c r="H26" i="23" s="1"/>
  <c r="G28" i="5" l="1"/>
  <c r="I38" i="27"/>
  <c r="I46" i="27" s="1"/>
  <c r="I68" i="27" s="1"/>
  <c r="H63" i="18"/>
  <c r="H65" i="18" s="1"/>
  <c r="N19" i="18"/>
  <c r="N18" i="18" s="1"/>
  <c r="N17" i="18" s="1"/>
  <c r="U10" i="23" s="1"/>
  <c r="M11" i="21"/>
  <c r="I4" i="27"/>
  <c r="I29" i="27" s="1"/>
  <c r="I33" i="27" s="1"/>
  <c r="H9" i="23"/>
  <c r="H10" i="23"/>
  <c r="H11" i="23"/>
  <c r="H8" i="23"/>
  <c r="F13" i="23"/>
  <c r="F14" i="23"/>
  <c r="F15" i="23"/>
  <c r="F12" i="23"/>
  <c r="J31" i="5"/>
  <c r="J7" i="5"/>
  <c r="L40" i="17"/>
  <c r="L44" i="17" s="1"/>
  <c r="S21" i="23"/>
  <c r="S29" i="23" s="1"/>
  <c r="T29" i="23" s="1"/>
  <c r="O23" i="23"/>
  <c r="L36" i="14"/>
  <c r="J109" i="21" s="1"/>
  <c r="L61" i="18"/>
  <c r="F46" i="5"/>
  <c r="K60" i="18"/>
  <c r="J56" i="18"/>
  <c r="H20" i="5" s="1"/>
  <c r="H21" i="5" s="1"/>
  <c r="I26" i="23"/>
  <c r="J26" i="23" s="1"/>
  <c r="E27" i="23"/>
  <c r="F27" i="23" s="1"/>
  <c r="F30" i="23" s="1"/>
  <c r="G5" i="5"/>
  <c r="G10" i="5" s="1"/>
  <c r="G23" i="5" s="1"/>
  <c r="I33" i="18"/>
  <c r="K9" i="23"/>
  <c r="I11" i="23"/>
  <c r="I37" i="18"/>
  <c r="I48" i="27" s="1"/>
  <c r="G29" i="5"/>
  <c r="G33" i="5" s="1"/>
  <c r="I12" i="23"/>
  <c r="G43" i="5"/>
  <c r="G44" i="5" s="1"/>
  <c r="K14" i="23"/>
  <c r="J5" i="18"/>
  <c r="J38" i="27" s="1"/>
  <c r="J46" i="27" s="1"/>
  <c r="J68" i="27" s="1"/>
  <c r="J38" i="18"/>
  <c r="H6" i="5" s="1"/>
  <c r="I114" i="21"/>
  <c r="I115" i="21" s="1"/>
  <c r="G15" i="23"/>
  <c r="I63" i="18" l="1"/>
  <c r="I65" i="18" s="1"/>
  <c r="L13" i="5"/>
  <c r="L36" i="5"/>
  <c r="N11" i="21"/>
  <c r="P19" i="18" s="1"/>
  <c r="P18" i="18" s="1"/>
  <c r="P17" i="18" s="1"/>
  <c r="Y10" i="23" s="1"/>
  <c r="O19" i="18"/>
  <c r="O18" i="18" s="1"/>
  <c r="O17" i="18" s="1"/>
  <c r="W10" i="23" s="1"/>
  <c r="J111" i="21"/>
  <c r="J112" i="21" s="1"/>
  <c r="K23" i="27"/>
  <c r="K25" i="27" s="1"/>
  <c r="K27" i="27" s="1"/>
  <c r="J4" i="27"/>
  <c r="J29" i="27" s="1"/>
  <c r="J33" i="27" s="1"/>
  <c r="J11" i="23"/>
  <c r="J10" i="23"/>
  <c r="J8" i="23"/>
  <c r="J9" i="23"/>
  <c r="H13" i="23"/>
  <c r="H14" i="23"/>
  <c r="H12" i="23"/>
  <c r="H15" i="23"/>
  <c r="M21" i="27"/>
  <c r="L6" i="25" s="1"/>
  <c r="L12" i="25" s="1"/>
  <c r="G46" i="5"/>
  <c r="H5" i="5"/>
  <c r="H10" i="5" s="1"/>
  <c r="H23" i="5" s="1"/>
  <c r="M9" i="23"/>
  <c r="J33" i="18"/>
  <c r="L60" i="18"/>
  <c r="K56" i="18"/>
  <c r="I20" i="5" s="1"/>
  <c r="I21" i="5" s="1"/>
  <c r="G27" i="23"/>
  <c r="H27" i="23" s="1"/>
  <c r="H30" i="23" s="1"/>
  <c r="K5" i="18"/>
  <c r="J114" i="21"/>
  <c r="K38" i="18"/>
  <c r="I6" i="5" s="1"/>
  <c r="M14" i="23"/>
  <c r="H43" i="5"/>
  <c r="H44" i="5" s="1"/>
  <c r="I15" i="23"/>
  <c r="K26" i="23"/>
  <c r="L26" i="23" s="1"/>
  <c r="K11" i="23"/>
  <c r="J37" i="18"/>
  <c r="J48" i="27" s="1"/>
  <c r="H29" i="5"/>
  <c r="K12" i="23"/>
  <c r="H28" i="5"/>
  <c r="I28" i="5" l="1"/>
  <c r="K38" i="27"/>
  <c r="K46" i="27" s="1"/>
  <c r="K68" i="27" s="1"/>
  <c r="J115" i="21"/>
  <c r="L38" i="18" s="1"/>
  <c r="J6" i="5" s="1"/>
  <c r="K4" i="27"/>
  <c r="K29" i="27" s="1"/>
  <c r="K33" i="27" s="1"/>
  <c r="L11" i="23"/>
  <c r="L8" i="23"/>
  <c r="L10" i="23"/>
  <c r="J15" i="23"/>
  <c r="J13" i="23"/>
  <c r="J14" i="23"/>
  <c r="J12" i="23"/>
  <c r="L9" i="23"/>
  <c r="M7" i="18"/>
  <c r="M40" i="18"/>
  <c r="H33" i="5"/>
  <c r="H46" i="5" s="1"/>
  <c r="M12" i="23"/>
  <c r="I29" i="5"/>
  <c r="I33" i="5" s="1"/>
  <c r="K37" i="18"/>
  <c r="K48" i="27" s="1"/>
  <c r="L56" i="18"/>
  <c r="J20" i="5" s="1"/>
  <c r="J21" i="5" s="1"/>
  <c r="K15" i="23"/>
  <c r="I27" i="23"/>
  <c r="J27" i="23" s="1"/>
  <c r="J30" i="23" s="1"/>
  <c r="J63" i="18"/>
  <c r="J65" i="18" s="1"/>
  <c r="M26" i="23"/>
  <c r="N26" i="23" s="1"/>
  <c r="I5" i="5"/>
  <c r="I10" i="5" s="1"/>
  <c r="I23" i="5" s="1"/>
  <c r="O9" i="23"/>
  <c r="K33" i="18"/>
  <c r="M11" i="23"/>
  <c r="N9" i="23" s="1"/>
  <c r="I43" i="5"/>
  <c r="I44" i="5" s="1"/>
  <c r="O14" i="23"/>
  <c r="K63" i="18" l="1"/>
  <c r="K65" i="18" s="1"/>
  <c r="K114" i="21"/>
  <c r="L5" i="18"/>
  <c r="L4" i="27"/>
  <c r="L15" i="23"/>
  <c r="L13" i="23"/>
  <c r="L14" i="23"/>
  <c r="N10" i="23"/>
  <c r="N11" i="23"/>
  <c r="N8" i="23"/>
  <c r="L12" i="23"/>
  <c r="N40" i="18"/>
  <c r="L30" i="5" s="1"/>
  <c r="K30" i="5"/>
  <c r="K8" i="5"/>
  <c r="K7" i="5"/>
  <c r="K31" i="5"/>
  <c r="M36" i="14"/>
  <c r="Q23" i="23"/>
  <c r="M61" i="18"/>
  <c r="I46" i="5"/>
  <c r="O11" i="23"/>
  <c r="M15" i="23"/>
  <c r="O12" i="23"/>
  <c r="O26" i="23"/>
  <c r="P26" i="23" s="1"/>
  <c r="Q14" i="23"/>
  <c r="J43" i="5"/>
  <c r="J44" i="5" s="1"/>
  <c r="K27" i="23"/>
  <c r="L27" i="23" s="1"/>
  <c r="L30" i="23" s="1"/>
  <c r="L37" i="18"/>
  <c r="L48" i="27" s="1"/>
  <c r="J29" i="5"/>
  <c r="J28" i="5" l="1"/>
  <c r="J33" i="5" s="1"/>
  <c r="J46" i="5" s="1"/>
  <c r="L38" i="27"/>
  <c r="L46" i="27" s="1"/>
  <c r="L68" i="27" s="1"/>
  <c r="J5" i="5"/>
  <c r="J10" i="5" s="1"/>
  <c r="J23" i="5" s="1"/>
  <c r="Q9" i="23"/>
  <c r="Q11" i="23" s="1"/>
  <c r="R9" i="23" s="1"/>
  <c r="L33" i="18"/>
  <c r="P11" i="23"/>
  <c r="P10" i="23"/>
  <c r="P8" i="23"/>
  <c r="N15" i="23"/>
  <c r="N13" i="23"/>
  <c r="N14" i="23"/>
  <c r="N12" i="23"/>
  <c r="P9" i="23"/>
  <c r="K109" i="21"/>
  <c r="M60" i="18"/>
  <c r="L8" i="5"/>
  <c r="N7" i="18"/>
  <c r="Q26" i="23"/>
  <c r="R26" i="23" s="1"/>
  <c r="O15" i="23"/>
  <c r="Q12" i="23"/>
  <c r="L63" i="18"/>
  <c r="M27" i="23"/>
  <c r="N27" i="23" s="1"/>
  <c r="N30" i="23" s="1"/>
  <c r="L65" i="18" l="1"/>
  <c r="K111" i="21"/>
  <c r="K112" i="21" s="1"/>
  <c r="K115" i="21" s="1"/>
  <c r="M38" i="18" s="1"/>
  <c r="L23" i="27"/>
  <c r="L25" i="27" s="1"/>
  <c r="L27" i="27" s="1"/>
  <c r="L29" i="27" s="1"/>
  <c r="L33" i="27" s="1"/>
  <c r="R10" i="23"/>
  <c r="R11" i="23"/>
  <c r="R8" i="23"/>
  <c r="P15" i="23"/>
  <c r="P13" i="23"/>
  <c r="P14" i="23"/>
  <c r="P12" i="23"/>
  <c r="N61" i="18"/>
  <c r="S23" i="23"/>
  <c r="N36" i="14"/>
  <c r="L109" i="21" s="1"/>
  <c r="M56" i="18"/>
  <c r="L7" i="5"/>
  <c r="L31" i="5"/>
  <c r="O27" i="23"/>
  <c r="P27" i="23" s="1"/>
  <c r="P30" i="23" s="1"/>
  <c r="Q15" i="23"/>
  <c r="L114" i="21" l="1"/>
  <c r="M5" i="18"/>
  <c r="L111" i="21"/>
  <c r="L112" i="21" s="1"/>
  <c r="M23" i="27"/>
  <c r="M25" i="27" s="1"/>
  <c r="M27" i="27" s="1"/>
  <c r="M4" i="27"/>
  <c r="R15" i="23"/>
  <c r="R13" i="23"/>
  <c r="R14" i="23"/>
  <c r="R12" i="23"/>
  <c r="N60" i="18"/>
  <c r="O60" i="18" s="1"/>
  <c r="K6" i="5"/>
  <c r="M37" i="18"/>
  <c r="M48" i="27" s="1"/>
  <c r="K29" i="5"/>
  <c r="K20" i="5"/>
  <c r="K21" i="5" s="1"/>
  <c r="K43" i="5"/>
  <c r="K44" i="5" s="1"/>
  <c r="S14" i="23"/>
  <c r="Q27" i="23"/>
  <c r="R27" i="23" s="1"/>
  <c r="R30" i="23" s="1"/>
  <c r="K5" i="5" l="1"/>
  <c r="M38" i="27"/>
  <c r="M46" i="27" s="1"/>
  <c r="M68" i="27" s="1"/>
  <c r="P60" i="18"/>
  <c r="P56" i="18" s="1"/>
  <c r="Y14" i="23" s="1"/>
  <c r="O56" i="18"/>
  <c r="W14" i="23" s="1"/>
  <c r="L115" i="21"/>
  <c r="M33" i="18"/>
  <c r="S9" i="23"/>
  <c r="S11" i="23" s="1"/>
  <c r="K28" i="5"/>
  <c r="K33" i="5" s="1"/>
  <c r="K46" i="5" s="1"/>
  <c r="M29" i="27"/>
  <c r="N56" i="18"/>
  <c r="M63" i="18"/>
  <c r="S12" i="23"/>
  <c r="S26" i="23"/>
  <c r="T26" i="23" s="1"/>
  <c r="K10" i="5"/>
  <c r="K23" i="5" s="1"/>
  <c r="N5" i="18" l="1"/>
  <c r="M114" i="21"/>
  <c r="M115" i="21" s="1"/>
  <c r="W26" i="23"/>
  <c r="X26" i="23" s="1"/>
  <c r="Y26" i="23"/>
  <c r="Z26" i="23" s="1"/>
  <c r="M33" i="27"/>
  <c r="N4" i="27"/>
  <c r="N29" i="27" s="1"/>
  <c r="N38" i="18"/>
  <c r="L6" i="5" s="1"/>
  <c r="M65" i="18"/>
  <c r="T11" i="23"/>
  <c r="T10" i="23"/>
  <c r="T8" i="23"/>
  <c r="T9" i="23"/>
  <c r="U14" i="23"/>
  <c r="U26" i="23" s="1"/>
  <c r="V26" i="23" s="1"/>
  <c r="L43" i="5"/>
  <c r="L44" i="5" s="1"/>
  <c r="L20" i="5"/>
  <c r="L21" i="5" s="1"/>
  <c r="S15" i="23"/>
  <c r="L28" i="5" l="1"/>
  <c r="N38" i="27"/>
  <c r="N46" i="27" s="1"/>
  <c r="N68" i="27" s="1"/>
  <c r="L5" i="5"/>
  <c r="L10" i="5" s="1"/>
  <c r="L23" i="5" s="1"/>
  <c r="U9" i="23"/>
  <c r="U11" i="23" s="1"/>
  <c r="V9" i="23" s="1"/>
  <c r="N33" i="18"/>
  <c r="L29" i="5"/>
  <c r="O38" i="18"/>
  <c r="O37" i="18" s="1"/>
  <c r="O48" i="27" s="1"/>
  <c r="N114" i="21"/>
  <c r="N115" i="21" s="1"/>
  <c r="O5" i="18"/>
  <c r="O38" i="27" s="1"/>
  <c r="O46" i="27" s="1"/>
  <c r="O68" i="27" s="1"/>
  <c r="N37" i="18"/>
  <c r="N48" i="27" s="1"/>
  <c r="O4" i="27"/>
  <c r="O29" i="27" s="1"/>
  <c r="O33" i="27" s="1"/>
  <c r="N33" i="27"/>
  <c r="T15" i="23"/>
  <c r="T13" i="23"/>
  <c r="T14" i="23"/>
  <c r="T12" i="23"/>
  <c r="S27" i="23"/>
  <c r="T27" i="23" s="1"/>
  <c r="T30" i="23" s="1"/>
  <c r="L33" i="5" l="1"/>
  <c r="L46" i="5" s="1"/>
  <c r="N63" i="18"/>
  <c r="N65" i="18" s="1"/>
  <c r="U12" i="23"/>
  <c r="U15" i="23" s="1"/>
  <c r="V12" i="23" s="1"/>
  <c r="V10" i="23"/>
  <c r="V11" i="23"/>
  <c r="V8" i="23"/>
  <c r="O33" i="18"/>
  <c r="W9" i="23"/>
  <c r="P5" i="18"/>
  <c r="P38" i="18"/>
  <c r="P37" i="18" s="1"/>
  <c r="O63" i="18"/>
  <c r="W12" i="23"/>
  <c r="P63" i="18" l="1"/>
  <c r="Y12" i="23"/>
  <c r="P33" i="18"/>
  <c r="Y9" i="23"/>
  <c r="W15" i="23"/>
  <c r="W11" i="23"/>
  <c r="X9" i="23" s="1"/>
  <c r="O65" i="18"/>
  <c r="U27" i="23"/>
  <c r="V27" i="23" s="1"/>
  <c r="V30" i="23" s="1"/>
  <c r="V15" i="23"/>
  <c r="V13" i="23"/>
  <c r="V14" i="23"/>
  <c r="P65" i="18" l="1"/>
  <c r="Y11" i="23"/>
  <c r="Z12" i="23" s="1"/>
  <c r="X8" i="23"/>
  <c r="X13" i="23"/>
  <c r="X10" i="23"/>
  <c r="X11" i="23"/>
  <c r="X14" i="23"/>
  <c r="X15" i="23"/>
  <c r="W27" i="23"/>
  <c r="X27" i="23" s="1"/>
  <c r="X30" i="23" s="1"/>
  <c r="Y15" i="23"/>
  <c r="X12" i="23"/>
  <c r="Z10" i="23" l="1"/>
  <c r="Z13" i="23"/>
  <c r="Z11" i="23"/>
  <c r="Z8" i="23"/>
  <c r="Z14" i="23"/>
  <c r="Z9" i="23"/>
  <c r="Z15" i="23"/>
  <c r="Y27" i="23"/>
  <c r="Z27" i="23" s="1"/>
  <c r="Z30" i="23" s="1"/>
</calcChain>
</file>

<file path=xl/sharedStrings.xml><?xml version="1.0" encoding="utf-8"?>
<sst xmlns="http://schemas.openxmlformats.org/spreadsheetml/2006/main" count="1243" uniqueCount="887">
  <si>
    <t>Numero Anni</t>
  </si>
  <si>
    <t>Parametri</t>
  </si>
  <si>
    <t>Imposte</t>
  </si>
  <si>
    <t>Aliquota Iva</t>
  </si>
  <si>
    <t>Sezione Ricavi</t>
  </si>
  <si>
    <t>gg dilazione media clienti</t>
  </si>
  <si>
    <t>Sezione Costi</t>
  </si>
  <si>
    <t>gg media dilazione fornitori materie prime</t>
  </si>
  <si>
    <t>Sezioni Finanziamenti</t>
  </si>
  <si>
    <t>Totale Finanziamenti medio lungo termine</t>
  </si>
  <si>
    <t>Piano ammortamento quota capitale</t>
  </si>
  <si>
    <t>Piano ammortamento oneri finanziari</t>
  </si>
  <si>
    <t>Sezioni Capitale Proprio / Contributi Fondo Perduto</t>
  </si>
  <si>
    <t>Aumento Capitale</t>
  </si>
  <si>
    <t>Contributi Fondo Perduto Impianti</t>
  </si>
  <si>
    <t>Contributi Fondo Perduto Gestione</t>
  </si>
  <si>
    <t>Mutui e Finanziamenti</t>
  </si>
  <si>
    <t>Rimoborso quota capitale</t>
  </si>
  <si>
    <t>oneri finanziari</t>
  </si>
  <si>
    <t>Fondo TFR</t>
  </si>
  <si>
    <t>Altri Fondi</t>
  </si>
  <si>
    <t>Debiti Verso Collegate e Controllate</t>
  </si>
  <si>
    <t>Altri Debiti a m/l termine</t>
  </si>
  <si>
    <t>Enti Previd., Assistenziali, Ritenute personale</t>
  </si>
  <si>
    <t>Debiti tributari</t>
  </si>
  <si>
    <t>Altri debiti</t>
  </si>
  <si>
    <t>Ratei e Risconti Passivi</t>
  </si>
  <si>
    <t xml:space="preserve">       - Crediti v/clienti</t>
  </si>
  <si>
    <t xml:space="preserve">      - Erario c/acc. Imposte e Ritenute</t>
  </si>
  <si>
    <t xml:space="preserve">      - Ratei e Risconti Attivi</t>
  </si>
  <si>
    <t xml:space="preserve">      - Altri Crediti, fatture da emettere, ecc</t>
  </si>
  <si>
    <t>Immobilizzazioni Materiali</t>
  </si>
  <si>
    <t>Investimento Residuo</t>
  </si>
  <si>
    <t>Anni Residui Ammortamento</t>
  </si>
  <si>
    <t>Fabbricati</t>
  </si>
  <si>
    <t>Impianti e Macchinari</t>
  </si>
  <si>
    <t>Attrezzature industriali e commerciali</t>
  </si>
  <si>
    <t>Altri beni</t>
  </si>
  <si>
    <t>Immobilizzazioni Immateriali</t>
  </si>
  <si>
    <t>Costi d'impianto e ampliamento</t>
  </si>
  <si>
    <t>Ricerca&amp; Sviluppo</t>
  </si>
  <si>
    <t>Altre immobilizzazioni immateriali</t>
  </si>
  <si>
    <t>Immobilizzazioni Finanziarie</t>
  </si>
  <si>
    <t>Nuovi Investimenti</t>
  </si>
  <si>
    <t>Aliquota Amm.to</t>
  </si>
  <si>
    <t>Iva</t>
  </si>
  <si>
    <t>Ammortamento Anno 2</t>
  </si>
  <si>
    <t>Ammortamento Anno 3</t>
  </si>
  <si>
    <t>Ammortamento Anno 4</t>
  </si>
  <si>
    <t>Ammortamento Anno 5</t>
  </si>
  <si>
    <t>Ammortamento Anno 6</t>
  </si>
  <si>
    <t>Ammortamento Anno 7</t>
  </si>
  <si>
    <t>Ammortamento Anno 8</t>
  </si>
  <si>
    <t>Ammortamento Anno 9</t>
  </si>
  <si>
    <t>Ammortamento Anno 10</t>
  </si>
  <si>
    <t>Totale Ammortamenti</t>
  </si>
  <si>
    <t>Totale Ammortamenti Materiali</t>
  </si>
  <si>
    <t>Totale Ammortamenti Immateriali</t>
  </si>
  <si>
    <t>LabelIT</t>
  </si>
  <si>
    <t>prefix</t>
  </si>
  <si>
    <t>firstItemRow</t>
  </si>
  <si>
    <t>lastItemRow</t>
  </si>
  <si>
    <t>Name</t>
  </si>
  <si>
    <t>nomeFoglio</t>
  </si>
  <si>
    <t>Stato patrimoniale (schema civilistico)</t>
  </si>
  <si>
    <t>Sp</t>
  </si>
  <si>
    <t>F</t>
  </si>
  <si>
    <t>SP</t>
  </si>
  <si>
    <t>MENU</t>
  </si>
  <si>
    <t>CELLE INPUT</t>
  </si>
  <si>
    <t>formula</t>
  </si>
  <si>
    <t>formula_1</t>
  </si>
  <si>
    <t>livello</t>
  </si>
  <si>
    <t>Label - Standard (en)</t>
  </si>
  <si>
    <t>Stato patrimoniale</t>
  </si>
  <si>
    <t>Balance sheet (mandatory scheme)</t>
  </si>
  <si>
    <t>StatoPatrimoniale</t>
  </si>
  <si>
    <t/>
  </si>
  <si>
    <t>Attivo</t>
  </si>
  <si>
    <t>Assets</t>
  </si>
  <si>
    <t>A) Crediti verso soci per versamenti ancora dovuti</t>
  </si>
  <si>
    <t>A) Receivables from shareholders</t>
  </si>
  <si>
    <t>CreditiVersoSociVersamentiAncoraDovuti</t>
  </si>
  <si>
    <t>Parte richiamata</t>
  </si>
  <si>
    <t>Called</t>
  </si>
  <si>
    <t>CreditiVersoSociVersamentiAncoraDovutiParteRichiamata</t>
  </si>
  <si>
    <t>Parte da richiamare</t>
  </si>
  <si>
    <t>To be called</t>
  </si>
  <si>
    <t>CreditiVersoSociVersamentiAncoraDovutiParteRichiamare</t>
  </si>
  <si>
    <t>Totale crediti verso soci per versamenti ancora dovuti (A)</t>
  </si>
  <si>
    <t>Total receivables from shareholders (A)</t>
  </si>
  <si>
    <t>TotaleCreditiVersoSociVersamentiAncoraDovuti</t>
  </si>
  <si>
    <t>B) Immobilizzazioni</t>
  </si>
  <si>
    <t>B) Fixed assets</t>
  </si>
  <si>
    <t>Immobilizzazioni</t>
  </si>
  <si>
    <t>I - Immobilizzazioni immateriali</t>
  </si>
  <si>
    <t>I - Intangible fixed assets</t>
  </si>
  <si>
    <t>ImmobilizzazioniImmateriali</t>
  </si>
  <si>
    <t>1) costi di impianto e di ampliamento</t>
  </si>
  <si>
    <t>1) start-up and expansion costs</t>
  </si>
  <si>
    <t>ImmobilizzazioniImmaterialiCostiImpiantoAmpliamento</t>
  </si>
  <si>
    <t>2) costi di sviluppo </t>
  </si>
  <si>
    <t>2) research, development and adverstising costs</t>
  </si>
  <si>
    <t>ImmobilizzazioniImmaterialiCostiRicercaSviluppoPubblicita</t>
  </si>
  <si>
    <t>3) diritti di brevetto industriale e diritti di utilizzazione delle opere dell'ingegno</t>
  </si>
  <si>
    <t>3) industrial patents and intellectual property rights</t>
  </si>
  <si>
    <t>ImmobilizzazioniImmaterialiDirittiBrevettoIndustrialeDirittiUtilizzazioneOpereIngegno</t>
  </si>
  <si>
    <t>4) concessioni, licenze, marchi e diritti simili</t>
  </si>
  <si>
    <t>4) concessions, licenses, trademarks and similar rights</t>
  </si>
  <si>
    <t>ImmobilizzazioniImmaterialiConcessioniLicenzeMarchiDirittiSimili</t>
  </si>
  <si>
    <t>5) avviamento</t>
  </si>
  <si>
    <t>5) goodwill</t>
  </si>
  <si>
    <t>ImmobilizzazioniImmaterialiAvviamento</t>
  </si>
  <si>
    <t>6) immobilizzazioni in corso e acconti</t>
  </si>
  <si>
    <t>6) assets in process of formation and advances</t>
  </si>
  <si>
    <t>ImmobilizzazioniImmaterialiImmobilizzazioniCorsoAcconti</t>
  </si>
  <si>
    <t>7) altre.</t>
  </si>
  <si>
    <t>7) other</t>
  </si>
  <si>
    <t>ImmobilizzazioniImmaterialiAltre</t>
  </si>
  <si>
    <t>Totale immobilizzazioni immateriali</t>
  </si>
  <si>
    <t>Total intangible fixed assets</t>
  </si>
  <si>
    <t>TotaleImmobilizzazioniImmateriali</t>
  </si>
  <si>
    <t>II - Immobilizzazioni materiali</t>
  </si>
  <si>
    <t>II - Tangible fixed assets</t>
  </si>
  <si>
    <t>ImmobilizzazioniMateriali</t>
  </si>
  <si>
    <t>1) terreni e fabbricati</t>
  </si>
  <si>
    <t>1) land and buildings</t>
  </si>
  <si>
    <t>ImmobilizzazioniMaterialiTerreniFabbricati</t>
  </si>
  <si>
    <t>2) impianti e macchinario</t>
  </si>
  <si>
    <t>2) plant and machinery</t>
  </si>
  <si>
    <t>ImmobilizzazioniMaterialiImpiantiMacchinario</t>
  </si>
  <si>
    <t>3) attrezzature industriali e commerciali</t>
  </si>
  <si>
    <t>3) industrial and commercial equipment</t>
  </si>
  <si>
    <t>ImmobilizzazioniMaterialiAttrezzatureIndustrialiCommerciali</t>
  </si>
  <si>
    <t>4) altri beni</t>
  </si>
  <si>
    <t>4) other assets</t>
  </si>
  <si>
    <t>ImmobilizzazioniMaterialiAltriBeni</t>
  </si>
  <si>
    <t>5) immobilizzazioni in corso e acconti.</t>
  </si>
  <si>
    <t>5) assets in process of formation and advances</t>
  </si>
  <si>
    <t>ImmobilizzazioniMaterialiImmobilizzazioniCorsoAcconti</t>
  </si>
  <si>
    <t>Totale immobilizzazioni materiali</t>
  </si>
  <si>
    <t>Total tangible fixed assets</t>
  </si>
  <si>
    <t>TotaleImmobilizzazioniMateriali</t>
  </si>
  <si>
    <t>III - Immobilizzazioni finanziarie</t>
  </si>
  <si>
    <t>III - Financial fixed assets</t>
  </si>
  <si>
    <t>ImmobilizzazioniFinanziarie</t>
  </si>
  <si>
    <t>1) partecipazioni in</t>
  </si>
  <si>
    <t>1) equity investments in</t>
  </si>
  <si>
    <t>ImmobilizzazioniFinanziariePartecipazioni</t>
  </si>
  <si>
    <t>a) imprese controllate</t>
  </si>
  <si>
    <t>a) subsidiary companies</t>
  </si>
  <si>
    <t>ImmobilizzazioniFinanziariePartecipazioniImpreseControllate</t>
  </si>
  <si>
    <t>b) imprese collegate</t>
  </si>
  <si>
    <t>b) associated companies</t>
  </si>
  <si>
    <t>ImmobilizzazioniFinanziariePartecipazioniImpreseCollegate</t>
  </si>
  <si>
    <t>c) imprese controllanti</t>
  </si>
  <si>
    <t>c) parent companies</t>
  </si>
  <si>
    <t>ImmobilizzazioniFinanziariePartecipazioniImpreseControllanti</t>
  </si>
  <si>
    <r>
      <t>d) </t>
    </r>
    <r>
      <rPr>
        <sz val="10"/>
        <color rgb="FFFF0000"/>
        <rFont val="Verdana"/>
        <family val="2"/>
      </rPr>
      <t>verso imprese sottoposte al controllo delle controllanti</t>
    </r>
  </si>
  <si>
    <r>
      <t xml:space="preserve"> d-</t>
    </r>
    <r>
      <rPr>
        <sz val="10"/>
        <color rgb="FFFF0000"/>
        <rFont val="Verdana"/>
        <family val="2"/>
      </rPr>
      <t>bis) altre imprese</t>
    </r>
  </si>
  <si>
    <t>d) third parties</t>
  </si>
  <si>
    <t>ImmobilizzazioniFinanziariePartecipazioniAltreImprese</t>
  </si>
  <si>
    <t>Totale partecipazioni</t>
  </si>
  <si>
    <t>Total equity investments</t>
  </si>
  <si>
    <t>ImmobilizzazioniFinanziariePartecipazioniTotalePartecipazioni</t>
  </si>
  <si>
    <t>2) crediti</t>
  </si>
  <si>
    <t>2) receivables due from</t>
  </si>
  <si>
    <t>ImmobilizzazioniFinanziarieCrediti</t>
  </si>
  <si>
    <t>a) verso imprese controllate</t>
  </si>
  <si>
    <t>ImmobilizzazioniFinanziarieCreditiVersoImpreseControllate</t>
  </si>
  <si>
    <t>esigibili entro l'esercizio successivo</t>
  </si>
  <si>
    <t>due within the following year</t>
  </si>
  <si>
    <t>ImmobilizzazioniFinanziarieCreditiVersoImpreseControllateEsigibiliEntroEsercizioSuccessivo</t>
  </si>
  <si>
    <t>esigibili oltre l'esercizio successivo</t>
  </si>
  <si>
    <t>due beyond the following year</t>
  </si>
  <si>
    <t>ImmobilizzazioniFinanziarieCreditiVersoImpreseControllateEsigibiliOltreEsercizioSuccessivo</t>
  </si>
  <si>
    <t>Totale crediti verso imprese controllate</t>
  </si>
  <si>
    <t>Total receivables due from subsidiary companies</t>
  </si>
  <si>
    <t>ImmobilizzazioniFinanziarieCreditiVersoImpreseControllateTotaleCreditiVersoImpreseControllate</t>
  </si>
  <si>
    <t>b) verso imprese collegate</t>
  </si>
  <si>
    <t>ImmobilizzazioniFinanziarieCreditiVersoImpreseCollegate</t>
  </si>
  <si>
    <t>ImmobilizzazioniFinanziarieCreditiVersoImpreseCollegateEsigibiliEntroEsercizioSuccessivo</t>
  </si>
  <si>
    <t>ImmobilizzazioniFinanziarieCreditiVersoImpreseCollegateEsigibiliOltreEsercizioSuccessivo</t>
  </si>
  <si>
    <t>Totale crediti verso imprese collegate</t>
  </si>
  <si>
    <t>Total receivables due from associated companies</t>
  </si>
  <si>
    <t>ImmobilizzazioniFinanziarieCreditiVersoImpreseCollegateTotaleCreditiVersoImpreseCollegate</t>
  </si>
  <si>
    <t>c) verso controllanti</t>
  </si>
  <si>
    <t>ImmobilizzazioniFinanziarieCreditiVersoControllanti</t>
  </si>
  <si>
    <t>ImmobilizzazioniFinanziarieCreditiVersoControllantiEsigibiliEntroEsercizioSuccessivo</t>
  </si>
  <si>
    <t>ImmobilizzazioniFinanziarieCreditiVersoControllantiEsigibiliOltreEsercizioSuccessivo</t>
  </si>
  <si>
    <t>Totale crediti verso controllanti</t>
  </si>
  <si>
    <t>Total receivables due from parent companies</t>
  </si>
  <si>
    <t>ImmobilizzazioniFinanziarieCreditiVersoControllantiTotaleCreditiVersoControllanti</t>
  </si>
  <si>
    <t>ImmobilizzazioniFinanziarieCreditiVersoAltri</t>
  </si>
  <si>
    <t>ImmobilizzazioniFinanziarieCreditiVersoAltriEsigibiliEntroEsercizioSuccessivo</t>
  </si>
  <si>
    <t>ImmobilizzazioniFinanziarieCreditiVersoAltriEsigibiliOltreEsercizioSuccessivo</t>
  </si>
  <si>
    <t>Totale crediti verso imprese sottoposte al controllo delle controllanti</t>
  </si>
  <si>
    <t>Total receivables due from third parties</t>
  </si>
  <si>
    <t>ImmobilizzazioniFinanziarieCreditiVersoAltriTotaleCreditiVersoAltri</t>
  </si>
  <si>
    <r>
      <t>d-</t>
    </r>
    <r>
      <rPr>
        <sz val="10"/>
        <color rgb="FFFF0000"/>
        <rFont val="Verdana"/>
        <family val="2"/>
      </rPr>
      <t>bis</t>
    </r>
    <r>
      <rPr>
        <sz val="10"/>
        <color rgb="FF000000"/>
        <rFont val="Verdana"/>
        <family val="2"/>
      </rPr>
      <t>) verso altri</t>
    </r>
  </si>
  <si>
    <t>Totale crediti verso altri</t>
  </si>
  <si>
    <t>Totale crediti</t>
  </si>
  <si>
    <t>Total receivables</t>
  </si>
  <si>
    <t>ImmobilizzazioniFinanziarieCreditiTotaleCrediti</t>
  </si>
  <si>
    <t>3) altri titoli</t>
  </si>
  <si>
    <t>3) other securities</t>
  </si>
  <si>
    <t>ImmobilizzazioniFinanziarieAltriTitoli</t>
  </si>
  <si>
    <r>
      <t>4) </t>
    </r>
    <r>
      <rPr>
        <sz val="10"/>
        <color rgb="FFFF0000"/>
        <rFont val="Verdana"/>
        <family val="2"/>
      </rPr>
      <t>strumenti finanziari derivati attivi.</t>
    </r>
  </si>
  <si>
    <t>4) own shares</t>
  </si>
  <si>
    <t>ImmobilizzazioniFinanziarieAzioniProprie</t>
  </si>
  <si>
    <t>Totale immobilizzazioni finanziarie</t>
  </si>
  <si>
    <t>Total financial fixed assets</t>
  </si>
  <si>
    <t>TotaleImmobilizzazioniFinanziarie</t>
  </si>
  <si>
    <t>Totale immobilizzazioni (B)</t>
  </si>
  <si>
    <t>Total fixed assets (B)</t>
  </si>
  <si>
    <t>TotaleImmobilizzazioni</t>
  </si>
  <si>
    <t>C) Attivo circolante</t>
  </si>
  <si>
    <t>C) Current assets</t>
  </si>
  <si>
    <t>AttivoCircolante</t>
  </si>
  <si>
    <t>I - Rimanenze</t>
  </si>
  <si>
    <t>I - Inventories</t>
  </si>
  <si>
    <t>Rimanenze</t>
  </si>
  <si>
    <t>1) materie prime, sussidiarie e di consumo</t>
  </si>
  <si>
    <t>1) raw, ancillary and consumable materials</t>
  </si>
  <si>
    <t>RimanenzeMateriePrimeSussidiarieConsumo</t>
  </si>
  <si>
    <t>2) prodotti in corso di lavorazione e semilavorati</t>
  </si>
  <si>
    <t>2) work in progress and semi-finished products</t>
  </si>
  <si>
    <t>RimanenzeProdottiCorsoLavorazioneSemilavorati</t>
  </si>
  <si>
    <t>3) lavori in corso su ordinazione</t>
  </si>
  <si>
    <t>3) contract work in progress</t>
  </si>
  <si>
    <t>RimanenzeLavoriCorsoOrdinazione</t>
  </si>
  <si>
    <t>4) prodotti finiti e merci</t>
  </si>
  <si>
    <t>4) finished products and goods for resale</t>
  </si>
  <si>
    <t>RimanenzeProdottiFinitiMerci</t>
  </si>
  <si>
    <t>5) acconti</t>
  </si>
  <si>
    <t>5) advances</t>
  </si>
  <si>
    <t>RimanenzeAcconti</t>
  </si>
  <si>
    <t>Totale rimanenze</t>
  </si>
  <si>
    <t>Total inventories</t>
  </si>
  <si>
    <t>TotaleRimanenze</t>
  </si>
  <si>
    <t>II - Crediti</t>
  </si>
  <si>
    <t>II - Receivables</t>
  </si>
  <si>
    <t>Crediti</t>
  </si>
  <si>
    <t>1) verso clienti</t>
  </si>
  <si>
    <t>1) trade accounts</t>
  </si>
  <si>
    <t>CreditiVersoClienti</t>
  </si>
  <si>
    <t>CreditiVersoClientiEsigibiliEntroEsercizioSuccessivo</t>
  </si>
  <si>
    <t>CreditiVersoClientiEsigibiliOltreEsercizioSuccessivo</t>
  </si>
  <si>
    <t>Totale crediti verso clienti</t>
  </si>
  <si>
    <t>Total trade accounts</t>
  </si>
  <si>
    <t>CreditiVersoClientiTotaleCreditiVersoClienti</t>
  </si>
  <si>
    <t>2) verso imprese controllate</t>
  </si>
  <si>
    <t>2) due from subsidiary companies</t>
  </si>
  <si>
    <t>CreditiVersoImpreseControllate</t>
  </si>
  <si>
    <t>CreditiVersoImpreseControllateEsigibiliEntroEsercizioSuccessivo</t>
  </si>
  <si>
    <t>CreditiVersoImpreseControllateEsigibiliOltreEsercizioSuccessivo</t>
  </si>
  <si>
    <t>CreditiVersoImpreseControllateTotaleCreditiVersoImpreseControllate</t>
  </si>
  <si>
    <t>3) verso imprese collegate</t>
  </si>
  <si>
    <t>3) due from associated companies</t>
  </si>
  <si>
    <t>CreditiVersoImpreseCollegate</t>
  </si>
  <si>
    <t>CreditiVersoImpreseCollegateEsigibiliEntroEsercizioSuccessivo</t>
  </si>
  <si>
    <t>CreditiVersoImpreseCollegateEsigibiliOltreEsercizioSuccessivo</t>
  </si>
  <si>
    <t>CreditiVersoImpreseCollegateTotaleCreditiVersoImpreseCollegate</t>
  </si>
  <si>
    <t>4) verso controllanti</t>
  </si>
  <si>
    <t>4) due from parent companies</t>
  </si>
  <si>
    <t>CreditiVersoControllanti</t>
  </si>
  <si>
    <t>CreditiVersoControllantiEsigibiliEntroEsercizioSuccessivo</t>
  </si>
  <si>
    <t>CreditiVersoControllantiEsigibiliOltreEsercizioSuccessivo</t>
  </si>
  <si>
    <t>CreditiVersoControllantiTotaleCreditiVersoControllanti</t>
  </si>
  <si>
    <t>5) verso imprese sottoposte al controllo di controllanti</t>
  </si>
  <si>
    <r>
      <rPr>
        <sz val="8"/>
        <color rgb="FFFF0000"/>
        <rFont val="Arial"/>
        <family val="2"/>
      </rPr>
      <t>5-bis)</t>
    </r>
    <r>
      <rPr>
        <sz val="8"/>
        <rFont val="Arial"/>
        <family val="2"/>
      </rPr>
      <t xml:space="preserve"> crediti tributari</t>
    </r>
  </si>
  <si>
    <t>4-bis) due from tax authorities</t>
  </si>
  <si>
    <t>CreditiCreditiTributari</t>
  </si>
  <si>
    <t>CreditiCreditiTributariEsigibiliEntroEsercizioSuccessivo</t>
  </si>
  <si>
    <t>CreditiCreditiTributariEsigibiliOltreEsercizioSuccessivo</t>
  </si>
  <si>
    <t>Totale crediti tributari</t>
  </si>
  <si>
    <t>Total receivables due from tax authorities</t>
  </si>
  <si>
    <t>CreditiCreditiTributariTotaleCreditiTributari</t>
  </si>
  <si>
    <r>
      <rPr>
        <sz val="8"/>
        <color rgb="FFFF0000"/>
        <rFont val="Arial"/>
        <family val="2"/>
      </rPr>
      <t xml:space="preserve">5-ter) </t>
    </r>
    <r>
      <rPr>
        <sz val="8"/>
        <rFont val="Arial"/>
        <family val="2"/>
      </rPr>
      <t>imposte anticipate</t>
    </r>
  </si>
  <si>
    <t>4-ter) advances on tax payments</t>
  </si>
  <si>
    <t>CreditiImposteAnticipate</t>
  </si>
  <si>
    <t>CreditiImposteAnticipateEsigibiliEntroEsercizioSuccessivo</t>
  </si>
  <si>
    <t>CreditiImposteAnticipateEsigibiliOltreEsercizioSuccessivo</t>
  </si>
  <si>
    <t>Totale imposte anticipate</t>
  </si>
  <si>
    <t>Total advances on tax payments</t>
  </si>
  <si>
    <t>CreditiImposteAnticipateTotaleImposteAnticipate</t>
  </si>
  <si>
    <r>
      <rPr>
        <sz val="8"/>
        <color rgb="FFFF0000"/>
        <rFont val="Arial"/>
        <family val="2"/>
      </rPr>
      <t>5 quater)</t>
    </r>
    <r>
      <rPr>
        <sz val="8"/>
        <rFont val="Arial"/>
        <family val="2"/>
      </rPr>
      <t xml:space="preserve"> verso altri</t>
    </r>
  </si>
  <si>
    <t>5) due from third parties</t>
  </si>
  <si>
    <t>CreditiVersoAltri</t>
  </si>
  <si>
    <t>CreditiVersoAltriEsigibiliEntroEsercizioSuccessivo</t>
  </si>
  <si>
    <t>CreditiVersoAltriEsigibiliOltreEsercizioSuccessivo</t>
  </si>
  <si>
    <t>CreditiVersoAltriTotaleCreditiVersoAltri</t>
  </si>
  <si>
    <t>TotaleCrediti</t>
  </si>
  <si>
    <t>III - Attività finanziarie che non costituiscono immobilizzazioni</t>
  </si>
  <si>
    <t>III - Current financial assets</t>
  </si>
  <si>
    <t>AttivitaFinanziarieNonCostituisconoImmobilizzazioni</t>
  </si>
  <si>
    <t>1) partecipazioni in imprese controllate</t>
  </si>
  <si>
    <t>1) investments in subsidiary companies</t>
  </si>
  <si>
    <t>AttivitaFinanziarieNonCostituisconoImmobilizzazioniPartecipazioniImpreseControllate</t>
  </si>
  <si>
    <t>2) partecipazioni in imprese collegate</t>
  </si>
  <si>
    <t>2) investments in associated companies</t>
  </si>
  <si>
    <t>AttivitaFinanziarieNonCostituisconoImmobilizzazioniPartecipazioniImpreseCollegate</t>
  </si>
  <si>
    <t>3) partecipazioni in imprese controllanti</t>
  </si>
  <si>
    <t>3) investments in parent companies</t>
  </si>
  <si>
    <t>AttivitaFinanziarieNonCostituisconoImmobilizzazioniPartecipazioniImpreseControllanti</t>
  </si>
  <si>
    <t>3-bis) partecipazioni in imprese sottoposte al controllo di controllanti</t>
  </si>
  <si>
    <t>4) altre partecipazioni</t>
  </si>
  <si>
    <t>4) investments in other companies</t>
  </si>
  <si>
    <t>AttivitaFinanziarieNonCostituisconoImmobilizzazioniAltrePartecipazioni</t>
  </si>
  <si>
    <r>
      <t xml:space="preserve">5) </t>
    </r>
    <r>
      <rPr>
        <sz val="8"/>
        <color rgb="FFFF0000"/>
        <rFont val="Arial"/>
        <family val="2"/>
      </rPr>
      <t>strumenti finanziari derivati attivi</t>
    </r>
  </si>
  <si>
    <t>5) own shares</t>
  </si>
  <si>
    <t>AttivitaFinanziarieNonCostituisconoImmobilizzazioniAzioniProprie</t>
  </si>
  <si>
    <t>6) altri titoli.</t>
  </si>
  <si>
    <t>6) other securities</t>
  </si>
  <si>
    <t>AttivitaFinanziarieNonCostituisconoImmobilizzazioniAltriTitoli</t>
  </si>
  <si>
    <t>Totale attività finanziarie che non costituiscono immobilizzazioni</t>
  </si>
  <si>
    <t>Total financial current assets</t>
  </si>
  <si>
    <t>TotaleAttivitaFinanziarieNonCostituisconoImmobilizzazioni</t>
  </si>
  <si>
    <t>IV - Disponibilità liquide</t>
  </si>
  <si>
    <t>IV - Liquid funds</t>
  </si>
  <si>
    <t>DisponibilitaLiquide</t>
  </si>
  <si>
    <t>1) depositi bancari e postali</t>
  </si>
  <si>
    <t>1) bank and post office deposits</t>
  </si>
  <si>
    <t>DisponibilitaLiquideDepositiBancariPostali</t>
  </si>
  <si>
    <t>2) assegni</t>
  </si>
  <si>
    <t>2) cheques</t>
  </si>
  <si>
    <t>DisponibilitaLiquideAssegni</t>
  </si>
  <si>
    <t>3) danaro e valori in cassa.</t>
  </si>
  <si>
    <t>3) cash and equivalents on hand</t>
  </si>
  <si>
    <t>DisponibilitaLiquideDanaroValoriCassa</t>
  </si>
  <si>
    <t>Totale disponibilità liquide</t>
  </si>
  <si>
    <t>Total liquid funds</t>
  </si>
  <si>
    <t>TotaleDisponibilitaLiquide</t>
  </si>
  <si>
    <t>Totale attivo circolante (C)</t>
  </si>
  <si>
    <t>Total current assets (C)</t>
  </si>
  <si>
    <t>TotaleAttivoCircolante</t>
  </si>
  <si>
    <t>D) Ratei e risconti</t>
  </si>
  <si>
    <t>D) Accrued income and prepayments</t>
  </si>
  <si>
    <t>AttivoRateiRisconti</t>
  </si>
  <si>
    <t>Ratei e risconti attivi</t>
  </si>
  <si>
    <t>accrued income and prepayments</t>
  </si>
  <si>
    <t>AttivoRateiRiscontiRateiRiscontiAttivi</t>
  </si>
  <si>
    <t>Disaggio su prestiti emessi</t>
  </si>
  <si>
    <t>amortisable discount on issued debt</t>
  </si>
  <si>
    <t>AttivoRateiRiscontiDisaggioPrestitiEmessi</t>
  </si>
  <si>
    <t>Totale ratei e risconti (D)</t>
  </si>
  <si>
    <t>Total accrued income and prepayments (D)</t>
  </si>
  <si>
    <t>AttivoRateiRiscontiTotaleRateiRisconti</t>
  </si>
  <si>
    <t>Totale attivo</t>
  </si>
  <si>
    <t>Total assets</t>
  </si>
  <si>
    <t>TotaleAttivo</t>
  </si>
  <si>
    <t>Passivo</t>
  </si>
  <si>
    <t>Liabilities and shareholders' equity</t>
  </si>
  <si>
    <t>A) Patrimonio netto</t>
  </si>
  <si>
    <t>A) Shareholders' equity</t>
  </si>
  <si>
    <t>PatrimonioNetto</t>
  </si>
  <si>
    <t>I - Capitale.</t>
  </si>
  <si>
    <t>I - Share capital</t>
  </si>
  <si>
    <t>PatrimonioNettoCapitale</t>
  </si>
  <si>
    <t>II - Riserva da soprapprezzo delle azioni.</t>
  </si>
  <si>
    <t>II - Share premium reserve</t>
  </si>
  <si>
    <t>PatrimonioNettoRiservaSoprapprezzoAzioni</t>
  </si>
  <si>
    <t>III - Riserve di rivalutazione.</t>
  </si>
  <si>
    <t>III - Revaluation reserves</t>
  </si>
  <si>
    <t>PatrimonioNettoRiserveRivalutazione</t>
  </si>
  <si>
    <t>IV - Riserva legale.</t>
  </si>
  <si>
    <t>IV - Legal reserve</t>
  </si>
  <si>
    <t>PatrimonioNettoRiservaLegale</t>
  </si>
  <si>
    <t>V - Riserve statutarie</t>
  </si>
  <si>
    <t>V - Reserve for own shares in portfolio</t>
  </si>
  <si>
    <t>PatrimonioNettoRiserveStatutarie</t>
  </si>
  <si>
    <r>
      <rPr>
        <sz val="9"/>
        <color rgb="FFFF0000"/>
        <rFont val="Arial"/>
        <family val="2"/>
      </rPr>
      <t>VI</t>
    </r>
    <r>
      <rPr>
        <sz val="9"/>
        <rFont val="Arial"/>
        <family val="2"/>
      </rPr>
      <t xml:space="preserve"> - Altre riserve, distintamente indicate.</t>
    </r>
  </si>
  <si>
    <t>VII - Other reserves</t>
  </si>
  <si>
    <t>PatrimonioNettoAltreRiserveDistintamenteIndicate</t>
  </si>
  <si>
    <t>Riserva straordinaria o facoltativa</t>
  </si>
  <si>
    <t>Special reserve</t>
  </si>
  <si>
    <t>PatrimonioNettoAltreRiserveDistintamenteIndicateRiservaStraordinariaFacoltativa</t>
  </si>
  <si>
    <t>Riserva per rinnovamento impianti e macchinari</t>
  </si>
  <si>
    <t>Plant and equipment renewal reserve</t>
  </si>
  <si>
    <t>PatrimonioNettoAltreRiserveDistintamenteIndicateRiservaRinnovamentoImpiantiMacchinari</t>
  </si>
  <si>
    <t>Riserva ammortamento anticipato</t>
  </si>
  <si>
    <t>Advance depreciation/amortization reserve</t>
  </si>
  <si>
    <t>PatrimonioNettoAltreRiserveDistintamenteIndicateRiservaAmmortamentoAnticipato</t>
  </si>
  <si>
    <t>Riserva per acquisto azioni proprie.</t>
  </si>
  <si>
    <t>Reserve for the purchase of own shares</t>
  </si>
  <si>
    <t>PatrimonioNettoAltreRiserveDistintamenteIndicateRiservaAcquistoAzioniProprie</t>
  </si>
  <si>
    <t>Riserva da deroghe ex art. 2423 Cod. Civ</t>
  </si>
  <si>
    <t>Reserve related to exemption as per art. 2423 of the Civil Code</t>
  </si>
  <si>
    <t>PatrimonioNettoAltreRiserveDistintamenteIndicateRiservaDerogheExArt2423CodCiv</t>
  </si>
  <si>
    <t>Riserva azioni (quote) della società controllante</t>
  </si>
  <si>
    <t>Shares reserve of the parent entity</t>
  </si>
  <si>
    <t>PatrimonioNettoAltreRiserveDistintamenteIndicateRiservaAzioniQuoteSocietaControllante</t>
  </si>
  <si>
    <t>Riserva non distribuibile da rivalutazione delle partecipazioni</t>
  </si>
  <si>
    <t>Non distributable revaluation reserve</t>
  </si>
  <si>
    <t>PatrimonioNettoAltreRiserveDistintamenteIndicateRiservaNonDistribuibileRivalutazionePartecipazioni</t>
  </si>
  <si>
    <t>Versamenti in conto aumento di capitale</t>
  </si>
  <si>
    <t>Contributions for capital increase</t>
  </si>
  <si>
    <t>PatrimonioNettoAltreRiserveDistintamenteIndicateVersamentiContoAumentoCapitale</t>
  </si>
  <si>
    <t>Versamenti in conto futuro aumento di capitale</t>
  </si>
  <si>
    <t>Contributions for future capital increase</t>
  </si>
  <si>
    <t>PatrimonioNettoAltreRiserveDistintamenteIndicateVersamentiContoFuturoAumentoCapitale</t>
  </si>
  <si>
    <t>Versamenti in conto capitale</t>
  </si>
  <si>
    <t>PatrimonioNettoAltreRiserveDistintamenteIndicateVersamentiContoCapitale</t>
  </si>
  <si>
    <t>Versamenti a copertura perdite</t>
  </si>
  <si>
    <t>PatrimonioNettoAltreRiserveDistintamenteIndicateVersamentiCoperturaPerdite</t>
  </si>
  <si>
    <t>Riserva da riduzione capitale sociale</t>
  </si>
  <si>
    <t>Capital reduction reserve</t>
  </si>
  <si>
    <t>PatrimonioNettoAltreRiserveDistintamenteIndicateRiservaRiduzioneCapitaleSociale</t>
  </si>
  <si>
    <t>Riserva avanzo di fusione</t>
  </si>
  <si>
    <t>Merger surplus reserve</t>
  </si>
  <si>
    <t>PatrimonioNettoAltreRiserveDistintamenteIndicateRiservaAvanzoFusione</t>
  </si>
  <si>
    <t>Riserva per utili su cambi</t>
  </si>
  <si>
    <t>Reserve for returns on exchange rate</t>
  </si>
  <si>
    <t>PatrimonioNettoAltreRiserveDistintamenteIndicateRiservaUtiliCambi</t>
  </si>
  <si>
    <t>Differences arising from rounding to the Euro unit</t>
  </si>
  <si>
    <t>PatrimonioNettoAltreRiserveDistintamenteIndicateDifferenzaArrotondamentoUnitaEuro</t>
  </si>
  <si>
    <t>Riserve da condono fiscale:</t>
  </si>
  <si>
    <t>Reserve from tax amnesty</t>
  </si>
  <si>
    <t>PatrimonioNettoAltreRiserveDistintamenteIndicateRiserveCondonoFiscale</t>
  </si>
  <si>
    <t>Riserva da condono ex L. 19 dicembre 1973, n. 823;</t>
  </si>
  <si>
    <t>Reserve from tax amnesty as per Law 823 of 19 December 1973;</t>
  </si>
  <si>
    <t>PatrimonioNettoAltreRiserveDistintamenteIndicateRiserveCondonoFiscaleRiservaCondonoExL19Dicembre1973N823</t>
  </si>
  <si>
    <t>Riserva da condono ex L. 7 agosto 1982, n. 516;</t>
  </si>
  <si>
    <t>Reserve from tax amnesty as per Law 516 of 7 August 1982;</t>
  </si>
  <si>
    <t>PatrimonioNettoAltreRiserveDistintamenteIndicateRiserveCondonoFiscaleRiservaCondonoExL7Agosto1982N516</t>
  </si>
  <si>
    <t>Riserva da condono ex L. 30 dicembre 1991, n. 413.</t>
  </si>
  <si>
    <t>Reserve from tax amnesty as per Law 413 of 30 December 1991;</t>
  </si>
  <si>
    <t>PatrimonioNettoAltreRiserveDistintamenteIndicateRiserveCondonoFiscaleRiservaCondonoExL30Dicembre1991N413</t>
  </si>
  <si>
    <t>Riserva da condono ex L. 27 dicembre 2002, n. 289.</t>
  </si>
  <si>
    <t>PatrimonioNettoAltreRiserveDistintamenteIndicateRiserveCondonoFiscaleRiservaCondonoExL27Dicembre2002N289</t>
  </si>
  <si>
    <t>Totale riserve da condono fiscale</t>
  </si>
  <si>
    <t>Total reserves from tax amnesty</t>
  </si>
  <si>
    <t>PatrimonioNettoAltreRiserveDistintamenteIndicateRiserveCondonoFiscaleTotaleRiserveCondonoFiscale</t>
  </si>
  <si>
    <t>VII - Riserva per operazioni di copertura dei flussi finanziari attesi</t>
  </si>
  <si>
    <t>Miscellaneous other reserves</t>
  </si>
  <si>
    <t>PatrimonioNettoAltreRiserveDistintamenteIndicateVarieAltreRiserve</t>
  </si>
  <si>
    <t>Totale altre riserve</t>
  </si>
  <si>
    <t>Total other reserves</t>
  </si>
  <si>
    <t>PatrimonioNettoAltreRiserveDistintamenteIndicateTotaleAltreRiserve</t>
  </si>
  <si>
    <t>VIII - Utili (perdite) portati a nuovo.</t>
  </si>
  <si>
    <t>VIII - Retained earnings (accumulated losses)</t>
  </si>
  <si>
    <t>PatrimonioNettoUtiliPerditePortatiNuovo</t>
  </si>
  <si>
    <t>IX - Utile (perdita) dell'esercizio.</t>
  </si>
  <si>
    <t>IX - Net profit (loss) for the year</t>
  </si>
  <si>
    <t>PatrimonioNettoUtilePerditaEsercizio</t>
  </si>
  <si>
    <t>Utile (perdita) dell'esercizio.</t>
  </si>
  <si>
    <t>Net profit (loss) for the year</t>
  </si>
  <si>
    <t>PatrimonioNettoUtilePerditaEsercizioUtilePerditaEsercizio</t>
  </si>
  <si>
    <t>Acconti su dividendi</t>
  </si>
  <si>
    <t>Accounts on dividends</t>
  </si>
  <si>
    <t>PatrimonioNettoUtilePerditaEsercizioAccontiDividendi</t>
  </si>
  <si>
    <t>Copertura parziale perdita d'esercizio</t>
  </si>
  <si>
    <t>Partial coverage of losses for the period</t>
  </si>
  <si>
    <t>PatrimonioNettoUtilePerditaEsercizioCoperturaParzialePerditaEsercizio</t>
  </si>
  <si>
    <t>Utile (perdita) residua</t>
  </si>
  <si>
    <t>Residual net profit (loss) for the year</t>
  </si>
  <si>
    <t>PatrimonioNettoUtilePerditaEsercizioUtilePerditaResidua</t>
  </si>
  <si>
    <t>X - Riserva negativa per azioni proprie in portafoglio</t>
  </si>
  <si>
    <t>Totale patrimonio netto</t>
  </si>
  <si>
    <t>Total shareholders' equity</t>
  </si>
  <si>
    <t>TotalePatrimonioNetto</t>
  </si>
  <si>
    <t>B) Fondi per rischi e oneri</t>
  </si>
  <si>
    <t>B) Reserves for contingencies and other charges</t>
  </si>
  <si>
    <t>FondiRischiOneri</t>
  </si>
  <si>
    <t>1) per trattamento di quiescenza e obblighi simili</t>
  </si>
  <si>
    <t>1) pension and similar commitments</t>
  </si>
  <si>
    <t>FondiRischiOneriTrattamentoQuiescenzaObblighiSimili</t>
  </si>
  <si>
    <t>2) per imposte, anche differite</t>
  </si>
  <si>
    <t>2) taxation</t>
  </si>
  <si>
    <t>FondiRischiOneriImposteAncheDifferite</t>
  </si>
  <si>
    <t>3) strumenti finanziari derivati passivi</t>
  </si>
  <si>
    <r>
      <rPr>
        <sz val="9"/>
        <color rgb="FFFF0000"/>
        <rFont val="Arial"/>
        <family val="2"/>
      </rPr>
      <t>4</t>
    </r>
    <r>
      <rPr>
        <sz val="9"/>
        <rFont val="Arial"/>
        <family val="2"/>
      </rPr>
      <t>) altri</t>
    </r>
  </si>
  <si>
    <t>3) other</t>
  </si>
  <si>
    <t>FondiRischiOneriAltri</t>
  </si>
  <si>
    <t>Totale fondi per rischi ed oneri</t>
  </si>
  <si>
    <t xml:space="preserve">Total reserves for contingencies and other charges </t>
  </si>
  <si>
    <t>TotaleFondiRischiOneri</t>
  </si>
  <si>
    <t>C) Trattamento di fine rapporto di lavoro subordinato.</t>
  </si>
  <si>
    <t>C) Reserve for severance indemnities (TFR)</t>
  </si>
  <si>
    <t>TrattamentoFineRapportoLavoroSubordinato</t>
  </si>
  <si>
    <t>D) Debiti</t>
  </si>
  <si>
    <t>D) Payables</t>
  </si>
  <si>
    <t>Debiti</t>
  </si>
  <si>
    <t>1) obbligazioni</t>
  </si>
  <si>
    <t>1) bonds</t>
  </si>
  <si>
    <t>DebitiObbligazioni</t>
  </si>
  <si>
    <t>DebitiObbligazioniEsigibiliEntroEsercizioSuccessivo</t>
  </si>
  <si>
    <t>DebitiObbligazioniEsigibiliOltreEsercizioSuccessivo</t>
  </si>
  <si>
    <t>Totale obbligazioni</t>
  </si>
  <si>
    <t>Total bonds</t>
  </si>
  <si>
    <t>DebitiObbligazioniTotaleObbligazioni</t>
  </si>
  <si>
    <t>2) obbligazioni convertibili</t>
  </si>
  <si>
    <t>2) convertible bonds</t>
  </si>
  <si>
    <t>DebitiObbligazioniConvertibili</t>
  </si>
  <si>
    <t>DebitiObbligazioniConvertibiliEsigibiliEntroEsercizioSuccessivo</t>
  </si>
  <si>
    <t>DebitiObbligazioniConvertibiliEsigibiliOltreEsercizioSuccessivo</t>
  </si>
  <si>
    <t>Totale obbligazioni convertibili</t>
  </si>
  <si>
    <t>Total convertible bonds</t>
  </si>
  <si>
    <t>DebitiObbligazioniConvertibiliTotaleObbligazioniConvertibili</t>
  </si>
  <si>
    <t>3) debiti verso soci per finanziamenti</t>
  </si>
  <si>
    <t>3) due to partners for financing</t>
  </si>
  <si>
    <t>DebitiDebitiVersoSociFinanziamenti</t>
  </si>
  <si>
    <t>DebitiDebitiVersoSociFinanziamentiEsigibiliEntroEsercizioSuccessivo</t>
  </si>
  <si>
    <t>DebitiDebitiVersoSociFinanziamentiEsigibiliOltreEsercizioSuccessivo</t>
  </si>
  <si>
    <t>Totale debiti verso soci per finanziamenti</t>
  </si>
  <si>
    <t>Total payables due to partners for financing</t>
  </si>
  <si>
    <t>DebitiDebitiVersoSociFinanziamentiTotaleDebitiVersoSociFinanziamenti</t>
  </si>
  <si>
    <t>4) debiti verso banche</t>
  </si>
  <si>
    <t>4) due to banks</t>
  </si>
  <si>
    <t>DebitiDebitiVersoBanche</t>
  </si>
  <si>
    <t>DebitiDebitiVersoBancheEsigibiliEntroEsercizioSuccessivo</t>
  </si>
  <si>
    <t>DebitiDebitiVersoBancheEsigibiliOltreEsercizioSuccessivo</t>
  </si>
  <si>
    <t>Totale debiti verso banche</t>
  </si>
  <si>
    <t>Total payables due to banks</t>
  </si>
  <si>
    <t>DebitiDebitiVersoBancheTotaleDebitiVersoBanche</t>
  </si>
  <si>
    <t>5) debiti verso altri finanziatori</t>
  </si>
  <si>
    <t>5) due to other providers of finance</t>
  </si>
  <si>
    <t>DebitiDebitiVersoAltriFinanziatori</t>
  </si>
  <si>
    <t>DebitiDebitiVersoAltriFinanziatoriEsigibiliEntroEsercizioSuccessivo</t>
  </si>
  <si>
    <t>DebitiDebitiVersoAltriFinanziatoriEsigibiliOltreEsercizioSuccessivo</t>
  </si>
  <si>
    <t>Totale debiti verso altri finanziatori</t>
  </si>
  <si>
    <t>Total payables due to other providers of finance</t>
  </si>
  <si>
    <t>DebitiDebitiVersoAltriFinanziatoriTotaleDebitiVersoAltriFinanziatori</t>
  </si>
  <si>
    <t>6) acconti</t>
  </si>
  <si>
    <t>6) advances</t>
  </si>
  <si>
    <t>DebitiAcconti</t>
  </si>
  <si>
    <t>DebitiAccontiEsigibiliEntroEsercizioSuccessivo</t>
  </si>
  <si>
    <t>DebitiAccontiEsigibiliOltreEsercizioSuccessivo</t>
  </si>
  <si>
    <t>Totale  acconti</t>
  </si>
  <si>
    <t>Total advances</t>
  </si>
  <si>
    <t>DebitiAccontiTotaleAcconti</t>
  </si>
  <si>
    <t>7) debiti verso fornitori</t>
  </si>
  <si>
    <t>7) trade accounts</t>
  </si>
  <si>
    <t>DebitiDebitiVersoFornitori</t>
  </si>
  <si>
    <t>DebitiDebitiVersoFornitoriEsigibiliEntroEsercizioSuccessivo</t>
  </si>
  <si>
    <t>DebitiDebitiVersoFornitoriEsigibiliOltreEsercizioSuccessivo</t>
  </si>
  <si>
    <t>Totale debiti verso fornitori</t>
  </si>
  <si>
    <t>DebitiDebitiVersoFornitoriTotaleDebitiVersoFornitori</t>
  </si>
  <si>
    <t>8) debiti rappresentati da titoli di credito</t>
  </si>
  <si>
    <t>8) payables represented by credit instruments</t>
  </si>
  <si>
    <t>DebitiDebitiRappresentatiTitoliCredito</t>
  </si>
  <si>
    <t>DebitiDebitiRappresentatiTitoliCreditoEsigibiliEntroEsercizioSuccessivo</t>
  </si>
  <si>
    <t>DebitiDebitiRappresentatiTitoliCreditoEsigibiliOltreEsercizioSuccessivo</t>
  </si>
  <si>
    <t>Totale debiti rappresentati da titoli di credito</t>
  </si>
  <si>
    <t>Total payables represented by credit instruments</t>
  </si>
  <si>
    <t>DebitiDebitiRappresentatiTitoliCreditoTotaleDebitiRappresentatiTitoliCredito</t>
  </si>
  <si>
    <t>9) debiti verso imprese controllate</t>
  </si>
  <si>
    <t>9) due to subsidiary companies</t>
  </si>
  <si>
    <t>DebitiDebitiVersoImpreseControllate</t>
  </si>
  <si>
    <t>DebitiDebitiVersoImpreseControllateEsigibiliEntroEsercizioSuccessivo</t>
  </si>
  <si>
    <t>DebitiDebitiVersoImpreseControllateEsigibiliOltreEsercizioSuccessivo</t>
  </si>
  <si>
    <t>Totale debiti verso imprese controllate</t>
  </si>
  <si>
    <t>Total payables due to subsidiary companies</t>
  </si>
  <si>
    <t>DebitiDebitiVersoImpreseControllateTotaleDebitiVersoImpreseControllate</t>
  </si>
  <si>
    <t>10) debiti verso imprese collegate</t>
  </si>
  <si>
    <t>10) due to associated companies</t>
  </si>
  <si>
    <t>DebitiDebitiVersoImpreseCollegate</t>
  </si>
  <si>
    <t>DebitiDebitiVersoImpreseCollegateEsigibiliEntroEsercizioSuccessivo</t>
  </si>
  <si>
    <t>DebitiDebitiVersoImpreseCollegateEsigibiliOltreEsercizioSuccessivo</t>
  </si>
  <si>
    <t>Totale debiti verso imprese collegate</t>
  </si>
  <si>
    <t>Total payables due to associated companies</t>
  </si>
  <si>
    <t>DebitiDebitiVersoImpreseCollegateTotaleDebitiVersoImpreseCollegate</t>
  </si>
  <si>
    <t>11) debiti verso controllanti</t>
  </si>
  <si>
    <t>11) due to parent companies</t>
  </si>
  <si>
    <t>DebitiDebitiVersoControllanti</t>
  </si>
  <si>
    <t>DebitiDebitiVersoControllantiEsigibiliEntroEsercizioSuccessivo</t>
  </si>
  <si>
    <t>DebitiDebitiVersoControllantiEsigibiliOltreEsercizioSuccessivo</t>
  </si>
  <si>
    <t>Totale debiti verso controllanti</t>
  </si>
  <si>
    <t>Total payables due to parent companies</t>
  </si>
  <si>
    <t>DebitiDebitiVersoControllantiTotaleDebitiVersoControllanti</t>
  </si>
  <si>
    <t>11bis) debiti verso imprese sottoposte al controllo di controllanti</t>
  </si>
  <si>
    <t>12) debiti tributari</t>
  </si>
  <si>
    <t>12) due to tax authorities</t>
  </si>
  <si>
    <t>DebitiDebitiTributari</t>
  </si>
  <si>
    <t>DebitiDebitiTributariEsigibiliEntroEsercizioSuccessivo</t>
  </si>
  <si>
    <t>DebitiDebitiTributariEsigibiliOltreEsercizioSuccessivo</t>
  </si>
  <si>
    <t>Totale debiti tributari</t>
  </si>
  <si>
    <t>Total payables due to tax authorities</t>
  </si>
  <si>
    <t>DebitiDebitiTributariTotaleDebitiTributari</t>
  </si>
  <si>
    <t>13) debiti verso istituti di previdenza e di sicurezza sociale</t>
  </si>
  <si>
    <t>13) due to social security and welfare institutions</t>
  </si>
  <si>
    <t>DebitiDebitiVersoIstitutiPrevidenzaSicurezzaSociale</t>
  </si>
  <si>
    <t>DebitiDebitiVersoIstitutiPrevidenzaSicurezzaSocialeEsigibiliEntroEsercizioSuccessivo</t>
  </si>
  <si>
    <t>DebitiDebitiVersoIstitutiPrevidenzaSicurezzaSocialeEsigibiliOltreEsercizioSuccessivo</t>
  </si>
  <si>
    <t>Totale debiti verso istituti di previdenza e di sicurezza sociale</t>
  </si>
  <si>
    <t>Total payables due to social security and welfare institutions</t>
  </si>
  <si>
    <t>DebitiDebitiVersoIstitutiPrevidenzaSicurezzaSocialeTotaleDebitiVersoIstitutiPrevidenzaSicurezzaSociale</t>
  </si>
  <si>
    <t>14) altri debiti</t>
  </si>
  <si>
    <t>14) other payables</t>
  </si>
  <si>
    <t>DebitiAltriDebiti</t>
  </si>
  <si>
    <t>DebitiAltriDebitiEsigibiliEntroEsercizioSuccessivo</t>
  </si>
  <si>
    <t>DebitiAltriDebitiEsigibiliOltreEsercizioSuccessivo</t>
  </si>
  <si>
    <t>Totale altri debiti</t>
  </si>
  <si>
    <t>Total other payables</t>
  </si>
  <si>
    <t>DebitiAltriDebitiTotaleAltriDebiti</t>
  </si>
  <si>
    <t>Totale debiti</t>
  </si>
  <si>
    <t>Total payables (D)</t>
  </si>
  <si>
    <t>TotaleDebiti</t>
  </si>
  <si>
    <t>E) Ratei e risconti</t>
  </si>
  <si>
    <t>E) Accrued liabilities and deferred income</t>
  </si>
  <si>
    <t>PassivoRateiRisconti</t>
  </si>
  <si>
    <t>Ratei e risconti passivi</t>
  </si>
  <si>
    <t>accrued liabilities and deferred income</t>
  </si>
  <si>
    <t>PassivoRateiRiscontiRateiRiscontiPassivi</t>
  </si>
  <si>
    <t>Aggio su prestiti emessi</t>
  </si>
  <si>
    <t>premium on issued debt</t>
  </si>
  <si>
    <t>PassivoRateiRiscontiAggioPrestitiEmessi</t>
  </si>
  <si>
    <t>Totale ratei e risconti</t>
  </si>
  <si>
    <t>Total accrued liabilities and deferred income</t>
  </si>
  <si>
    <t>PassivoRateiRiscontiTotaleRateiRisconti</t>
  </si>
  <si>
    <t>Totale passivo</t>
  </si>
  <si>
    <t>Total liabilities and shareholders' equity</t>
  </si>
  <si>
    <t>TotalePassivo</t>
  </si>
  <si>
    <t>Cassa e Banca</t>
  </si>
  <si>
    <t xml:space="preserve">Crediti </t>
  </si>
  <si>
    <t>Rim. Merci, Mat. Prime, Suss., Semilav.</t>
  </si>
  <si>
    <t xml:space="preserve">     - Rimanenze prodotti in corso di lavorazione, semilavorati e finiti</t>
  </si>
  <si>
    <t xml:space="preserve">     - Rimanenze materie prime, sussidiare di consumo e merci</t>
  </si>
  <si>
    <t xml:space="preserve">    - Immobili</t>
  </si>
  <si>
    <t xml:space="preserve">           1) Fabbricati </t>
  </si>
  <si>
    <t xml:space="preserve">    - Impianti  Macchinari e Attrezzature</t>
  </si>
  <si>
    <t xml:space="preserve">           1) Impianti e macchinari</t>
  </si>
  <si>
    <t xml:space="preserve">           2)  Attrezzature industriali e commerciali</t>
  </si>
  <si>
    <t xml:space="preserve">           3)  Altri beni</t>
  </si>
  <si>
    <t>Immobilizzazioni immateriali</t>
  </si>
  <si>
    <t xml:space="preserve">   - Altri Costi Pluriennali</t>
  </si>
  <si>
    <t xml:space="preserve">           1) Costi d'impianto e ampliamento</t>
  </si>
  <si>
    <t xml:space="preserve">           2) Ricerca&amp; Sviluppo</t>
  </si>
  <si>
    <t xml:space="preserve">           3) Altre immobilizzazioni immateriali</t>
  </si>
  <si>
    <t>TOTALE ATTIVO</t>
  </si>
  <si>
    <t>Banche a breve termine</t>
  </si>
  <si>
    <t xml:space="preserve">    - Banche e Depositi postali</t>
  </si>
  <si>
    <t>Debiti Correnti</t>
  </si>
  <si>
    <t xml:space="preserve">    - Fornitori</t>
  </si>
  <si>
    <t xml:space="preserve">    - Enti Previd., Assistenziali, Ritenute personale</t>
  </si>
  <si>
    <t xml:space="preserve">    - Debiti tributari</t>
  </si>
  <si>
    <t xml:space="preserve">    - Altri debiti</t>
  </si>
  <si>
    <t xml:space="preserve">    - Ratei e Risconti Passivi</t>
  </si>
  <si>
    <t xml:space="preserve"> Finanziamenti Soci</t>
  </si>
  <si>
    <t>Debito a m/lungo termine</t>
  </si>
  <si>
    <t xml:space="preserve"> '  - Mutui e Finanziamenti</t>
  </si>
  <si>
    <t xml:space="preserve">    - Fondo TFR</t>
  </si>
  <si>
    <t xml:space="preserve">    - Altri Fondi</t>
  </si>
  <si>
    <t xml:space="preserve">    - Debiti Verso Collegate e Controllate</t>
  </si>
  <si>
    <t xml:space="preserve">    - Altri Debiti a m/l termine</t>
  </si>
  <si>
    <t>Capitale Netto</t>
  </si>
  <si>
    <t xml:space="preserve">    - Capitale Sociale</t>
  </si>
  <si>
    <t xml:space="preserve">    -  Riserva Legale</t>
  </si>
  <si>
    <t xml:space="preserve">    - Altre Riserve</t>
  </si>
  <si>
    <t xml:space="preserve">   - Utile a nuovo</t>
  </si>
  <si>
    <t xml:space="preserve">   - Risultato di Esercizio</t>
  </si>
  <si>
    <t>TOTALE PASSIVO</t>
  </si>
  <si>
    <t>CONTO ECONOMICO</t>
  </si>
  <si>
    <t>Produzione</t>
  </si>
  <si>
    <t>Consumo merci</t>
  </si>
  <si>
    <t>MARGINE LORDO DI CONTRIBUZIONE</t>
  </si>
  <si>
    <t>Costi fissi totali</t>
  </si>
  <si>
    <t xml:space="preserve">         1) ammortamenti materiali</t>
  </si>
  <si>
    <t xml:space="preserve">         2) ammortamenti immateriali</t>
  </si>
  <si>
    <t xml:space="preserve">         5) costi del personale dipendente</t>
  </si>
  <si>
    <t xml:space="preserve">         6) accantonamento al TFR</t>
  </si>
  <si>
    <t>REDDITO OPERATIVO</t>
  </si>
  <si>
    <t>Gestione straordinaria</t>
  </si>
  <si>
    <t>Gestione finaziaria</t>
  </si>
  <si>
    <t>REDDITO ANTEIMPOSTE</t>
  </si>
  <si>
    <t>imposte sul reddito</t>
  </si>
  <si>
    <t>REDDITO NETTO</t>
  </si>
  <si>
    <t>Investimenti Pregressi</t>
  </si>
  <si>
    <t>Ammortamenti Materiali</t>
  </si>
  <si>
    <t>Totale</t>
  </si>
  <si>
    <t>Fondo Ammortamento ;ateriali Residuo</t>
  </si>
  <si>
    <t>Vendite</t>
  </si>
  <si>
    <t>Fatturato</t>
  </si>
  <si>
    <t>Debito Iva</t>
  </si>
  <si>
    <t>Crediti Commerciali</t>
  </si>
  <si>
    <t>Incassi</t>
  </si>
  <si>
    <t>verifica</t>
  </si>
  <si>
    <t>Acquisti Materie Prime</t>
  </si>
  <si>
    <t>Costi</t>
  </si>
  <si>
    <t>Credito Iva</t>
  </si>
  <si>
    <t>Debiti Commerciali</t>
  </si>
  <si>
    <t>Uscite</t>
  </si>
  <si>
    <t>Costi Gestione&amp;Variabili</t>
  </si>
  <si>
    <t>Costi Personale</t>
  </si>
  <si>
    <t>TFR</t>
  </si>
  <si>
    <t>Banca</t>
  </si>
  <si>
    <t>Entrate</t>
  </si>
  <si>
    <t>Uscite Materie Prime</t>
  </si>
  <si>
    <t>Uscite Costi Variabili</t>
  </si>
  <si>
    <t>Uscite Personale</t>
  </si>
  <si>
    <t>Investimenti</t>
  </si>
  <si>
    <t>Liquidazione Iva</t>
  </si>
  <si>
    <t>Flusso Finanziario</t>
  </si>
  <si>
    <t>Saldo Iniziale</t>
  </si>
  <si>
    <t>Saldo Finale</t>
  </si>
  <si>
    <t>Pagamento Iva</t>
  </si>
  <si>
    <t xml:space="preserve">           3)  Altre immobilizzazioni immateriali</t>
  </si>
  <si>
    <t xml:space="preserve">   - Ricavi netti di vendita</t>
  </si>
  <si>
    <t xml:space="preserve">  - Variazioni delle rim. di prod. in corso di lav., semilavorati e finiti</t>
  </si>
  <si>
    <t xml:space="preserve">  - Variazioni dei lavori in corso su ordinazione</t>
  </si>
  <si>
    <t xml:space="preserve">  - Costi patrimonializzati</t>
  </si>
  <si>
    <t xml:space="preserve">  - Altri ricavi e proventi</t>
  </si>
  <si>
    <t>VALORE DELLA PRODUZIONE OTTENUTA</t>
  </si>
  <si>
    <t>COSTI PER CONSUMI DI MATERIE E SERVIZI</t>
  </si>
  <si>
    <t xml:space="preserve">   - Per materie prime, sussidiarie e di merci</t>
  </si>
  <si>
    <t xml:space="preserve">   - Per servizi </t>
  </si>
  <si>
    <t xml:space="preserve">   - Per godimento beni di terzi</t>
  </si>
  <si>
    <t xml:space="preserve">   - Variazioni delle rimanenze di materie prime e sussidiarie</t>
  </si>
  <si>
    <t xml:space="preserve">   - Oneri diversi di gestione</t>
  </si>
  <si>
    <t>VALORE AGGIUNTO</t>
  </si>
  <si>
    <t xml:space="preserve">   - Costi per il personale</t>
  </si>
  <si>
    <t>MARGINE OPERATIVO LORDO</t>
  </si>
  <si>
    <t xml:space="preserve">  - Ammortamenti e svalutazioni</t>
  </si>
  <si>
    <t>REDDITO OPERATIVO DELLA GEST. CARATTERISTICA</t>
  </si>
  <si>
    <t xml:space="preserve">  - +/- Risultato della gestione accessoria</t>
  </si>
  <si>
    <t xml:space="preserve"> - +/- Risultato della gestione finanziaria</t>
  </si>
  <si>
    <t>RISULTATO DELLA GESTIONE CORRENTE</t>
  </si>
  <si>
    <t xml:space="preserve">  - +/- Risultato della gestione straordinaria</t>
  </si>
  <si>
    <t>RISULTATO PRIMA DELLE IMPOSTE</t>
  </si>
  <si>
    <t xml:space="preserve">  -Imposte sul reddito d'esercizio</t>
  </si>
  <si>
    <t>RISULTATO NETTO (UTILE DELL'ESERCIZIO)</t>
  </si>
  <si>
    <t>IMPIEGHI</t>
  </si>
  <si>
    <t>A BREVE TERMINE</t>
  </si>
  <si>
    <t xml:space="preserve">  - Aumento liquidità immediata </t>
  </si>
  <si>
    <t xml:space="preserve">  - Diminuzione indebitamento a breve</t>
  </si>
  <si>
    <t xml:space="preserve">  - Aumento crediti esigibili nell'anno</t>
  </si>
  <si>
    <t xml:space="preserve">  - Diminuzione debiti esigibili nell'anno</t>
  </si>
  <si>
    <t xml:space="preserve">   - Aumento Rimanenze</t>
  </si>
  <si>
    <t>TOTALE A BREVE TERMINE</t>
  </si>
  <si>
    <t>A LUNGO TERMINE</t>
  </si>
  <si>
    <t>Aumento Imm.ni Materiali</t>
  </si>
  <si>
    <t>Aumento Imm.ni Immateriali</t>
  </si>
  <si>
    <t>Aumento Imm.ni Finanziarie</t>
  </si>
  <si>
    <t>Diminuzione Finanziamento Soci</t>
  </si>
  <si>
    <t>Diminuzione Finanziamenti m/l termine</t>
  </si>
  <si>
    <t>Diminuzione Altri Fondi</t>
  </si>
  <si>
    <t>Diminuzione Capitale Netto</t>
  </si>
  <si>
    <t>TOTALE A LUNGO TERMINE</t>
  </si>
  <si>
    <t>TOTALE IMPIEGHI</t>
  </si>
  <si>
    <t>FONTI</t>
  </si>
  <si>
    <t>Aumento Indebitamento a breve</t>
  </si>
  <si>
    <t>Diminuzione liquidità immediate</t>
  </si>
  <si>
    <t>Aumento debiti esigibili nell'anno</t>
  </si>
  <si>
    <t>Diminuzione crediti esigibili nell'anno</t>
  </si>
  <si>
    <t>Diminuzione Rimanenze</t>
  </si>
  <si>
    <t>Disinvestimenti Imm.ni materiali</t>
  </si>
  <si>
    <t>Disinvestimenti Imm.ni immateriali</t>
  </si>
  <si>
    <t>Disinvestimenti Imm.ni Finanziarie</t>
  </si>
  <si>
    <t>Aumento Finanziamento Soci</t>
  </si>
  <si>
    <t>Aumento Finanziamento m/l termine</t>
  </si>
  <si>
    <t>Aumento altri fondi</t>
  </si>
  <si>
    <t>Aumento Capitale Netto</t>
  </si>
  <si>
    <t>TOTALE FONTI</t>
  </si>
  <si>
    <t>Altre Riserve di Utili</t>
  </si>
  <si>
    <t>Oneri diversi di gestione</t>
  </si>
  <si>
    <t>Rata Finanziamento</t>
  </si>
  <si>
    <t>Utilizzo TFR</t>
  </si>
  <si>
    <t>Finanziamento</t>
  </si>
  <si>
    <t>Rimanenze finali prodotti in corso di lavorazione, semilavorati e finiti</t>
  </si>
  <si>
    <t>Margine Contribuzione Lordo</t>
  </si>
  <si>
    <t>Rimanenze finali materie prime, sussidiarie di consumo e merci</t>
  </si>
  <si>
    <t>Diminuzione Altri debiti m/l termine</t>
  </si>
  <si>
    <t>Aumento altri Debiti m/l Termine</t>
  </si>
  <si>
    <t>Rating MedioCredito Centrale</t>
  </si>
  <si>
    <t>Modello di valutazione - settori: industria manifatturiera, edilizia ed alberghi (società alberghiere proprietarie dell’immobile)</t>
  </si>
  <si>
    <t xml:space="preserve">                                                        </t>
  </si>
  <si>
    <t>Importo</t>
  </si>
  <si>
    <t>%</t>
  </si>
  <si>
    <t>Sintesi di Stato Patrimoniale</t>
  </si>
  <si>
    <t>Altro Attivo Circolante</t>
  </si>
  <si>
    <t>Passivo Circolante</t>
  </si>
  <si>
    <t>Passivo a M/L termine</t>
  </si>
  <si>
    <t>Mezzi Propri</t>
  </si>
  <si>
    <t>Dati di Conto Economico</t>
  </si>
  <si>
    <t>Ammortamenti</t>
  </si>
  <si>
    <t>Margine Operativo Lordo MOL</t>
  </si>
  <si>
    <t xml:space="preserve">Oneri Finanziari </t>
  </si>
  <si>
    <t>Utile (perdita) di periodo</t>
  </si>
  <si>
    <t>Principali indicatori</t>
  </si>
  <si>
    <t>Valore</t>
  </si>
  <si>
    <t>Scoring</t>
  </si>
  <si>
    <t>M.Prop.+Deb.M-L/Immobilizzazioni            (&gt;=1)</t>
  </si>
  <si>
    <t>M.Propri/Tot. Passivo                             (&gt;=10%)</t>
  </si>
  <si>
    <t>MOL/Oneri Finanziari                                  (&gt;=2)</t>
  </si>
  <si>
    <t>M O L  / Fatturato                                  (&gt;= 0,08)</t>
  </si>
  <si>
    <t>Legenda Livello</t>
  </si>
  <si>
    <t>Livello A: scoring &gt;= 9</t>
  </si>
  <si>
    <t>Livello B: scoring&gt;= 7 &lt;9</t>
  </si>
  <si>
    <t>Livello C: scoring &lt;7</t>
  </si>
  <si>
    <t>PARAMETRO</t>
  </si>
  <si>
    <t>M.Prop.+Deb.M-L/Immobilizzazioni (target &gt;=1)</t>
  </si>
  <si>
    <t>M.Propri/Tot. Passivo (target &gt;=10%)</t>
  </si>
  <si>
    <t>MOL/ Oneri Finanziari  (target &gt;=2)</t>
  </si>
  <si>
    <t>M O L  / Fatturato (target &gt;= 8%)</t>
  </si>
  <si>
    <t>Fornitori</t>
  </si>
  <si>
    <t>Incasso -&gt;</t>
  </si>
  <si>
    <t>Utilizzo -&gt;</t>
  </si>
  <si>
    <t>Rimborso -&gt;</t>
  </si>
  <si>
    <t>Uscite Altri Debit</t>
  </si>
  <si>
    <t>- Rimanenze prodotti in corso di lavorazione, semilavorati e finiti</t>
  </si>
  <si>
    <t>- Rimanenze materie prime, sussidiare di consumo e merci</t>
  </si>
  <si>
    <t>- Immobili</t>
  </si>
  <si>
    <t>- Impianti  Macchinari e Attrezzature</t>
  </si>
  <si>
    <t>- Altri Costi Pluriennali</t>
  </si>
  <si>
    <t>- Capitale Sociale</t>
  </si>
  <si>
    <t>- Altre Riserve</t>
  </si>
  <si>
    <t>- Riserva Legale</t>
  </si>
  <si>
    <t>- Utile a nuovo</t>
  </si>
  <si>
    <t>- Risultato di Esercizio</t>
  </si>
  <si>
    <t xml:space="preserve">MARGINE LORDO INDUSTRIALE </t>
  </si>
  <si>
    <t>- Rimanenze iniziali prodotti in corso di lavorazione, semilavorati e finiti</t>
  </si>
  <si>
    <t>- Vendite prodotti finiti , merci e servizi</t>
  </si>
  <si>
    <t>- Altri ricavi</t>
  </si>
  <si>
    <t>- Rimanenze finali prodotti in corso di lavorazione, semilavorati e finiti</t>
  </si>
  <si>
    <t>- Acquisti</t>
  </si>
  <si>
    <t>- Rimanenze finali materie prime, sussidiarie di consumo e merci</t>
  </si>
  <si>
    <t>- Altri costi variabili</t>
  </si>
  <si>
    <t>- Rimanenze iniziali materie prime, sussidiare di consumo e merci</t>
  </si>
  <si>
    <t xml:space="preserve">- Plusvalenze/Minusvalenze </t>
  </si>
  <si>
    <t>- Svalutazioni</t>
  </si>
  <si>
    <t>- Proventi e Oneri Finanziari</t>
  </si>
  <si>
    <t>Consuntivo</t>
  </si>
  <si>
    <t>Previsionale</t>
  </si>
  <si>
    <t>Inserisci Ultimo Bilancio</t>
  </si>
  <si>
    <t>Stato Patrimoniale -&gt;</t>
  </si>
  <si>
    <t>Foglio "SP"</t>
  </si>
  <si>
    <t>Conto Economico -&gt;</t>
  </si>
  <si>
    <t>GUIDA</t>
  </si>
  <si>
    <t>Gestisci Attivo e Passivo Ultimo Bilancio</t>
  </si>
  <si>
    <t>Liquidazione Debiti -&gt;</t>
  </si>
  <si>
    <t>Foglio "Scheda Debiti"</t>
  </si>
  <si>
    <t>Liquidazione Crediti -&gt;</t>
  </si>
  <si>
    <t>Foglio "Scheda Crediti"</t>
  </si>
  <si>
    <t>Gestisci Investimenti -&gt;</t>
  </si>
  <si>
    <t>Foglio "Scheda Inv"</t>
  </si>
  <si>
    <t>Crea i Previsioanali</t>
  </si>
  <si>
    <t>Input Previsionali-&gt;</t>
  </si>
  <si>
    <t>Foglio "Input Previsionale"</t>
  </si>
  <si>
    <t>Consulta i Report</t>
  </si>
  <si>
    <t>Foglio "SP Previsionale"</t>
  </si>
  <si>
    <t>Foglio "CE Previsionale"</t>
  </si>
  <si>
    <t>Foglio "Rat MedioCreditoCentrale"</t>
  </si>
  <si>
    <t>DEBT SERVICE COVER RATIO</t>
  </si>
  <si>
    <t>FCFO (Flusso monetario della gestione operativa al netto delle imposte)</t>
  </si>
  <si>
    <t>Servizio del Debito:</t>
  </si>
  <si>
    <t>- Quota Capitale</t>
  </si>
  <si>
    <t>- Quota Interessi su Indebitamento a MLT</t>
  </si>
  <si>
    <t>TOT Servizio del Debito</t>
  </si>
  <si>
    <t>DSCR</t>
  </si>
  <si>
    <t>Indicatori Bancabilità</t>
  </si>
  <si>
    <t>Foglio "In_Bancabilità"</t>
  </si>
  <si>
    <t>Rating MedioCreditoCentrale -&gt;</t>
  </si>
  <si>
    <t>QUADRATURA</t>
  </si>
  <si>
    <t>Distribuzione Utile</t>
  </si>
  <si>
    <t>Utile Esercizio</t>
  </si>
  <si>
    <t>% Distribuzione</t>
  </si>
  <si>
    <t>Utile Distribuito</t>
  </si>
  <si>
    <t>Aliquota Iva Acquisto</t>
  </si>
  <si>
    <t>Aliquota Iva Vendita</t>
  </si>
  <si>
    <t>Gestione Credito Iva</t>
  </si>
  <si>
    <t>Liquidazione e Compensazione</t>
  </si>
  <si>
    <t>Compensazione Iva</t>
  </si>
  <si>
    <t>costi gestione</t>
  </si>
  <si>
    <t>costi personale</t>
  </si>
  <si>
    <t>Costi Gestione</t>
  </si>
  <si>
    <t>- Costi Gestione</t>
  </si>
  <si>
    <t>Saldo Banca Iniziale</t>
  </si>
  <si>
    <t>Totale Entrate</t>
  </si>
  <si>
    <t>Totale Uscite</t>
  </si>
  <si>
    <t>Saldo Banca Finale</t>
  </si>
  <si>
    <t>FIDO CONCESSO</t>
  </si>
  <si>
    <t>EXTRAFIDO</t>
  </si>
  <si>
    <t>Ammortamento Mese 1</t>
  </si>
  <si>
    <t xml:space="preserve">Saldo Iva </t>
  </si>
  <si>
    <t>Mese Ultimo Bilancio</t>
  </si>
  <si>
    <t>Aliquota TFR</t>
  </si>
  <si>
    <t>Attività Liquidabili</t>
  </si>
  <si>
    <t>Debiti non Correnti</t>
  </si>
  <si>
    <t>Foglio "Flussi Cassa_PFN</t>
  </si>
  <si>
    <t>Solvibilità</t>
  </si>
  <si>
    <t>Crediti v/clienti</t>
  </si>
  <si>
    <t>Erario c/acc. Imposte e Ritenute e Iva</t>
  </si>
  <si>
    <t>Ratei e Risconti Attivi</t>
  </si>
  <si>
    <t>Altri Crediti, fatture da emettere, ecc</t>
  </si>
  <si>
    <t>Banche e Depositi postali</t>
  </si>
  <si>
    <t>Rapporto di Solvibilità</t>
  </si>
  <si>
    <t>Flussi Cassa e Solvibilità 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</si>
</sst>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&quot;€&quot;\ #,##0;\-&quot;€&quot;\ #,##0"/>
    <numFmt numFmtId="165" formatCode="&quot;€&quot;\ #,##0;[Red]\-&quot;€&quot;\ #,##0"/>
    <numFmt numFmtId="166" formatCode="_-&quot;€&quot;\ * #,##0_-;\-&quot;€&quot;\ * #,##0_-;_-&quot;€&quot;\ * &quot;-&quot;_-;_-@_-"/>
    <numFmt numFmtId="167" formatCode="&quot;€&quot;\ #,##0"/>
    <numFmt numFmtId="168" formatCode="&quot;€&quot;\ #,##0.00"/>
    <numFmt numFmtId="169" formatCode="_-* #,##0_-;\-* #,##0_-;_-* &quot;-&quot;??_-;_-@_-"/>
    <numFmt numFmtId="170" formatCode="#,##0\ &quot;€&quot;;[Red]#,##0\ &quot;€&quot;"/>
    <numFmt numFmtId="171" formatCode="_-[$€]\ * #,##0.00_-;\-[$€]\ * #,##0.00_-;_-[$€]\ * &quot;-&quot;??_-;_-@_-"/>
    <numFmt numFmtId="172" formatCode="_(* #,##0_);_(* \(#,##0\);_(* &quot;-&quot;_);_(@_)"/>
    <numFmt numFmtId="173" formatCode="_(* #,##0.00_);_(* \(#,##0.00\);_(* &quot;-&quot;??_);_(@_)"/>
    <numFmt numFmtId="174" formatCode="#,##0.00_ ;\-#,##0.00\ "/>
    <numFmt numFmtId="175" formatCode="#,##0;[Red]\(#,##0\)"/>
    <numFmt numFmtId="176" formatCode="#,##0_ ;[Red]\-#,##0\ "/>
    <numFmt numFmtId="177" formatCode="#,###,"/>
    <numFmt numFmtId="178" formatCode="#,##0.00\ &quot;€&quot;"/>
    <numFmt numFmtId="179" formatCode="[$-410]mmm\-yy;@"/>
    <numFmt numFmtId="180" formatCode="_-* #,##0.000_-;\-* #,##0.000_-;_-* &quot;-&quot;??_-;_-@_-"/>
  </numFmts>
  <fonts count="4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u/>
      <sz val="8"/>
      <color indexed="12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000000"/>
      <name val="Verdana"/>
      <family val="2"/>
    </font>
    <font>
      <sz val="10"/>
      <color rgb="FFFF0000"/>
      <name val="Verdana"/>
      <family val="2"/>
    </font>
    <font>
      <sz val="9"/>
      <color rgb="FFFF0000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b/>
      <i/>
      <sz val="10"/>
      <name val="Tahoma"/>
      <family val="2"/>
    </font>
    <font>
      <sz val="10"/>
      <color indexed="17"/>
      <name val="Tahoma"/>
      <family val="2"/>
    </font>
    <font>
      <b/>
      <sz val="10"/>
      <color indexed="17"/>
      <name val="Tahoma"/>
      <family val="2"/>
    </font>
    <font>
      <b/>
      <sz val="10"/>
      <color indexed="9"/>
      <name val="Tahoma"/>
      <family val="2"/>
    </font>
    <font>
      <b/>
      <sz val="10"/>
      <color theme="0"/>
      <name val="Tahoma"/>
      <family val="2"/>
    </font>
    <font>
      <b/>
      <sz val="12"/>
      <color theme="0"/>
      <name val="Tahoma"/>
      <family val="2"/>
    </font>
    <font>
      <sz val="11"/>
      <color indexed="8"/>
      <name val="Tahoma"/>
      <family val="2"/>
    </font>
    <font>
      <b/>
      <i/>
      <sz val="10"/>
      <color theme="4" tint="-0.249977111117893"/>
      <name val="Tahoma"/>
      <family val="2"/>
    </font>
    <font>
      <b/>
      <sz val="10"/>
      <color theme="0"/>
      <name val="Arial"/>
      <family val="2"/>
    </font>
    <font>
      <sz val="11"/>
      <color theme="0"/>
      <name val="Tahoma"/>
      <family val="2"/>
    </font>
    <font>
      <b/>
      <sz val="11"/>
      <color indexed="8"/>
      <name val="Tahoma"/>
      <family val="2"/>
    </font>
    <font>
      <sz val="14"/>
      <color theme="1"/>
      <name val="Calibri"/>
      <family val="2"/>
      <scheme val="minor"/>
    </font>
    <font>
      <b/>
      <sz val="8"/>
      <color theme="3" tint="-0.249977111117893"/>
      <name val="Franklin Gothic Book"/>
      <family val="2"/>
    </font>
    <font>
      <sz val="8"/>
      <color theme="3" tint="-0.249977111117893"/>
      <name val="Franklin Gothic Book"/>
      <family val="2"/>
    </font>
    <font>
      <b/>
      <sz val="11"/>
      <color theme="3" tint="-0.249977111117893"/>
      <name val="Franklin Gothic Book"/>
      <family val="2"/>
    </font>
    <font>
      <b/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theme="0" tint="-0.24994659260841701"/>
      </right>
      <top style="medium">
        <color theme="0" tint="-0.499984740745262"/>
      </top>
      <bottom/>
      <diagonal/>
    </border>
    <border>
      <left/>
      <right style="medium">
        <color theme="0" tint="-0.24994659260841701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24994659260841701"/>
      </right>
      <top/>
      <bottom style="medium">
        <color theme="0" tint="-0.499984740745262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5" fillId="0" borderId="0"/>
    <xf numFmtId="9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26" fillId="4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5" fillId="0" borderId="0"/>
  </cellStyleXfs>
  <cellXfs count="227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/>
    <xf numFmtId="0" fontId="0" fillId="2" borderId="0" xfId="0" applyFill="1"/>
    <xf numFmtId="0" fontId="3" fillId="0" borderId="0" xfId="1" applyAlignment="1" applyProtection="1"/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3" fillId="0" borderId="0" xfId="1" applyAlignment="1" applyProtection="1">
      <protection hidden="1"/>
    </xf>
    <xf numFmtId="167" fontId="8" fillId="2" borderId="0" xfId="0" applyNumberFormat="1" applyFont="1" applyFill="1" applyProtection="1">
      <protection locked="0"/>
    </xf>
    <xf numFmtId="0" fontId="9" fillId="0" borderId="0" xfId="0" applyFont="1" applyProtection="1">
      <protection hidden="1"/>
    </xf>
    <xf numFmtId="0" fontId="7" fillId="0" borderId="0" xfId="1" applyFont="1" applyAlignment="1" applyProtection="1">
      <alignment horizontal="left"/>
      <protection hidden="1"/>
    </xf>
    <xf numFmtId="0" fontId="10" fillId="0" borderId="0" xfId="0" applyFont="1" applyProtection="1">
      <protection hidden="1"/>
    </xf>
    <xf numFmtId="0" fontId="11" fillId="0" borderId="0" xfId="0" applyFont="1" applyProtection="1">
      <protection hidden="1"/>
    </xf>
    <xf numFmtId="3" fontId="0" fillId="0" borderId="0" xfId="0" applyNumberFormat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 indent="1"/>
      <protection hidden="1"/>
    </xf>
    <xf numFmtId="0" fontId="1" fillId="0" borderId="0" xfId="0" applyFont="1" applyAlignment="1" applyProtection="1">
      <alignment horizontal="left" indent="1"/>
      <protection hidden="1"/>
    </xf>
    <xf numFmtId="0" fontId="1" fillId="0" borderId="0" xfId="0" applyFont="1" applyAlignment="1" applyProtection="1">
      <alignment horizontal="left" indent="2"/>
      <protection hidden="1"/>
    </xf>
    <xf numFmtId="0" fontId="8" fillId="0" borderId="0" xfId="0" applyFont="1" applyAlignment="1" applyProtection="1">
      <alignment horizontal="left" indent="5"/>
      <protection hidden="1"/>
    </xf>
    <xf numFmtId="0" fontId="8" fillId="0" borderId="0" xfId="0" applyFont="1" applyAlignment="1" applyProtection="1">
      <alignment horizontal="left" indent="3"/>
      <protection hidden="1"/>
    </xf>
    <xf numFmtId="0" fontId="13" fillId="0" borderId="0" xfId="0" applyFont="1" applyAlignment="1" applyProtection="1">
      <alignment horizontal="left" indent="2"/>
      <protection hidden="1"/>
    </xf>
    <xf numFmtId="0" fontId="13" fillId="0" borderId="0" xfId="0" applyFont="1" applyAlignment="1" applyProtection="1">
      <alignment horizontal="left" indent="3"/>
      <protection hidden="1"/>
    </xf>
    <xf numFmtId="167" fontId="13" fillId="0" borderId="0" xfId="0" applyNumberFormat="1" applyFont="1" applyProtection="1">
      <protection locked="0"/>
    </xf>
    <xf numFmtId="0" fontId="14" fillId="0" borderId="0" xfId="0" applyFont="1" applyAlignment="1" applyProtection="1">
      <alignment horizontal="left" indent="3"/>
      <protection hidden="1"/>
    </xf>
    <xf numFmtId="3" fontId="4" fillId="0" borderId="0" xfId="0" applyNumberFormat="1" applyFont="1" applyProtection="1">
      <protection hidden="1"/>
    </xf>
    <xf numFmtId="0" fontId="4" fillId="0" borderId="0" xfId="0" applyFont="1" applyAlignment="1" applyProtection="1">
      <alignment horizontal="left" indent="7"/>
      <protection hidden="1"/>
    </xf>
    <xf numFmtId="0" fontId="4" fillId="0" borderId="0" xfId="0" applyFont="1" applyAlignment="1" applyProtection="1">
      <alignment horizontal="left" indent="4"/>
      <protection hidden="1"/>
    </xf>
    <xf numFmtId="0" fontId="4" fillId="0" borderId="0" xfId="0" applyFont="1" applyAlignment="1" applyProtection="1">
      <alignment horizontal="right" indent="2"/>
      <protection hidden="1"/>
    </xf>
    <xf numFmtId="0" fontId="15" fillId="0" borderId="0" xfId="0" applyFont="1" applyProtection="1">
      <protection hidden="1"/>
    </xf>
    <xf numFmtId="0" fontId="9" fillId="0" borderId="0" xfId="0" applyFont="1" applyAlignment="1" applyProtection="1">
      <alignment horizontal="left" indent="4"/>
      <protection hidden="1"/>
    </xf>
    <xf numFmtId="0" fontId="4" fillId="0" borderId="0" xfId="0" applyFont="1" applyAlignment="1" applyProtection="1">
      <alignment horizontal="left" indent="9"/>
      <protection hidden="1"/>
    </xf>
    <xf numFmtId="0" fontId="4" fillId="0" borderId="0" xfId="0" applyFont="1" applyAlignment="1" applyProtection="1">
      <alignment horizontal="left" indent="5"/>
      <protection hidden="1"/>
    </xf>
    <xf numFmtId="0" fontId="4" fillId="0" borderId="0" xfId="0" applyFont="1" applyAlignment="1" applyProtection="1">
      <alignment horizontal="left" indent="13"/>
      <protection hidden="1"/>
    </xf>
    <xf numFmtId="0" fontId="4" fillId="0" borderId="0" xfId="0" applyFont="1" applyAlignment="1" applyProtection="1">
      <alignment horizontal="left" indent="6"/>
      <protection hidden="1"/>
    </xf>
    <xf numFmtId="3" fontId="13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indent="11"/>
      <protection hidden="1"/>
    </xf>
    <xf numFmtId="0" fontId="16" fillId="0" borderId="0" xfId="0" applyFont="1" applyProtection="1">
      <protection hidden="1"/>
    </xf>
    <xf numFmtId="0" fontId="12" fillId="0" borderId="0" xfId="0" applyFont="1" applyAlignment="1" applyProtection="1">
      <alignment horizontal="left" indent="2"/>
      <protection hidden="1"/>
    </xf>
    <xf numFmtId="167" fontId="12" fillId="0" borderId="0" xfId="0" applyNumberFormat="1" applyFont="1" applyProtection="1">
      <protection locked="0"/>
    </xf>
    <xf numFmtId="0" fontId="17" fillId="0" borderId="0" xfId="0" applyFont="1" applyAlignment="1" applyProtection="1">
      <alignment horizontal="left" indent="7"/>
      <protection hidden="1"/>
    </xf>
    <xf numFmtId="3" fontId="12" fillId="0" borderId="0" xfId="0" applyNumberFormat="1" applyFont="1" applyProtection="1">
      <protection locked="0"/>
    </xf>
    <xf numFmtId="167" fontId="0" fillId="0" borderId="0" xfId="0" applyNumberFormat="1" applyProtection="1">
      <protection hidden="1"/>
    </xf>
    <xf numFmtId="0" fontId="0" fillId="0" borderId="0" xfId="0" applyAlignment="1">
      <alignment horizontal="right"/>
    </xf>
    <xf numFmtId="167" fontId="2" fillId="0" borderId="0" xfId="0" applyNumberFormat="1" applyFont="1"/>
    <xf numFmtId="0" fontId="0" fillId="0" borderId="0" xfId="0" quotePrefix="1"/>
    <xf numFmtId="168" fontId="0" fillId="0" borderId="0" xfId="0" applyNumberFormat="1"/>
    <xf numFmtId="0" fontId="2" fillId="0" borderId="0" xfId="0" applyFont="1" applyAlignment="1">
      <alignment horizontal="center"/>
    </xf>
    <xf numFmtId="167" fontId="0" fillId="0" borderId="0" xfId="0" applyNumberFormat="1"/>
    <xf numFmtId="0" fontId="19" fillId="0" borderId="0" xfId="0" applyFont="1"/>
    <xf numFmtId="0" fontId="19" fillId="0" borderId="0" xfId="0" applyFont="1" applyAlignment="1">
      <alignment horizontal="center"/>
    </xf>
    <xf numFmtId="168" fontId="2" fillId="0" borderId="0" xfId="0" applyNumberFormat="1" applyFont="1"/>
    <xf numFmtId="0" fontId="0" fillId="0" borderId="0" xfId="0" applyAlignment="1">
      <alignment horizontal="center"/>
    </xf>
    <xf numFmtId="0" fontId="20" fillId="0" borderId="0" xfId="0" applyFont="1" applyAlignment="1" applyProtection="1">
      <alignment horizontal="left" indent="7"/>
      <protection hidden="1"/>
    </xf>
    <xf numFmtId="0" fontId="20" fillId="0" borderId="0" xfId="0" applyFont="1" applyAlignment="1" applyProtection="1">
      <alignment horizontal="left" indent="9"/>
      <protection hidden="1"/>
    </xf>
    <xf numFmtId="0" fontId="20" fillId="0" borderId="0" xfId="0" applyFont="1" applyAlignment="1" applyProtection="1">
      <alignment horizontal="right" indent="2"/>
      <protection hidden="1"/>
    </xf>
    <xf numFmtId="0" fontId="23" fillId="0" borderId="0" xfId="0" applyFont="1" applyAlignment="1" applyProtection="1">
      <alignment horizontal="left" indent="3"/>
      <protection hidden="1"/>
    </xf>
    <xf numFmtId="167" fontId="0" fillId="0" borderId="0" xfId="0" applyNumberFormat="1" applyAlignment="1">
      <alignment horizontal="center"/>
    </xf>
    <xf numFmtId="0" fontId="24" fillId="0" borderId="0" xfId="0" applyFont="1"/>
    <xf numFmtId="0" fontId="0" fillId="0" borderId="2" xfId="0" applyBorder="1"/>
    <xf numFmtId="167" fontId="2" fillId="0" borderId="0" xfId="0" applyNumberFormat="1" applyFont="1" applyAlignment="1">
      <alignment horizontal="center"/>
    </xf>
    <xf numFmtId="0" fontId="0" fillId="0" borderId="0" xfId="3" applyNumberFormat="1" applyFont="1"/>
    <xf numFmtId="169" fontId="0" fillId="0" borderId="0" xfId="3" applyNumberFormat="1" applyFont="1"/>
    <xf numFmtId="170" fontId="0" fillId="0" borderId="0" xfId="3" applyNumberFormat="1" applyFont="1"/>
    <xf numFmtId="0" fontId="25" fillId="0" borderId="0" xfId="0" applyFont="1"/>
    <xf numFmtId="9" fontId="2" fillId="0" borderId="0" xfId="2" applyFont="1" applyAlignment="1">
      <alignment horizontal="center"/>
    </xf>
    <xf numFmtId="171" fontId="27" fillId="5" borderId="0" xfId="4" applyFont="1" applyFill="1"/>
    <xf numFmtId="171" fontId="27" fillId="0" borderId="0" xfId="4" applyFont="1"/>
    <xf numFmtId="0" fontId="27" fillId="5" borderId="0" xfId="4" applyNumberFormat="1" applyFont="1" applyFill="1" applyProtection="1">
      <protection hidden="1"/>
    </xf>
    <xf numFmtId="0" fontId="27" fillId="5" borderId="3" xfId="4" applyNumberFormat="1" applyFont="1" applyFill="1" applyBorder="1" applyAlignment="1" applyProtection="1">
      <alignment horizontal="center"/>
      <protection hidden="1"/>
    </xf>
    <xf numFmtId="0" fontId="27" fillId="5" borderId="6" xfId="4" applyNumberFormat="1" applyFont="1" applyFill="1" applyBorder="1" applyAlignment="1" applyProtection="1">
      <alignment horizontal="center"/>
      <protection hidden="1"/>
    </xf>
    <xf numFmtId="0" fontId="27" fillId="5" borderId="1" xfId="4" applyNumberFormat="1" applyFont="1" applyFill="1" applyBorder="1" applyAlignment="1" applyProtection="1">
      <alignment horizontal="center"/>
      <protection hidden="1"/>
    </xf>
    <xf numFmtId="0" fontId="27" fillId="5" borderId="1" xfId="4" applyNumberFormat="1" applyFont="1" applyFill="1" applyBorder="1" applyProtection="1">
      <protection hidden="1"/>
    </xf>
    <xf numFmtId="9" fontId="27" fillId="5" borderId="1" xfId="5" applyFont="1" applyFill="1" applyBorder="1" applyAlignment="1" applyProtection="1">
      <alignment horizontal="center"/>
      <protection hidden="1"/>
    </xf>
    <xf numFmtId="0" fontId="29" fillId="5" borderId="7" xfId="0" applyFont="1" applyFill="1" applyBorder="1" applyProtection="1">
      <protection hidden="1"/>
    </xf>
    <xf numFmtId="38" fontId="27" fillId="5" borderId="1" xfId="4" applyNumberFormat="1" applyFont="1" applyFill="1" applyBorder="1" applyProtection="1">
      <protection locked="0"/>
    </xf>
    <xf numFmtId="38" fontId="30" fillId="5" borderId="1" xfId="4" applyNumberFormat="1" applyFont="1" applyFill="1" applyBorder="1" applyProtection="1">
      <protection hidden="1"/>
    </xf>
    <xf numFmtId="0" fontId="29" fillId="5" borderId="6" xfId="0" applyFont="1" applyFill="1" applyBorder="1" applyAlignment="1" applyProtection="1">
      <alignment horizontal="right"/>
      <protection hidden="1"/>
    </xf>
    <xf numFmtId="0" fontId="27" fillId="5" borderId="8" xfId="4" applyNumberFormat="1" applyFont="1" applyFill="1" applyBorder="1" applyAlignment="1" applyProtection="1">
      <alignment horizontal="center"/>
      <protection hidden="1"/>
    </xf>
    <xf numFmtId="9" fontId="27" fillId="5" borderId="9" xfId="5" applyFont="1" applyFill="1" applyBorder="1" applyAlignment="1" applyProtection="1">
      <alignment horizontal="center"/>
      <protection hidden="1"/>
    </xf>
    <xf numFmtId="0" fontId="27" fillId="5" borderId="7" xfId="4" applyNumberFormat="1" applyFont="1" applyFill="1" applyBorder="1" applyAlignment="1" applyProtection="1">
      <alignment horizontal="right"/>
      <protection hidden="1"/>
    </xf>
    <xf numFmtId="0" fontId="27" fillId="5" borderId="11" xfId="4" applyNumberFormat="1" applyFont="1" applyFill="1" applyBorder="1" applyAlignment="1" applyProtection="1">
      <alignment horizontal="center"/>
      <protection hidden="1"/>
    </xf>
    <xf numFmtId="0" fontId="27" fillId="5" borderId="12" xfId="4" applyNumberFormat="1" applyFont="1" applyFill="1" applyBorder="1" applyProtection="1">
      <protection hidden="1"/>
    </xf>
    <xf numFmtId="0" fontId="29" fillId="5" borderId="7" xfId="4" applyNumberFormat="1" applyFont="1" applyFill="1" applyBorder="1" applyProtection="1">
      <protection hidden="1"/>
    </xf>
    <xf numFmtId="0" fontId="27" fillId="5" borderId="8" xfId="4" applyNumberFormat="1" applyFont="1" applyFill="1" applyBorder="1" applyAlignment="1" applyProtection="1">
      <alignment horizontal="centerContinuous"/>
      <protection hidden="1"/>
    </xf>
    <xf numFmtId="9" fontId="27" fillId="5" borderId="12" xfId="5" applyFont="1" applyFill="1" applyBorder="1" applyAlignment="1" applyProtection="1">
      <alignment horizontal="center"/>
      <protection hidden="1"/>
    </xf>
    <xf numFmtId="0" fontId="31" fillId="5" borderId="7" xfId="4" applyNumberFormat="1" applyFont="1" applyFill="1" applyBorder="1" applyProtection="1">
      <protection hidden="1"/>
    </xf>
    <xf numFmtId="2" fontId="31" fillId="5" borderId="4" xfId="6" applyNumberFormat="1" applyFont="1" applyFill="1" applyBorder="1" applyAlignment="1" applyProtection="1">
      <alignment horizontal="center"/>
      <protection hidden="1"/>
    </xf>
    <xf numFmtId="0" fontId="28" fillId="5" borderId="1" xfId="4" quotePrefix="1" applyNumberFormat="1" applyFont="1" applyFill="1" applyBorder="1" applyAlignment="1">
      <alignment horizontal="center"/>
    </xf>
    <xf numFmtId="9" fontId="31" fillId="5" borderId="4" xfId="5" applyFont="1" applyFill="1" applyBorder="1" applyAlignment="1" applyProtection="1">
      <alignment horizontal="center"/>
      <protection hidden="1"/>
    </xf>
    <xf numFmtId="0" fontId="28" fillId="5" borderId="13" xfId="4" applyNumberFormat="1" applyFont="1" applyFill="1" applyBorder="1" applyAlignment="1">
      <alignment horizontal="center"/>
    </xf>
    <xf numFmtId="174" fontId="31" fillId="5" borderId="1" xfId="7" applyNumberFormat="1" applyFont="1" applyFill="1" applyBorder="1" applyAlignment="1" applyProtection="1">
      <alignment horizontal="center"/>
      <protection hidden="1"/>
    </xf>
    <xf numFmtId="0" fontId="28" fillId="5" borderId="14" xfId="4" applyNumberFormat="1" applyFont="1" applyFill="1" applyBorder="1" applyAlignment="1">
      <alignment horizontal="center"/>
    </xf>
    <xf numFmtId="0" fontId="31" fillId="5" borderId="4" xfId="4" applyNumberFormat="1" applyFont="1" applyFill="1" applyBorder="1" applyAlignment="1" applyProtection="1">
      <alignment horizontal="center"/>
      <protection hidden="1"/>
    </xf>
    <xf numFmtId="175" fontId="28" fillId="5" borderId="0" xfId="4" applyNumberFormat="1" applyFont="1" applyFill="1" applyAlignment="1" applyProtection="1">
      <alignment horizontal="center"/>
      <protection hidden="1"/>
    </xf>
    <xf numFmtId="10" fontId="32" fillId="5" borderId="0" xfId="4" applyNumberFormat="1" applyFont="1" applyFill="1" applyAlignment="1" applyProtection="1">
      <alignment horizontal="center"/>
      <protection hidden="1"/>
    </xf>
    <xf numFmtId="10" fontId="33" fillId="5" borderId="0" xfId="4" applyNumberFormat="1" applyFont="1" applyFill="1" applyAlignment="1" applyProtection="1">
      <alignment horizontal="center"/>
      <protection hidden="1"/>
    </xf>
    <xf numFmtId="0" fontId="32" fillId="5" borderId="15" xfId="4" applyNumberFormat="1" applyFont="1" applyFill="1" applyBorder="1" applyAlignment="1" applyProtection="1">
      <alignment horizontal="center"/>
      <protection hidden="1"/>
    </xf>
    <xf numFmtId="175" fontId="28" fillId="5" borderId="15" xfId="4" applyNumberFormat="1" applyFont="1" applyFill="1" applyBorder="1" applyAlignment="1">
      <alignment horizontal="center"/>
    </xf>
    <xf numFmtId="10" fontId="31" fillId="5" borderId="10" xfId="4" applyNumberFormat="1" applyFont="1" applyFill="1" applyBorder="1" applyAlignment="1" applyProtection="1">
      <alignment horizontal="center"/>
      <protection hidden="1"/>
    </xf>
    <xf numFmtId="0" fontId="32" fillId="5" borderId="11" xfId="4" applyNumberFormat="1" applyFont="1" applyFill="1" applyBorder="1" applyAlignment="1" applyProtection="1">
      <alignment horizontal="center"/>
      <protection hidden="1"/>
    </xf>
    <xf numFmtId="171" fontId="34" fillId="3" borderId="1" xfId="4" applyFont="1" applyFill="1" applyBorder="1" applyAlignment="1">
      <alignment horizontal="center"/>
    </xf>
    <xf numFmtId="9" fontId="28" fillId="5" borderId="1" xfId="5" applyFont="1" applyFill="1" applyBorder="1" applyAlignment="1" applyProtection="1">
      <alignment horizontal="center"/>
      <protection hidden="1"/>
    </xf>
    <xf numFmtId="176" fontId="35" fillId="4" borderId="12" xfId="8" applyNumberFormat="1" applyFont="1" applyBorder="1" applyAlignment="1">
      <alignment horizontal="center"/>
    </xf>
    <xf numFmtId="167" fontId="8" fillId="2" borderId="16" xfId="0" applyNumberFormat="1" applyFont="1" applyFill="1" applyBorder="1" applyProtection="1">
      <protection locked="0"/>
    </xf>
    <xf numFmtId="167" fontId="8" fillId="2" borderId="17" xfId="0" applyNumberFormat="1" applyFont="1" applyFill="1" applyBorder="1" applyProtection="1">
      <protection locked="0"/>
    </xf>
    <xf numFmtId="167" fontId="8" fillId="2" borderId="18" xfId="0" applyNumberFormat="1" applyFont="1" applyFill="1" applyBorder="1" applyProtection="1">
      <protection locked="0"/>
    </xf>
    <xf numFmtId="167" fontId="8" fillId="2" borderId="19" xfId="0" applyNumberFormat="1" applyFont="1" applyFill="1" applyBorder="1" applyProtection="1">
      <protection locked="0"/>
    </xf>
    <xf numFmtId="167" fontId="8" fillId="2" borderId="1" xfId="0" applyNumberFormat="1" applyFont="1" applyFill="1" applyBorder="1" applyProtection="1">
      <protection locked="0"/>
    </xf>
    <xf numFmtId="167" fontId="8" fillId="2" borderId="20" xfId="0" applyNumberFormat="1" applyFont="1" applyFill="1" applyBorder="1" applyProtection="1">
      <protection locked="0"/>
    </xf>
    <xf numFmtId="167" fontId="8" fillId="2" borderId="21" xfId="0" applyNumberFormat="1" applyFont="1" applyFill="1" applyBorder="1" applyProtection="1">
      <protection locked="0"/>
    </xf>
    <xf numFmtId="167" fontId="8" fillId="2" borderId="22" xfId="0" applyNumberFormat="1" applyFont="1" applyFill="1" applyBorder="1" applyProtection="1">
      <protection locked="0"/>
    </xf>
    <xf numFmtId="167" fontId="8" fillId="2" borderId="23" xfId="0" applyNumberFormat="1" applyFont="1" applyFill="1" applyBorder="1" applyProtection="1">
      <protection locked="0"/>
    </xf>
    <xf numFmtId="176" fontId="36" fillId="5" borderId="1" xfId="9" applyNumberFormat="1" applyFont="1" applyFill="1" applyBorder="1" applyAlignment="1">
      <alignment horizontal="center"/>
    </xf>
    <xf numFmtId="169" fontId="29" fillId="5" borderId="8" xfId="3" applyNumberFormat="1" applyFont="1" applyFill="1" applyBorder="1"/>
    <xf numFmtId="169" fontId="29" fillId="5" borderId="4" xfId="3" applyNumberFormat="1" applyFont="1" applyFill="1" applyBorder="1"/>
    <xf numFmtId="176" fontId="34" fillId="4" borderId="12" xfId="8" applyNumberFormat="1" applyFont="1" applyBorder="1" applyAlignment="1">
      <alignment horizontal="center"/>
    </xf>
    <xf numFmtId="0" fontId="37" fillId="5" borderId="1" xfId="10" applyFont="1" applyFill="1" applyBorder="1" applyAlignment="1">
      <alignment horizontal="center"/>
    </xf>
    <xf numFmtId="169" fontId="29" fillId="7" borderId="8" xfId="3" applyNumberFormat="1" applyFont="1" applyFill="1" applyBorder="1"/>
    <xf numFmtId="169" fontId="29" fillId="7" borderId="4" xfId="3" applyNumberFormat="1" applyFont="1" applyFill="1" applyBorder="1"/>
    <xf numFmtId="0" fontId="38" fillId="8" borderId="0" xfId="0" applyFont="1" applyFill="1" applyAlignment="1" applyProtection="1">
      <alignment horizontal="center"/>
      <protection hidden="1"/>
    </xf>
    <xf numFmtId="176" fontId="36" fillId="5" borderId="1" xfId="9" applyNumberFormat="1" applyFont="1" applyFill="1" applyBorder="1" applyAlignment="1">
      <alignment horizontal="left"/>
    </xf>
    <xf numFmtId="165" fontId="39" fillId="6" borderId="1" xfId="9" applyNumberFormat="1" applyFont="1" applyFill="1" applyBorder="1" applyAlignment="1">
      <alignment horizontal="left"/>
    </xf>
    <xf numFmtId="3" fontId="8" fillId="2" borderId="16" xfId="0" applyNumberFormat="1" applyFont="1" applyFill="1" applyBorder="1" applyProtection="1">
      <protection locked="0"/>
    </xf>
    <xf numFmtId="3" fontId="8" fillId="2" borderId="19" xfId="0" applyNumberFormat="1" applyFont="1" applyFill="1" applyBorder="1" applyProtection="1">
      <protection locked="0"/>
    </xf>
    <xf numFmtId="3" fontId="8" fillId="2" borderId="21" xfId="0" applyNumberFormat="1" applyFont="1" applyFill="1" applyBorder="1" applyProtection="1">
      <protection locked="0"/>
    </xf>
    <xf numFmtId="166" fontId="8" fillId="2" borderId="16" xfId="0" applyNumberFormat="1" applyFont="1" applyFill="1" applyBorder="1" applyProtection="1">
      <protection locked="0"/>
    </xf>
    <xf numFmtId="166" fontId="8" fillId="2" borderId="17" xfId="0" applyNumberFormat="1" applyFont="1" applyFill="1" applyBorder="1" applyProtection="1">
      <protection locked="0"/>
    </xf>
    <xf numFmtId="166" fontId="8" fillId="2" borderId="18" xfId="0" applyNumberFormat="1" applyFont="1" applyFill="1" applyBorder="1" applyProtection="1">
      <protection locked="0"/>
    </xf>
    <xf numFmtId="166" fontId="8" fillId="2" borderId="19" xfId="0" applyNumberFormat="1" applyFont="1" applyFill="1" applyBorder="1" applyProtection="1">
      <protection locked="0"/>
    </xf>
    <xf numFmtId="166" fontId="8" fillId="2" borderId="1" xfId="0" applyNumberFormat="1" applyFont="1" applyFill="1" applyBorder="1" applyProtection="1">
      <protection locked="0"/>
    </xf>
    <xf numFmtId="166" fontId="8" fillId="2" borderId="20" xfId="0" applyNumberFormat="1" applyFont="1" applyFill="1" applyBorder="1" applyProtection="1">
      <protection locked="0"/>
    </xf>
    <xf numFmtId="166" fontId="8" fillId="2" borderId="21" xfId="0" applyNumberFormat="1" applyFont="1" applyFill="1" applyBorder="1" applyProtection="1">
      <protection locked="0"/>
    </xf>
    <xf numFmtId="166" fontId="8" fillId="2" borderId="22" xfId="0" applyNumberFormat="1" applyFont="1" applyFill="1" applyBorder="1" applyProtection="1">
      <protection locked="0"/>
    </xf>
    <xf numFmtId="166" fontId="8" fillId="2" borderId="23" xfId="0" applyNumberFormat="1" applyFont="1" applyFill="1" applyBorder="1" applyProtection="1">
      <protection locked="0"/>
    </xf>
    <xf numFmtId="9" fontId="8" fillId="7" borderId="20" xfId="2" applyFont="1" applyFill="1" applyBorder="1" applyAlignment="1" applyProtection="1">
      <alignment horizontal="center"/>
      <protection locked="0"/>
    </xf>
    <xf numFmtId="165" fontId="39" fillId="9" borderId="1" xfId="9" applyNumberFormat="1" applyFont="1" applyFill="1" applyBorder="1" applyAlignment="1">
      <alignment horizontal="left"/>
    </xf>
    <xf numFmtId="164" fontId="8" fillId="7" borderId="16" xfId="3" applyNumberFormat="1" applyFont="1" applyFill="1" applyBorder="1" applyProtection="1">
      <protection locked="0"/>
    </xf>
    <xf numFmtId="164" fontId="8" fillId="7" borderId="17" xfId="3" applyNumberFormat="1" applyFont="1" applyFill="1" applyBorder="1" applyProtection="1">
      <protection locked="0"/>
    </xf>
    <xf numFmtId="164" fontId="8" fillId="7" borderId="18" xfId="3" applyNumberFormat="1" applyFont="1" applyFill="1" applyBorder="1" applyProtection="1">
      <protection locked="0"/>
    </xf>
    <xf numFmtId="164" fontId="8" fillId="7" borderId="19" xfId="3" applyNumberFormat="1" applyFont="1" applyFill="1" applyBorder="1" applyProtection="1">
      <protection locked="0"/>
    </xf>
    <xf numFmtId="164" fontId="8" fillId="7" borderId="1" xfId="3" applyNumberFormat="1" applyFont="1" applyFill="1" applyBorder="1" applyProtection="1">
      <protection locked="0"/>
    </xf>
    <xf numFmtId="164" fontId="8" fillId="7" borderId="20" xfId="3" applyNumberFormat="1" applyFont="1" applyFill="1" applyBorder="1" applyProtection="1">
      <protection locked="0"/>
    </xf>
    <xf numFmtId="164" fontId="8" fillId="7" borderId="21" xfId="3" applyNumberFormat="1" applyFont="1" applyFill="1" applyBorder="1" applyProtection="1">
      <protection locked="0"/>
    </xf>
    <xf numFmtId="164" fontId="8" fillId="7" borderId="22" xfId="3" applyNumberFormat="1" applyFont="1" applyFill="1" applyBorder="1" applyProtection="1">
      <protection locked="0"/>
    </xf>
    <xf numFmtId="164" fontId="8" fillId="7" borderId="23" xfId="3" applyNumberFormat="1" applyFont="1" applyFill="1" applyBorder="1" applyProtection="1">
      <protection locked="0"/>
    </xf>
    <xf numFmtId="9" fontId="8" fillId="7" borderId="24" xfId="2" applyFont="1" applyFill="1" applyBorder="1" applyAlignment="1" applyProtection="1">
      <alignment horizontal="center"/>
      <protection locked="0"/>
    </xf>
    <xf numFmtId="176" fontId="34" fillId="4" borderId="12" xfId="8" applyNumberFormat="1" applyFont="1" applyBorder="1" applyAlignment="1">
      <alignment horizontal="left"/>
    </xf>
    <xf numFmtId="176" fontId="36" fillId="5" borderId="1" xfId="9" quotePrefix="1" applyNumberFormat="1" applyFont="1" applyFill="1" applyBorder="1" applyAlignment="1">
      <alignment horizontal="left"/>
    </xf>
    <xf numFmtId="169" fontId="29" fillId="5" borderId="6" xfId="3" applyNumberFormat="1" applyFont="1" applyFill="1" applyBorder="1"/>
    <xf numFmtId="167" fontId="2" fillId="0" borderId="25" xfId="0" applyNumberFormat="1" applyFont="1" applyBorder="1"/>
    <xf numFmtId="167" fontId="2" fillId="0" borderId="26" xfId="0" applyNumberFormat="1" applyFont="1" applyBorder="1"/>
    <xf numFmtId="167" fontId="2" fillId="0" borderId="27" xfId="0" applyNumberFormat="1" applyFont="1" applyBorder="1"/>
    <xf numFmtId="176" fontId="40" fillId="5" borderId="1" xfId="9" quotePrefix="1" applyNumberFormat="1" applyFont="1" applyFill="1" applyBorder="1" applyAlignment="1">
      <alignment horizontal="left"/>
    </xf>
    <xf numFmtId="0" fontId="41" fillId="0" borderId="0" xfId="0" quotePrefix="1" applyFont="1" applyAlignment="1">
      <alignment horizontal="left"/>
    </xf>
    <xf numFmtId="176" fontId="34" fillId="4" borderId="0" xfId="8" applyNumberFormat="1" applyFont="1" applyAlignment="1">
      <alignment horizontal="center"/>
    </xf>
    <xf numFmtId="0" fontId="0" fillId="0" borderId="0" xfId="0" applyAlignment="1">
      <alignment horizontal="left"/>
    </xf>
    <xf numFmtId="0" fontId="37" fillId="5" borderId="4" xfId="10" applyFont="1" applyFill="1" applyBorder="1" applyAlignment="1">
      <alignment horizontal="center"/>
    </xf>
    <xf numFmtId="169" fontId="0" fillId="0" borderId="0" xfId="0" applyNumberFormat="1" applyProtection="1">
      <protection hidden="1"/>
    </xf>
    <xf numFmtId="0" fontId="42" fillId="5" borderId="29" xfId="11" applyFont="1" applyFill="1" applyBorder="1" applyAlignment="1">
      <alignment vertical="center" wrapText="1"/>
    </xf>
    <xf numFmtId="0" fontId="43" fillId="5" borderId="31" xfId="11" quotePrefix="1" applyFont="1" applyFill="1" applyBorder="1" applyAlignment="1">
      <alignment vertical="center" wrapText="1"/>
    </xf>
    <xf numFmtId="164" fontId="0" fillId="0" borderId="0" xfId="0" applyNumberFormat="1"/>
    <xf numFmtId="0" fontId="43" fillId="5" borderId="29" xfId="11" quotePrefix="1" applyFont="1" applyFill="1" applyBorder="1" applyAlignment="1">
      <alignment vertical="center" wrapText="1"/>
    </xf>
    <xf numFmtId="0" fontId="43" fillId="5" borderId="30" xfId="11" quotePrefix="1" applyFont="1" applyFill="1" applyBorder="1" applyAlignment="1">
      <alignment horizontal="left" vertical="center" wrapText="1"/>
    </xf>
    <xf numFmtId="0" fontId="43" fillId="5" borderId="32" xfId="11" quotePrefix="1" applyFont="1" applyFill="1" applyBorder="1" applyAlignment="1">
      <alignment horizontal="left" vertical="center" wrapText="1"/>
    </xf>
    <xf numFmtId="0" fontId="42" fillId="5" borderId="30" xfId="11" applyFont="1" applyFill="1" applyBorder="1" applyAlignment="1">
      <alignment vertical="center" wrapText="1"/>
    </xf>
    <xf numFmtId="177" fontId="44" fillId="5" borderId="0" xfId="0" applyNumberFormat="1" applyFont="1" applyFill="1" applyAlignment="1">
      <alignment vertical="center"/>
    </xf>
    <xf numFmtId="164" fontId="2" fillId="0" borderId="33" xfId="0" applyNumberFormat="1" applyFont="1" applyBorder="1"/>
    <xf numFmtId="178" fontId="0" fillId="0" borderId="0" xfId="0" applyNumberFormat="1"/>
    <xf numFmtId="167" fontId="0" fillId="0" borderId="34" xfId="0" applyNumberFormat="1" applyBorder="1"/>
    <xf numFmtId="169" fontId="45" fillId="5" borderId="4" xfId="3" applyNumberFormat="1" applyFont="1" applyFill="1" applyBorder="1"/>
    <xf numFmtId="0" fontId="0" fillId="5" borderId="0" xfId="0" applyFill="1" applyProtection="1">
      <protection hidden="1"/>
    </xf>
    <xf numFmtId="167" fontId="0" fillId="5" borderId="0" xfId="0" applyNumberFormat="1" applyFill="1" applyProtection="1">
      <protection hidden="1"/>
    </xf>
    <xf numFmtId="169" fontId="0" fillId="0" borderId="0" xfId="0" applyNumberFormat="1"/>
    <xf numFmtId="168" fontId="0" fillId="0" borderId="1" xfId="0" applyNumberFormat="1" applyBorder="1"/>
    <xf numFmtId="168" fontId="0" fillId="0" borderId="3" xfId="0" applyNumberFormat="1" applyBorder="1"/>
    <xf numFmtId="9" fontId="8" fillId="7" borderId="25" xfId="2" applyFont="1" applyFill="1" applyBorder="1" applyProtection="1">
      <protection locked="0"/>
    </xf>
    <xf numFmtId="9" fontId="8" fillId="7" borderId="26" xfId="2" applyFont="1" applyFill="1" applyBorder="1" applyProtection="1">
      <protection locked="0"/>
    </xf>
    <xf numFmtId="9" fontId="8" fillId="7" borderId="27" xfId="2" applyFont="1" applyFill="1" applyBorder="1" applyProtection="1">
      <protection locked="0"/>
    </xf>
    <xf numFmtId="176" fontId="36" fillId="0" borderId="1" xfId="9" quotePrefix="1" applyNumberFormat="1" applyFont="1" applyBorder="1" applyAlignment="1">
      <alignment horizontal="left"/>
    </xf>
    <xf numFmtId="169" fontId="29" fillId="0" borderId="6" xfId="3" applyNumberFormat="1" applyFont="1" applyBorder="1"/>
    <xf numFmtId="0" fontId="0" fillId="5" borderId="0" xfId="0" applyFill="1"/>
    <xf numFmtId="0" fontId="46" fillId="0" borderId="0" xfId="0" applyFont="1" applyAlignment="1">
      <alignment wrapText="1"/>
    </xf>
    <xf numFmtId="169" fontId="8" fillId="7" borderId="37" xfId="3" applyNumberFormat="1" applyFont="1" applyFill="1" applyBorder="1" applyProtection="1">
      <protection locked="0"/>
    </xf>
    <xf numFmtId="167" fontId="8" fillId="7" borderId="38" xfId="2" applyNumberFormat="1" applyFont="1" applyFill="1" applyBorder="1" applyProtection="1">
      <protection locked="0"/>
    </xf>
    <xf numFmtId="167" fontId="8" fillId="7" borderId="39" xfId="2" applyNumberFormat="1" applyFont="1" applyFill="1" applyBorder="1" applyProtection="1">
      <protection locked="0"/>
    </xf>
    <xf numFmtId="169" fontId="29" fillId="5" borderId="18" xfId="3" applyNumberFormat="1" applyFont="1" applyFill="1" applyBorder="1"/>
    <xf numFmtId="169" fontId="29" fillId="5" borderId="40" xfId="3" applyNumberFormat="1" applyFont="1" applyFill="1" applyBorder="1"/>
    <xf numFmtId="164" fontId="8" fillId="7" borderId="41" xfId="3" applyNumberFormat="1" applyFont="1" applyFill="1" applyBorder="1" applyProtection="1">
      <protection locked="0"/>
    </xf>
    <xf numFmtId="164" fontId="8" fillId="7" borderId="42" xfId="3" applyNumberFormat="1" applyFont="1" applyFill="1" applyBorder="1" applyProtection="1">
      <protection locked="0"/>
    </xf>
    <xf numFmtId="164" fontId="8" fillId="7" borderId="43" xfId="3" applyNumberFormat="1" applyFont="1" applyFill="1" applyBorder="1" applyProtection="1">
      <protection locked="0"/>
    </xf>
    <xf numFmtId="168" fontId="0" fillId="10" borderId="1" xfId="0" applyNumberFormat="1" applyFill="1" applyBorder="1"/>
    <xf numFmtId="0" fontId="28" fillId="5" borderId="0" xfId="4" applyNumberFormat="1" applyFont="1" applyFill="1" applyAlignment="1" applyProtection="1">
      <alignment horizontal="center" vertical="center" wrapText="1"/>
      <protection hidden="1"/>
    </xf>
    <xf numFmtId="17" fontId="0" fillId="2" borderId="1" xfId="0" applyNumberFormat="1" applyFill="1" applyBorder="1"/>
    <xf numFmtId="179" fontId="37" fillId="5" borderId="4" xfId="10" applyNumberFormat="1" applyFont="1" applyFill="1" applyBorder="1" applyAlignment="1">
      <alignment horizontal="center"/>
    </xf>
    <xf numFmtId="179" fontId="38" fillId="8" borderId="0" xfId="0" applyNumberFormat="1" applyFont="1" applyFill="1" applyAlignment="1" applyProtection="1">
      <alignment horizontal="center"/>
      <protection hidden="1"/>
    </xf>
    <xf numFmtId="167" fontId="8" fillId="7" borderId="35" xfId="2" applyNumberFormat="1" applyFont="1" applyFill="1" applyBorder="1" applyProtection="1">
      <protection locked="0"/>
    </xf>
    <xf numFmtId="167" fontId="8" fillId="7" borderId="36" xfId="2" applyNumberFormat="1" applyFont="1" applyFill="1" applyBorder="1" applyProtection="1">
      <protection locked="0"/>
    </xf>
    <xf numFmtId="179" fontId="2" fillId="0" borderId="0" xfId="0" applyNumberFormat="1" applyFont="1" applyAlignment="1">
      <alignment horizontal="right"/>
    </xf>
    <xf numFmtId="179" fontId="37" fillId="5" borderId="1" xfId="10" applyNumberFormat="1" applyFont="1" applyFill="1" applyBorder="1" applyAlignment="1">
      <alignment horizontal="center"/>
    </xf>
    <xf numFmtId="179" fontId="2" fillId="0" borderId="0" xfId="0" applyNumberFormat="1" applyFont="1" applyAlignment="1">
      <alignment horizontal="center"/>
    </xf>
    <xf numFmtId="176" fontId="40" fillId="5" borderId="1" xfId="9" applyNumberFormat="1" applyFont="1" applyFill="1" applyBorder="1" applyAlignment="1">
      <alignment horizontal="left"/>
    </xf>
    <xf numFmtId="179" fontId="2" fillId="0" borderId="0" xfId="0" applyNumberFormat="1" applyFont="1"/>
    <xf numFmtId="176" fontId="47" fillId="11" borderId="1" xfId="9" applyNumberFormat="1" applyFont="1" applyFill="1" applyBorder="1" applyAlignment="1">
      <alignment horizontal="left"/>
    </xf>
    <xf numFmtId="169" fontId="34" fillId="11" borderId="6" xfId="3" applyNumberFormat="1" applyFont="1" applyFill="1" applyBorder="1"/>
    <xf numFmtId="0" fontId="0" fillId="0" borderId="0" xfId="0"/>
    <xf numFmtId="0" fontId="0" fillId="0" borderId="0" xfId="0"/>
    <xf numFmtId="0" fontId="3" fillId="0" borderId="0" xfId="1" applyFill="1" applyAlignment="1" applyProtection="1"/>
    <xf numFmtId="180" fontId="45" fillId="5" borderId="4" xfId="3" applyNumberFormat="1" applyFont="1" applyFill="1" applyBorder="1"/>
    <xf numFmtId="10" fontId="8" fillId="7" borderId="21" xfId="2" applyNumberFormat="1" applyFont="1" applyFill="1" applyBorder="1" applyProtection="1">
      <protection locked="0"/>
    </xf>
    <xf numFmtId="10" fontId="8" fillId="7" borderId="22" xfId="2" applyNumberFormat="1" applyFont="1" applyFill="1" applyBorder="1" applyProtection="1">
      <protection locked="0"/>
    </xf>
    <xf numFmtId="10" fontId="8" fillId="7" borderId="23" xfId="2" applyNumberFormat="1" applyFont="1" applyFill="1" applyBorder="1" applyProtection="1">
      <protection locked="0"/>
    </xf>
    <xf numFmtId="167" fontId="8" fillId="7" borderId="25" xfId="2" applyNumberFormat="1" applyFont="1" applyFill="1" applyBorder="1" applyProtection="1">
      <protection locked="0"/>
    </xf>
    <xf numFmtId="167" fontId="8" fillId="7" borderId="26" xfId="2" applyNumberFormat="1" applyFont="1" applyFill="1" applyBorder="1" applyProtection="1">
      <protection locked="0"/>
    </xf>
    <xf numFmtId="167" fontId="8" fillId="7" borderId="27" xfId="2" applyNumberFormat="1" applyFont="1" applyFill="1" applyBorder="1" applyProtection="1">
      <protection locked="0"/>
    </xf>
    <xf numFmtId="9" fontId="8" fillId="7" borderId="41" xfId="2" applyFont="1" applyFill="1" applyBorder="1" applyProtection="1">
      <protection locked="0"/>
    </xf>
    <xf numFmtId="9" fontId="8" fillId="7" borderId="42" xfId="2" applyFont="1" applyFill="1" applyBorder="1" applyProtection="1">
      <protection locked="0"/>
    </xf>
    <xf numFmtId="176" fontId="34" fillId="4" borderId="0" xfId="8" applyNumberFormat="1" applyFont="1" applyAlignment="1">
      <alignment horizontal="center"/>
    </xf>
    <xf numFmtId="0" fontId="0" fillId="0" borderId="0" xfId="0"/>
    <xf numFmtId="38" fontId="27" fillId="5" borderId="4" xfId="4" applyNumberFormat="1" applyFont="1" applyFill="1" applyBorder="1" applyAlignment="1" applyProtection="1">
      <alignment horizontal="center"/>
      <protection locked="0"/>
    </xf>
    <xf numFmtId="38" fontId="27" fillId="5" borderId="5" xfId="4" applyNumberFormat="1" applyFont="1" applyFill="1" applyBorder="1" applyAlignment="1" applyProtection="1">
      <alignment horizontal="center"/>
      <protection locked="0"/>
    </xf>
    <xf numFmtId="176" fontId="34" fillId="4" borderId="28" xfId="8" applyNumberFormat="1" applyFont="1" applyBorder="1" applyAlignment="1">
      <alignment horizontal="center"/>
    </xf>
    <xf numFmtId="179" fontId="37" fillId="5" borderId="4" xfId="10" applyNumberFormat="1" applyFont="1" applyFill="1" applyBorder="1" applyAlignment="1">
      <alignment horizontal="center"/>
    </xf>
    <xf numFmtId="179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1" fontId="27" fillId="0" borderId="1" xfId="4" applyFont="1" applyBorder="1" applyAlignment="1">
      <alignment horizontal="left" vertical="center" wrapText="1"/>
    </xf>
  </cellXfs>
  <cellStyles count="12">
    <cellStyle name="Collegamento ipertestuale" xfId="1" builtinId="8"/>
    <cellStyle name="Colore 5 2" xfId="8" xr:uid="{00000000-0005-0000-0000-000001000000}"/>
    <cellStyle name="Migliaia" xfId="3" builtinId="3"/>
    <cellStyle name="Migliaia [0] 2" xfId="6" xr:uid="{00000000-0005-0000-0000-000003000000}"/>
    <cellStyle name="Migliaia 2" xfId="7" xr:uid="{00000000-0005-0000-0000-000004000000}"/>
    <cellStyle name="Migliaia 3" xfId="9" xr:uid="{00000000-0005-0000-0000-000005000000}"/>
    <cellStyle name="Normale" xfId="0" builtinId="0"/>
    <cellStyle name="Normale 3" xfId="10" xr:uid="{00000000-0005-0000-0000-000007000000}"/>
    <cellStyle name="Normale 4" xfId="4" xr:uid="{00000000-0005-0000-0000-000008000000}"/>
    <cellStyle name="Normale_BP Modello" xfId="11" xr:uid="{00000000-0005-0000-0000-000009000000}"/>
    <cellStyle name="Percentuale" xfId="2" builtinId="5"/>
    <cellStyle name="Percentuale 2" xfId="5" xr:uid="{00000000-0005-0000-0000-00000B000000}"/>
  </cellStyles>
  <dxfs count="66">
    <dxf>
      <font>
        <color rgb="FFFFFFFF"/>
      </font>
      <fill>
        <patternFill patternType="none"/>
      </fill>
      <border>
        <left/>
        <right/>
        <top/>
        <bottom/>
      </border>
    </dxf>
    <dxf>
      <font>
        <color rgb="FFFFFFFF"/>
      </font>
      <fill>
        <patternFill patternType="none"/>
      </fill>
      <border>
        <left/>
        <right/>
        <top/>
        <bottom/>
      </border>
    </dxf>
    <dxf>
      <font>
        <color rgb="FFFFFFFF"/>
      </font>
      <fill>
        <patternFill patternType="none"/>
      </fill>
      <border>
        <left/>
        <right/>
        <top/>
        <bottom/>
      </border>
    </dxf>
    <dxf>
      <font>
        <color rgb="FFFFFFFF"/>
      </font>
      <fill>
        <patternFill patternType="none"/>
      </fill>
      <border>
        <left/>
        <right/>
        <top/>
        <bottom/>
      </border>
    </dxf>
    <dxf>
      <font>
        <color rgb="FFFFFFFF"/>
      </font>
      <fill>
        <patternFill patternType="none"/>
      </fill>
      <border>
        <left/>
        <right/>
        <top/>
        <bottom/>
      </border>
    </dxf>
    <dxf>
      <font>
        <color rgb="FFFFFFFF"/>
      </font>
      <fill>
        <patternFill patternType="none"/>
      </fill>
      <border>
        <left/>
        <right/>
        <top/>
        <bottom/>
      </border>
    </dxf>
    <dxf>
      <font>
        <color rgb="FFFFFFFF"/>
      </font>
      <fill>
        <patternFill patternType="none"/>
      </fill>
      <border>
        <left/>
        <right/>
        <top/>
        <bottom/>
      </border>
    </dxf>
    <dxf>
      <font>
        <color rgb="FFFFFFFF"/>
      </font>
      <fill>
        <patternFill patternType="none"/>
      </fill>
      <border>
        <left/>
        <right/>
        <top/>
        <bottom/>
      </border>
    </dxf>
    <dxf>
      <font>
        <color rgb="FFFFFFFF"/>
      </font>
      <fill>
        <patternFill patternType="none"/>
      </fill>
      <border>
        <left/>
        <right/>
        <top/>
        <bottom/>
      </border>
    </dxf>
    <dxf>
      <font>
        <color rgb="FFFFFFFF"/>
      </font>
      <fill>
        <patternFill patternType="none"/>
      </fill>
      <border>
        <left/>
        <right/>
        <top/>
        <bottom/>
      </border>
    </dxf>
    <dxf>
      <font>
        <color rgb="FFFFFFFF"/>
      </font>
      <fill>
        <patternFill patternType="none"/>
      </fill>
      <border>
        <left/>
        <right/>
        <top/>
        <bottom/>
      </border>
    </dxf>
    <dxf>
      <font>
        <color rgb="FFFFFFFF"/>
      </font>
      <fill>
        <patternFill patternType="none"/>
      </fill>
      <border>
        <left/>
        <right/>
        <top/>
        <bottom/>
      </border>
    </dxf>
    <dxf>
      <font>
        <color rgb="FFFFFFFF"/>
      </font>
      <fill>
        <patternFill patternType="none"/>
      </fill>
      <border>
        <left/>
        <right/>
        <top/>
        <bottom/>
      </border>
    </dxf>
    <dxf>
      <font>
        <color rgb="FFFFFFFF"/>
      </font>
      <fill>
        <patternFill patternType="none"/>
      </fill>
      <border>
        <left/>
        <right/>
        <top/>
        <bottom/>
      </border>
    </dxf>
    <dxf>
      <font>
        <color rgb="FFFFFFFF"/>
      </font>
      <fill>
        <patternFill patternType="none"/>
      </fill>
      <border>
        <left/>
        <right/>
        <top/>
        <bottom/>
      </border>
    </dxf>
    <dxf>
      <font>
        <color rgb="FFFFFFFF"/>
      </font>
      <fill>
        <patternFill patternType="none"/>
      </fill>
      <border>
        <left/>
        <right/>
        <top/>
        <bottom/>
      </border>
    </dxf>
    <dxf>
      <font>
        <color rgb="FFFFFFFF"/>
      </font>
      <fill>
        <patternFill patternType="none"/>
      </fill>
      <border>
        <left/>
        <right/>
        <top/>
        <bottom/>
      </border>
    </dxf>
    <dxf>
      <font>
        <color rgb="FFFFFFFF"/>
      </font>
      <fill>
        <patternFill patternType="none"/>
      </fill>
      <border>
        <left/>
        <right/>
        <top/>
        <bottom/>
      </border>
    </dxf>
    <dxf>
      <font>
        <color rgb="FFFFFFFF"/>
      </font>
      <fill>
        <patternFill patternType="none"/>
      </fill>
      <border>
        <left/>
        <right/>
        <top/>
        <bottom/>
      </border>
    </dxf>
    <dxf>
      <font>
        <color rgb="FFFFFFFF"/>
      </font>
      <fill>
        <patternFill patternType="none"/>
      </fill>
      <border>
        <left/>
        <right/>
        <top/>
        <bottom/>
      </border>
    </dxf>
    <dxf>
      <font>
        <color rgb="FFFFFFFF"/>
      </font>
      <fill>
        <patternFill patternType="none"/>
      </fill>
      <border>
        <left/>
        <right/>
        <top/>
        <bottom/>
      </border>
    </dxf>
    <dxf>
      <font>
        <color rgb="FFFFFFFF"/>
      </font>
      <fill>
        <patternFill patternType="none"/>
      </fill>
      <border>
        <left/>
        <right/>
        <top/>
        <bottom/>
      </border>
    </dxf>
    <dxf>
      <font>
        <color rgb="FFFFFFFF"/>
      </font>
      <fill>
        <patternFill patternType="none"/>
      </fill>
      <border>
        <left/>
        <right/>
        <top/>
        <bottom/>
      </border>
    </dxf>
    <dxf>
      <font>
        <color rgb="FFFFFFFF"/>
      </font>
      <fill>
        <patternFill patternType="none"/>
      </fill>
      <border>
        <left/>
        <right/>
        <top/>
        <bottom/>
      </border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anluca.imperiale/Documents/Gianluca/Progetto%20Blog/rendiconto%20Finanziario/IstanzaXBRL_win7/istanzaXBR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s"/>
      <sheetName val="Indice"/>
      <sheetName val="Impostazioni"/>
      <sheetName val="Estensione"/>
      <sheetName val="Anagrafica"/>
      <sheetName val="Info"/>
      <sheetName val="Info_istanza"/>
      <sheetName val="DatiNormalizzati"/>
      <sheetName val="DatiGestionale"/>
      <sheetName val="ValoriRimappati"/>
      <sheetName val="SP"/>
      <sheetName val="SP_istanza"/>
      <sheetName val="SPAbb"/>
      <sheetName val="SPAbb_istanza"/>
      <sheetName val="SPAbbSemp"/>
      <sheetName val="SPAbbSemp_istanza"/>
      <sheetName val="SPCons"/>
      <sheetName val="SPCons_istanza"/>
      <sheetName val="CO"/>
      <sheetName val="CO_istanza"/>
      <sheetName val="CE"/>
      <sheetName val="CE_istanza"/>
      <sheetName val="CEAbb"/>
      <sheetName val="CEAbb_istanza"/>
      <sheetName val="CECons"/>
      <sheetName val="CECons_istanza"/>
      <sheetName val="BAK"/>
      <sheetName val="BAK_istanza"/>
      <sheetName val="Ext_SPAbb"/>
      <sheetName val="Configurazione"/>
      <sheetName val="Import"/>
      <sheetName val="InstanceTemplate"/>
      <sheetName val="Stylesheet"/>
    </sheetNames>
    <sheetDataSet>
      <sheetData sheetId="0" refreshError="1"/>
      <sheetData sheetId="1" refreshError="1"/>
      <sheetData sheetId="2">
        <row r="20">
          <cell r="A20" t="str">
            <v>Ce</v>
          </cell>
          <cell r="B20" t="str">
            <v>Conto economico a valore e costo della produzione (schema civilistico)</v>
          </cell>
          <cell r="C20" t="str">
            <v>CEValProduzioneCodCivile</v>
          </cell>
          <cell r="D20" t="str">
            <v>Income statement (value and cost of production)</v>
          </cell>
          <cell r="E20" t="b">
            <v>1</v>
          </cell>
          <cell r="F20" t="b">
            <v>1</v>
          </cell>
          <cell r="G20" t="b">
            <v>0</v>
          </cell>
          <cell r="H20" t="b">
            <v>0</v>
          </cell>
          <cell r="I20" t="str">
            <v>ese</v>
          </cell>
          <cell r="J20" t="str">
            <v>itcc-ci-ese-2011-01-04</v>
          </cell>
        </row>
        <row r="21">
          <cell r="A21" t="str">
            <v>Co</v>
          </cell>
          <cell r="B21" t="str">
            <v>Conti d'ordine</v>
          </cell>
          <cell r="C21" t="str">
            <v>ContiOrdine</v>
          </cell>
          <cell r="D21" t="str">
            <v>Memo Accounts</v>
          </cell>
          <cell r="E21" t="b">
            <v>1</v>
          </cell>
          <cell r="F21" t="b">
            <v>1</v>
          </cell>
          <cell r="G21" t="b">
            <v>0</v>
          </cell>
          <cell r="H21" t="b">
            <v>0</v>
          </cell>
          <cell r="I21" t="str">
            <v>ese</v>
          </cell>
          <cell r="J21" t="str">
            <v>itcc-ci-ese-2011-01-04</v>
          </cell>
        </row>
        <row r="22">
          <cell r="E22" t="b">
            <v>1</v>
          </cell>
          <cell r="F22" t="b">
            <v>1</v>
          </cell>
          <cell r="G22" t="b">
            <v>0</v>
          </cell>
          <cell r="H22" t="b">
            <v>0</v>
          </cell>
          <cell r="I22" t="str">
            <v>cons</v>
          </cell>
          <cell r="J22" t="str">
            <v>itcc-ci-cons-2011-01-04</v>
          </cell>
        </row>
        <row r="23">
          <cell r="E23" t="b">
            <v>1</v>
          </cell>
          <cell r="F23" t="b">
            <v>1</v>
          </cell>
          <cell r="G23" t="b">
            <v>0</v>
          </cell>
          <cell r="H23" t="b">
            <v>0</v>
          </cell>
          <cell r="I23" t="str">
            <v>abb</v>
          </cell>
          <cell r="J23" t="str">
            <v>itcc-ci-abb-2011-01-04</v>
          </cell>
        </row>
        <row r="24">
          <cell r="E24" t="b">
            <v>1</v>
          </cell>
          <cell r="F24" t="b">
            <v>1</v>
          </cell>
          <cell r="G24" t="b">
            <v>0</v>
          </cell>
          <cell r="H24" t="b">
            <v>0</v>
          </cell>
          <cell r="I24" t="str">
            <v>abbsemp</v>
          </cell>
          <cell r="J24" t="str">
            <v>itcc-ci-abbsemp-2011-01-04</v>
          </cell>
        </row>
        <row r="25">
          <cell r="A25" t="str">
            <v>Info</v>
          </cell>
          <cell r="B25" t="str">
            <v>Informazioni generali sull'azienda</v>
          </cell>
          <cell r="C25" t="str">
            <v>InfoGenerali</v>
          </cell>
          <cell r="D25" t="str">
            <v>General information about the firm</v>
          </cell>
          <cell r="E25" t="b">
            <v>1</v>
          </cell>
          <cell r="F25" t="b">
            <v>0</v>
          </cell>
          <cell r="G25" t="b">
            <v>0</v>
          </cell>
          <cell r="H25" t="b">
            <v>0</v>
          </cell>
          <cell r="I25" t="str">
            <v>ese</v>
          </cell>
          <cell r="J25" t="str">
            <v>itcc-ci-ese-2011-01-04</v>
          </cell>
        </row>
        <row r="26">
          <cell r="E26" t="b">
            <v>1</v>
          </cell>
          <cell r="F26" t="b">
            <v>0</v>
          </cell>
          <cell r="G26" t="b">
            <v>0</v>
          </cell>
          <cell r="H26" t="b">
            <v>0</v>
          </cell>
          <cell r="I26" t="str">
            <v>cons</v>
          </cell>
          <cell r="J26" t="str">
            <v>itcc-ci-cons-2011-01-04</v>
          </cell>
        </row>
        <row r="27">
          <cell r="E27" t="b">
            <v>1</v>
          </cell>
          <cell r="F27" t="b">
            <v>0</v>
          </cell>
          <cell r="G27" t="b">
            <v>0</v>
          </cell>
          <cell r="H27" t="b">
            <v>0</v>
          </cell>
          <cell r="I27" t="str">
            <v>abb</v>
          </cell>
          <cell r="J27" t="str">
            <v>itcc-ci-abb-2011-01-04</v>
          </cell>
        </row>
        <row r="28">
          <cell r="E28" t="b">
            <v>1</v>
          </cell>
          <cell r="F28" t="b">
            <v>0</v>
          </cell>
          <cell r="G28" t="b">
            <v>0</v>
          </cell>
          <cell r="H28" t="b">
            <v>0</v>
          </cell>
          <cell r="I28" t="str">
            <v>abbsemp</v>
          </cell>
          <cell r="J28" t="str">
            <v>itcc-ci-abbsemp-2011-01-04</v>
          </cell>
        </row>
        <row r="29">
          <cell r="A29" t="str">
            <v>Sp</v>
          </cell>
          <cell r="B29" t="str">
            <v>Stato patrimoniale (schema civilistico)</v>
          </cell>
          <cell r="C29" t="str">
            <v>SpCodCivile</v>
          </cell>
          <cell r="D29" t="str">
            <v>Balance sheet (mandatory scheme)</v>
          </cell>
          <cell r="E29" t="b">
            <v>1</v>
          </cell>
          <cell r="F29" t="b">
            <v>1</v>
          </cell>
          <cell r="G29" t="b">
            <v>0</v>
          </cell>
          <cell r="H29" t="b">
            <v>0</v>
          </cell>
          <cell r="I29" t="str">
            <v>ese</v>
          </cell>
          <cell r="J29" t="str">
            <v>itcc-ci-ese-2011-01-04</v>
          </cell>
        </row>
        <row r="30">
          <cell r="A30" t="str">
            <v>CeAbb</v>
          </cell>
          <cell r="B30" t="str">
            <v>Conto Economico in forma abbreviata</v>
          </cell>
          <cell r="C30" t="str">
            <v>CEAbbreviata</v>
          </cell>
          <cell r="D30" t="str">
            <v>Income statement (short form)</v>
          </cell>
          <cell r="E30" t="b">
            <v>1</v>
          </cell>
          <cell r="F30" t="b">
            <v>1</v>
          </cell>
          <cell r="G30" t="b">
            <v>0</v>
          </cell>
          <cell r="H30" t="b">
            <v>0</v>
          </cell>
          <cell r="I30" t="str">
            <v>abb</v>
          </cell>
          <cell r="J30" t="str">
            <v>itcc-ci-abb-2011-01-04</v>
          </cell>
        </row>
        <row r="31">
          <cell r="E31" t="b">
            <v>1</v>
          </cell>
          <cell r="F31" t="b">
            <v>1</v>
          </cell>
          <cell r="G31" t="b">
            <v>0</v>
          </cell>
          <cell r="H31" t="b">
            <v>0</v>
          </cell>
          <cell r="I31" t="str">
            <v>abbsemp</v>
          </cell>
          <cell r="J31" t="str">
            <v>itcc-ci-abbsemp-2011-01-04</v>
          </cell>
        </row>
        <row r="32">
          <cell r="A32" t="str">
            <v>SpAbb</v>
          </cell>
          <cell r="B32" t="str">
            <v>Stato patrimoniale in forma abbreviata</v>
          </cell>
          <cell r="C32" t="str">
            <v>SPAbbreviata</v>
          </cell>
          <cell r="D32" t="str">
            <v>Balance sheet (short form)</v>
          </cell>
          <cell r="E32" t="b">
            <v>1</v>
          </cell>
          <cell r="F32" t="b">
            <v>1</v>
          </cell>
          <cell r="G32" t="b">
            <v>0</v>
          </cell>
          <cell r="H32" t="b">
            <v>0</v>
          </cell>
          <cell r="I32" t="str">
            <v>abb</v>
          </cell>
          <cell r="J32" t="str">
            <v>itcc-ci-abb-2011-01-04</v>
          </cell>
        </row>
        <row r="33">
          <cell r="A33" t="str">
            <v>SpAbbSemp</v>
          </cell>
          <cell r="B33" t="str">
            <v>Stato patrimoniale in forma abbr. Semplificata</v>
          </cell>
          <cell r="C33" t="str">
            <v>SPAbbreviataSemplificata</v>
          </cell>
          <cell r="D33" t="str">
            <v>Balance sheet (simplified form)</v>
          </cell>
          <cell r="E33" t="b">
            <v>1</v>
          </cell>
          <cell r="F33" t="b">
            <v>1</v>
          </cell>
          <cell r="G33" t="b">
            <v>0</v>
          </cell>
          <cell r="H33" t="b">
            <v>0</v>
          </cell>
          <cell r="I33" t="str">
            <v>abbsemp</v>
          </cell>
          <cell r="J33" t="str">
            <v>itcc-ci-abbsemp-2011-01-04</v>
          </cell>
        </row>
        <row r="34">
          <cell r="A34" t="str">
            <v>CECons</v>
          </cell>
          <cell r="B34" t="str">
            <v>Conto economico consolidato</v>
          </cell>
          <cell r="C34" t="str">
            <v>CEConsolidato</v>
          </cell>
          <cell r="D34" t="str">
            <v>Income statement (consolidated form)</v>
          </cell>
          <cell r="E34" t="b">
            <v>1</v>
          </cell>
          <cell r="F34" t="b">
            <v>1</v>
          </cell>
          <cell r="G34" t="b">
            <v>0</v>
          </cell>
          <cell r="H34" t="b">
            <v>0</v>
          </cell>
          <cell r="I34" t="str">
            <v>cons</v>
          </cell>
          <cell r="J34" t="str">
            <v>itcc-ci-cons-2011-01-04</v>
          </cell>
        </row>
        <row r="35">
          <cell r="A35" t="str">
            <v>CECons_1</v>
          </cell>
          <cell r="B35" t="str">
            <v>Conto economico consolidato, altre relazioni</v>
          </cell>
          <cell r="C35" t="str">
            <v>CEConsolidatoAltro</v>
          </cell>
          <cell r="D35" t="str">
            <v>Income statement, other (consolidated form)</v>
          </cell>
          <cell r="E35" t="b">
            <v>0</v>
          </cell>
          <cell r="F35" t="b">
            <v>1</v>
          </cell>
          <cell r="G35" t="b">
            <v>0</v>
          </cell>
          <cell r="H35" t="b">
            <v>0</v>
          </cell>
          <cell r="I35" t="str">
            <v>cons</v>
          </cell>
          <cell r="J35" t="str">
            <v>itcc-ci-cons-2011-01-04</v>
          </cell>
        </row>
        <row r="36">
          <cell r="A36" t="str">
            <v>SPCons</v>
          </cell>
          <cell r="B36" t="str">
            <v>Stato patrimoniale consolidato</v>
          </cell>
          <cell r="C36" t="str">
            <v>SPConsolidato</v>
          </cell>
          <cell r="D36" t="str">
            <v>Balance sheet (consolidated form)</v>
          </cell>
          <cell r="E36" t="b">
            <v>1</v>
          </cell>
          <cell r="F36" t="b">
            <v>1</v>
          </cell>
          <cell r="G36" t="b">
            <v>0</v>
          </cell>
          <cell r="H36" t="b">
            <v>0</v>
          </cell>
          <cell r="I36" t="str">
            <v>cons</v>
          </cell>
          <cell r="J36" t="str">
            <v>itcc-ci-cons-2011-01-04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K1" t="str">
            <v>31-12-2011</v>
          </cell>
          <cell r="M1" t="str">
            <v>31-12-2010</v>
          </cell>
        </row>
      </sheetData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3"/>
  <sheetViews>
    <sheetView showGridLines="0" tabSelected="1" workbookViewId="0"/>
  </sheetViews>
  <sheetFormatPr defaultColWidth="8.6640625" defaultRowHeight="14.4" x14ac:dyDescent="0.3"/>
  <cols>
    <col min="2" max="2" width="40" bestFit="1" customWidth="1"/>
    <col min="3" max="3" width="46.6640625" bestFit="1" customWidth="1"/>
    <col min="4" max="4" width="9.6640625" bestFit="1" customWidth="1"/>
  </cols>
  <sheetData>
    <row r="2" spans="2:7" ht="33.6" customHeight="1" x14ac:dyDescent="0.3">
      <c r="B2" s="2" t="s">
        <v>0</v>
      </c>
      <c r="C2" s="3">
        <v>1</v>
      </c>
    </row>
    <row r="3" spans="2:7" x14ac:dyDescent="0.3">
      <c r="B3" s="2"/>
      <c r="C3" s="2"/>
    </row>
    <row r="4" spans="2:7" x14ac:dyDescent="0.3">
      <c r="B4" s="117" t="s">
        <v>874</v>
      </c>
      <c r="C4" s="194">
        <v>43101</v>
      </c>
    </row>
    <row r="5" spans="2:7" x14ac:dyDescent="0.3">
      <c r="B5" s="4"/>
    </row>
    <row r="6" spans="2:7" x14ac:dyDescent="0.3">
      <c r="B6" s="218" t="s">
        <v>827</v>
      </c>
      <c r="C6" s="219"/>
      <c r="D6" s="219"/>
      <c r="E6" s="219"/>
      <c r="F6" s="219"/>
      <c r="G6" s="219"/>
    </row>
    <row r="7" spans="2:7" x14ac:dyDescent="0.3">
      <c r="B7" s="4"/>
    </row>
    <row r="8" spans="2:7" ht="18" x14ac:dyDescent="0.35">
      <c r="B8" s="148" t="s">
        <v>823</v>
      </c>
      <c r="C8" s="155" t="s">
        <v>824</v>
      </c>
      <c r="D8" s="4" t="s">
        <v>825</v>
      </c>
    </row>
    <row r="9" spans="2:7" x14ac:dyDescent="0.3">
      <c r="B9" s="157"/>
    </row>
    <row r="10" spans="2:7" ht="18" x14ac:dyDescent="0.35">
      <c r="B10" s="148" t="s">
        <v>828</v>
      </c>
      <c r="C10" s="155" t="s">
        <v>829</v>
      </c>
      <c r="D10" s="4" t="s">
        <v>830</v>
      </c>
    </row>
    <row r="11" spans="2:7" ht="18" x14ac:dyDescent="0.35">
      <c r="B11" s="157"/>
      <c r="C11" s="155" t="s">
        <v>831</v>
      </c>
      <c r="D11" s="4" t="s">
        <v>832</v>
      </c>
    </row>
    <row r="12" spans="2:7" ht="18" x14ac:dyDescent="0.35">
      <c r="B12" s="157"/>
      <c r="C12" s="155" t="s">
        <v>833</v>
      </c>
      <c r="D12" s="4" t="s">
        <v>834</v>
      </c>
      <c r="F12" t="s">
        <v>667</v>
      </c>
    </row>
    <row r="13" spans="2:7" x14ac:dyDescent="0.3">
      <c r="B13" s="157"/>
    </row>
    <row r="14" spans="2:7" ht="18" x14ac:dyDescent="0.35">
      <c r="B14" s="148" t="s">
        <v>835</v>
      </c>
      <c r="C14" s="155" t="s">
        <v>836</v>
      </c>
      <c r="D14" s="4" t="s">
        <v>837</v>
      </c>
    </row>
    <row r="15" spans="2:7" ht="18" x14ac:dyDescent="0.35">
      <c r="B15" s="157"/>
      <c r="C15" s="155" t="s">
        <v>836</v>
      </c>
      <c r="D15" s="4" t="s">
        <v>834</v>
      </c>
      <c r="F15" t="s">
        <v>43</v>
      </c>
    </row>
    <row r="16" spans="2:7" x14ac:dyDescent="0.3">
      <c r="B16" s="157"/>
    </row>
    <row r="17" spans="2:4" x14ac:dyDescent="0.3">
      <c r="B17" s="157"/>
    </row>
    <row r="18" spans="2:4" ht="18" x14ac:dyDescent="0.35">
      <c r="B18" s="148" t="s">
        <v>838</v>
      </c>
      <c r="C18" s="155" t="s">
        <v>824</v>
      </c>
      <c r="D18" s="4" t="s">
        <v>839</v>
      </c>
    </row>
    <row r="19" spans="2:4" ht="18" x14ac:dyDescent="0.35">
      <c r="C19" s="155" t="s">
        <v>826</v>
      </c>
      <c r="D19" s="4" t="s">
        <v>840</v>
      </c>
    </row>
    <row r="20" spans="2:4" ht="18" x14ac:dyDescent="0.35">
      <c r="C20" s="155" t="s">
        <v>886</v>
      </c>
      <c r="D20" s="208" t="s">
        <v>878</v>
      </c>
    </row>
    <row r="21" spans="2:4" ht="18" x14ac:dyDescent="0.35">
      <c r="C21" s="155"/>
      <c r="D21" s="4"/>
    </row>
    <row r="22" spans="2:4" ht="18" x14ac:dyDescent="0.35">
      <c r="C22" s="155" t="s">
        <v>851</v>
      </c>
      <c r="D22" s="4" t="s">
        <v>841</v>
      </c>
    </row>
    <row r="23" spans="2:4" ht="18" x14ac:dyDescent="0.35">
      <c r="C23" s="155" t="s">
        <v>849</v>
      </c>
      <c r="D23" s="4" t="s">
        <v>850</v>
      </c>
    </row>
  </sheetData>
  <mergeCells count="1">
    <mergeCell ref="B6:G6"/>
  </mergeCells>
  <hyperlinks>
    <hyperlink ref="D8" location="SP!A1" display="Foglio &quot;SP&quot;" xr:uid="{00000000-0004-0000-0000-000000000000}"/>
    <hyperlink ref="D10" location="'Scheda Debiti'!A1" display="Foglio &quot;Scheda Debiti&quot;" xr:uid="{00000000-0004-0000-0000-000001000000}"/>
    <hyperlink ref="D11" location="'Scheda Crediti'!A1" display="Foglio &quot;Scheda Crediti&quot;" xr:uid="{00000000-0004-0000-0000-000002000000}"/>
    <hyperlink ref="D12" location="'Scheda Inv'!A1" display="Foglio &quot;Scheda Inv&quot;" xr:uid="{00000000-0004-0000-0000-000003000000}"/>
    <hyperlink ref="D14" location="'Input Previsionale'!A1" display="Foglio &quot;Input Previsionale&quot;" xr:uid="{00000000-0004-0000-0000-000004000000}"/>
    <hyperlink ref="D15" location="'Scheda Inv'!A40" display="Foglio &quot;Scheda Inv&quot;" xr:uid="{00000000-0004-0000-0000-000005000000}"/>
    <hyperlink ref="D18" location="'SP Previsionale'!A1" display="Foglio &quot;SP Previsionale&quot;" xr:uid="{00000000-0004-0000-0000-000006000000}"/>
    <hyperlink ref="D22" location="'Rat MedioCreditoCentrale'!A1" display="Foglio &quot;Rat MedioCreditoCentrale&quot;" xr:uid="{00000000-0004-0000-0000-000007000000}"/>
    <hyperlink ref="D23" location="In_Bancabilità!A1" display="Foglio &quot;In_Bancabilità&quot;" xr:uid="{00000000-0004-0000-0000-000008000000}"/>
    <hyperlink ref="D19" location="'CE Previsionale'!A1" display="Foglio &quot;CE Previsionale&quot;" xr:uid="{00000000-0004-0000-0000-000009000000}"/>
    <hyperlink ref="D20" location="'Flussi Cassa_Solvibilità'!A1" display="Foglio &quot;Flussi Cassa_PFN" xr:uid="{775A503F-8318-493B-88A1-B946F19A1101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C66"/>
  <sheetViews>
    <sheetView showGridLines="0" topLeftCell="A38" workbookViewId="0">
      <selection activeCell="C67" sqref="C67"/>
    </sheetView>
  </sheetViews>
  <sheetFormatPr defaultColWidth="8.6640625" defaultRowHeight="14.4" x14ac:dyDescent="0.3"/>
  <cols>
    <col min="2" max="2" width="62" bestFit="1" customWidth="1"/>
    <col min="3" max="3" width="13.33203125" bestFit="1" customWidth="1"/>
  </cols>
  <sheetData>
    <row r="2" spans="2:3" x14ac:dyDescent="0.3">
      <c r="B2" s="2"/>
      <c r="C2" s="199">
        <f>+SP!G4</f>
        <v>43101</v>
      </c>
    </row>
    <row r="3" spans="2:3" x14ac:dyDescent="0.3">
      <c r="B3" s="2" t="s">
        <v>78</v>
      </c>
    </row>
    <row r="4" spans="2:3" x14ac:dyDescent="0.3">
      <c r="B4" s="2"/>
    </row>
    <row r="5" spans="2:3" x14ac:dyDescent="0.3">
      <c r="B5" s="2" t="s">
        <v>613</v>
      </c>
      <c r="C5" s="45">
        <f>+SP!G118</f>
        <v>370159</v>
      </c>
    </row>
    <row r="7" spans="2:3" x14ac:dyDescent="0.3">
      <c r="B7" s="2" t="s">
        <v>614</v>
      </c>
      <c r="C7" s="45">
        <f>+C8+C9+C10+C11</f>
        <v>84191</v>
      </c>
    </row>
    <row r="8" spans="2:3" x14ac:dyDescent="0.3">
      <c r="B8" t="s">
        <v>27</v>
      </c>
      <c r="C8" s="49">
        <f>+SP!G75</f>
        <v>36943</v>
      </c>
    </row>
    <row r="9" spans="2:3" x14ac:dyDescent="0.3">
      <c r="B9" t="s">
        <v>28</v>
      </c>
      <c r="C9" s="49">
        <f>+SP!G95+SP!G99</f>
        <v>10975</v>
      </c>
    </row>
    <row r="10" spans="2:3" x14ac:dyDescent="0.3">
      <c r="B10" t="s">
        <v>29</v>
      </c>
      <c r="C10" s="49">
        <f>+SP!G123</f>
        <v>12624</v>
      </c>
    </row>
    <row r="11" spans="2:3" x14ac:dyDescent="0.3">
      <c r="B11" t="s">
        <v>30</v>
      </c>
      <c r="C11" s="49">
        <f>+SP!G79+SP!G83+SP!G87+SP!G91+SP!G103+SP!G113</f>
        <v>23649</v>
      </c>
    </row>
    <row r="13" spans="2:3" x14ac:dyDescent="0.3">
      <c r="B13" s="2" t="s">
        <v>615</v>
      </c>
      <c r="C13" s="45">
        <f>+SUM(C14:C15)</f>
        <v>132641</v>
      </c>
    </row>
    <row r="14" spans="2:3" x14ac:dyDescent="0.3">
      <c r="B14" t="s">
        <v>616</v>
      </c>
      <c r="C14" s="49">
        <f>+SP!G67+SP!G68+SP!G69</f>
        <v>132641</v>
      </c>
    </row>
    <row r="15" spans="2:3" x14ac:dyDescent="0.3">
      <c r="B15" t="s">
        <v>617</v>
      </c>
      <c r="C15" s="49">
        <f>+SP!G65+SP!G66</f>
        <v>0</v>
      </c>
    </row>
    <row r="16" spans="2:3" x14ac:dyDescent="0.3">
      <c r="B16" s="46"/>
    </row>
    <row r="17" spans="2:3" x14ac:dyDescent="0.3">
      <c r="B17" s="2" t="s">
        <v>31</v>
      </c>
      <c r="C17" s="52">
        <f>+C18+C20</f>
        <v>84920</v>
      </c>
    </row>
    <row r="18" spans="2:3" x14ac:dyDescent="0.3">
      <c r="B18" s="46" t="s">
        <v>618</v>
      </c>
      <c r="C18" s="52">
        <f>+SUM(C19:C19)</f>
        <v>60920</v>
      </c>
    </row>
    <row r="19" spans="2:3" x14ac:dyDescent="0.3">
      <c r="B19" t="s">
        <v>619</v>
      </c>
      <c r="C19" s="49">
        <f>+SP!G23</f>
        <v>60920</v>
      </c>
    </row>
    <row r="20" spans="2:3" x14ac:dyDescent="0.3">
      <c r="B20" s="46" t="s">
        <v>620</v>
      </c>
      <c r="C20" s="52">
        <f>+SUM(C21:C23)</f>
        <v>24000</v>
      </c>
    </row>
    <row r="21" spans="2:3" x14ac:dyDescent="0.3">
      <c r="B21" t="s">
        <v>621</v>
      </c>
      <c r="C21" s="49">
        <f>+SP!G24</f>
        <v>0</v>
      </c>
    </row>
    <row r="22" spans="2:3" x14ac:dyDescent="0.3">
      <c r="B22" t="s">
        <v>622</v>
      </c>
      <c r="C22" s="49">
        <f>+SP!G25</f>
        <v>24000</v>
      </c>
    </row>
    <row r="23" spans="2:3" x14ac:dyDescent="0.3">
      <c r="B23" t="s">
        <v>623</v>
      </c>
      <c r="C23" s="49">
        <f>+SP!G26+SP!G27</f>
        <v>0</v>
      </c>
    </row>
    <row r="24" spans="2:3" x14ac:dyDescent="0.3">
      <c r="B24" s="46"/>
    </row>
    <row r="25" spans="2:3" x14ac:dyDescent="0.3">
      <c r="B25" s="2" t="s">
        <v>624</v>
      </c>
      <c r="C25" s="52">
        <f>+C26</f>
        <v>67965</v>
      </c>
    </row>
    <row r="26" spans="2:3" x14ac:dyDescent="0.3">
      <c r="B26" s="46" t="s">
        <v>625</v>
      </c>
      <c r="C26" s="52">
        <f>+SUM(C27:C29)</f>
        <v>67965</v>
      </c>
    </row>
    <row r="27" spans="2:3" x14ac:dyDescent="0.3">
      <c r="B27" t="s">
        <v>626</v>
      </c>
      <c r="C27" s="49">
        <f>+SP!G14</f>
        <v>3840</v>
      </c>
    </row>
    <row r="28" spans="2:3" x14ac:dyDescent="0.3">
      <c r="B28" t="s">
        <v>627</v>
      </c>
      <c r="C28" s="49">
        <f>+SP!G15</f>
        <v>0</v>
      </c>
    </row>
    <row r="29" spans="2:3" x14ac:dyDescent="0.3">
      <c r="B29" t="s">
        <v>696</v>
      </c>
      <c r="C29" s="49">
        <f>+SP!G16+SP!G17+SP!G18+SP!G19+SP!G20</f>
        <v>64125</v>
      </c>
    </row>
    <row r="30" spans="2:3" x14ac:dyDescent="0.3">
      <c r="C30" s="49"/>
    </row>
    <row r="31" spans="2:3" x14ac:dyDescent="0.3">
      <c r="B31" s="2" t="s">
        <v>42</v>
      </c>
      <c r="C31" s="52">
        <f>+SP!G61+SP!G11</f>
        <v>56313</v>
      </c>
    </row>
    <row r="33" spans="2:3" x14ac:dyDescent="0.3">
      <c r="B33" s="2" t="s">
        <v>629</v>
      </c>
      <c r="C33" s="45">
        <f t="shared" ref="C33" si="0">+C25+C17+C13+C7+C5+C31</f>
        <v>796189</v>
      </c>
    </row>
    <row r="35" spans="2:3" x14ac:dyDescent="0.3">
      <c r="B35" s="2" t="s">
        <v>351</v>
      </c>
    </row>
    <row r="37" spans="2:3" x14ac:dyDescent="0.3">
      <c r="B37" s="2" t="s">
        <v>630</v>
      </c>
      <c r="C37" s="52">
        <f>+C38</f>
        <v>0</v>
      </c>
    </row>
    <row r="38" spans="2:3" x14ac:dyDescent="0.3">
      <c r="B38" s="46" t="s">
        <v>631</v>
      </c>
      <c r="C38" s="49">
        <f>+SP!G185</f>
        <v>0</v>
      </c>
    </row>
    <row r="39" spans="2:3" x14ac:dyDescent="0.3">
      <c r="B39" s="46"/>
    </row>
    <row r="40" spans="2:3" x14ac:dyDescent="0.3">
      <c r="B40" s="2" t="s">
        <v>632</v>
      </c>
      <c r="C40" s="45">
        <f>+C41+C42+C43+C44+C45</f>
        <v>236484</v>
      </c>
    </row>
    <row r="41" spans="2:3" x14ac:dyDescent="0.3">
      <c r="B41" s="46" t="s">
        <v>633</v>
      </c>
      <c r="C41" s="52">
        <f>+SP!G199</f>
        <v>164324</v>
      </c>
    </row>
    <row r="42" spans="2:3" x14ac:dyDescent="0.3">
      <c r="B42" s="46" t="s">
        <v>634</v>
      </c>
      <c r="C42" s="52">
        <f>+SP!G227</f>
        <v>10349</v>
      </c>
    </row>
    <row r="43" spans="2:3" x14ac:dyDescent="0.3">
      <c r="B43" s="46" t="s">
        <v>635</v>
      </c>
      <c r="C43" s="52">
        <f>+SP!G223</f>
        <v>5242</v>
      </c>
    </row>
    <row r="44" spans="2:3" x14ac:dyDescent="0.3">
      <c r="B44" s="46" t="s">
        <v>636</v>
      </c>
      <c r="C44" s="52">
        <f>+SP!G191+SP!G195+SP!G203+SP!G215+SP!G219+SP!G231</f>
        <v>35546</v>
      </c>
    </row>
    <row r="45" spans="2:3" x14ac:dyDescent="0.3">
      <c r="B45" s="46" t="s">
        <v>637</v>
      </c>
      <c r="C45" s="52">
        <f>+SP!G236</f>
        <v>21023</v>
      </c>
    </row>
    <row r="47" spans="2:3" x14ac:dyDescent="0.3">
      <c r="B47" s="2" t="s">
        <v>638</v>
      </c>
      <c r="C47" s="52">
        <f>+SP!G183</f>
        <v>65768</v>
      </c>
    </row>
    <row r="48" spans="2:3" x14ac:dyDescent="0.3">
      <c r="B48" s="2"/>
      <c r="C48" s="52"/>
    </row>
    <row r="49" spans="2:3" x14ac:dyDescent="0.3">
      <c r="B49" s="2" t="s">
        <v>639</v>
      </c>
      <c r="C49" s="52">
        <f>+SUM(C50:C54)</f>
        <v>121229</v>
      </c>
    </row>
    <row r="50" spans="2:3" x14ac:dyDescent="0.3">
      <c r="B50" s="2" t="s">
        <v>640</v>
      </c>
      <c r="C50" s="49">
        <f>+SP!G186</f>
        <v>0</v>
      </c>
    </row>
    <row r="51" spans="2:3" x14ac:dyDescent="0.3">
      <c r="B51" s="2" t="s">
        <v>641</v>
      </c>
      <c r="C51" s="49">
        <f>+SP!G170</f>
        <v>121229</v>
      </c>
    </row>
    <row r="52" spans="2:3" x14ac:dyDescent="0.3">
      <c r="B52" s="2" t="s">
        <v>642</v>
      </c>
      <c r="C52" s="49">
        <f>+SP!G169</f>
        <v>0</v>
      </c>
    </row>
    <row r="53" spans="2:3" x14ac:dyDescent="0.3">
      <c r="B53" s="2" t="s">
        <v>643</v>
      </c>
      <c r="C53" s="49">
        <f>+SP!G211+SP!G207</f>
        <v>0</v>
      </c>
    </row>
    <row r="54" spans="2:3" x14ac:dyDescent="0.3">
      <c r="B54" s="2" t="s">
        <v>644</v>
      </c>
      <c r="C54" s="49">
        <f>+SP!G175+SP!G179</f>
        <v>0</v>
      </c>
    </row>
    <row r="55" spans="2:3" x14ac:dyDescent="0.3">
      <c r="B55" s="46"/>
    </row>
    <row r="56" spans="2:3" x14ac:dyDescent="0.3">
      <c r="B56" s="2" t="s">
        <v>645</v>
      </c>
      <c r="C56" s="45">
        <f>+C57+C58+C59+C60+C61</f>
        <v>372708</v>
      </c>
    </row>
    <row r="57" spans="2:3" x14ac:dyDescent="0.3">
      <c r="B57" s="2" t="s">
        <v>646</v>
      </c>
      <c r="C57" s="52">
        <f>+SP!G127</f>
        <v>106932</v>
      </c>
    </row>
    <row r="58" spans="2:3" x14ac:dyDescent="0.3">
      <c r="B58" s="2" t="s">
        <v>647</v>
      </c>
      <c r="C58" s="52">
        <f>+SP!G130</f>
        <v>108798</v>
      </c>
    </row>
    <row r="59" spans="2:3" x14ac:dyDescent="0.3">
      <c r="B59" s="2" t="s">
        <v>648</v>
      </c>
      <c r="C59" s="52">
        <f>+SP!G128+SP!G129+SP!G131+SP!G132+SP!G153+SP!G154+SP!G162</f>
        <v>251438</v>
      </c>
    </row>
    <row r="60" spans="2:3" x14ac:dyDescent="0.3">
      <c r="B60" s="2" t="s">
        <v>649</v>
      </c>
      <c r="C60" s="45">
        <f>+SP!G156+SP!G159+SP!G160</f>
        <v>0</v>
      </c>
    </row>
    <row r="61" spans="2:3" x14ac:dyDescent="0.3">
      <c r="B61" s="2" t="s">
        <v>650</v>
      </c>
      <c r="C61" s="45">
        <f>+SP!G158</f>
        <v>-94460</v>
      </c>
    </row>
    <row r="63" spans="2:3" x14ac:dyDescent="0.3">
      <c r="B63" s="2" t="s">
        <v>651</v>
      </c>
      <c r="C63" s="45">
        <f t="shared" ref="C63" si="1">+C56+C49+C47+C40+C37</f>
        <v>796189</v>
      </c>
    </row>
    <row r="65" spans="2:3" ht="15" thickBot="1" x14ac:dyDescent="0.35"/>
    <row r="66" spans="2:3" ht="15" thickBot="1" x14ac:dyDescent="0.35">
      <c r="B66" s="44" t="s">
        <v>852</v>
      </c>
      <c r="C66" s="170">
        <f t="shared" ref="C66" si="2">+C33-C63</f>
        <v>0</v>
      </c>
    </row>
  </sheetData>
  <pageMargins left="0.7" right="0.7" top="0.75" bottom="0.75" header="0.3" footer="0.3"/>
  <pageSetup paperSize="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4"/>
  <sheetViews>
    <sheetView showGridLines="0" workbookViewId="0"/>
  </sheetViews>
  <sheetFormatPr defaultColWidth="8.6640625" defaultRowHeight="14.4" x14ac:dyDescent="0.3"/>
  <cols>
    <col min="2" max="2" width="64.6640625" bestFit="1" customWidth="1"/>
    <col min="3" max="12" width="12.44140625" bestFit="1" customWidth="1"/>
  </cols>
  <sheetData>
    <row r="1" spans="1:14" x14ac:dyDescent="0.3">
      <c r="A1" s="9" t="s">
        <v>68</v>
      </c>
      <c r="C1" s="117" t="str">
        <f>+'SP Previsionale'!E2</f>
        <v>Previsionale</v>
      </c>
      <c r="D1" s="117" t="str">
        <f>+'SP Previsionale'!F2</f>
        <v>Previsionale</v>
      </c>
      <c r="E1" s="117" t="str">
        <f>+'SP Previsionale'!G2</f>
        <v>Previsionale</v>
      </c>
      <c r="F1" s="117" t="str">
        <f>+'SP Previsionale'!H2</f>
        <v>Previsionale</v>
      </c>
      <c r="G1" s="117" t="str">
        <f>+'SP Previsionale'!I2</f>
        <v>Previsionale</v>
      </c>
      <c r="H1" s="117" t="str">
        <f>+'SP Previsionale'!J2</f>
        <v>Previsionale</v>
      </c>
      <c r="I1" s="117" t="str">
        <f>+'SP Previsionale'!K2</f>
        <v>Previsionale</v>
      </c>
      <c r="J1" s="117" t="str">
        <f>+'SP Previsionale'!L2</f>
        <v>Previsionale</v>
      </c>
      <c r="K1" s="117" t="str">
        <f>+'SP Previsionale'!M2</f>
        <v>Previsionale</v>
      </c>
      <c r="L1" s="117" t="str">
        <f>+'SP Previsionale'!N2</f>
        <v>Previsionale</v>
      </c>
      <c r="M1" s="117" t="str">
        <f>+'SP Previsionale'!O2</f>
        <v>Previsionale</v>
      </c>
      <c r="N1" s="117" t="str">
        <f>+'SP Previsionale'!P2</f>
        <v>Previsionale</v>
      </c>
    </row>
    <row r="2" spans="1:14" ht="16.2" thickBot="1" x14ac:dyDescent="0.35">
      <c r="B2" s="104" t="s">
        <v>652</v>
      </c>
      <c r="C2" s="200">
        <f>+'Input Previsionale'!E7</f>
        <v>43159</v>
      </c>
      <c r="D2" s="200">
        <f>+'Input Previsionale'!F7</f>
        <v>43190</v>
      </c>
      <c r="E2" s="200">
        <f>+'Input Previsionale'!G7</f>
        <v>43220</v>
      </c>
      <c r="F2" s="200">
        <f>+'Input Previsionale'!H7</f>
        <v>43251</v>
      </c>
      <c r="G2" s="200">
        <f>+'Input Previsionale'!I7</f>
        <v>43281</v>
      </c>
      <c r="H2" s="200">
        <f>+'Input Previsionale'!J7</f>
        <v>43312</v>
      </c>
      <c r="I2" s="200">
        <f>+'Input Previsionale'!K7</f>
        <v>43343</v>
      </c>
      <c r="J2" s="200">
        <f>+'Input Previsionale'!L7</f>
        <v>43373</v>
      </c>
      <c r="K2" s="200">
        <f>+'Input Previsionale'!M7</f>
        <v>43404</v>
      </c>
      <c r="L2" s="200">
        <f>+'Input Previsionale'!N7</f>
        <v>43434</v>
      </c>
      <c r="M2" s="200">
        <f>+'Input Previsionale'!O7</f>
        <v>43465</v>
      </c>
      <c r="N2" s="200">
        <f>+'Input Previsionale'!P7</f>
        <v>43496</v>
      </c>
    </row>
    <row r="3" spans="1:14" ht="15" thickBot="1" x14ac:dyDescent="0.35">
      <c r="B3" s="148" t="s">
        <v>653</v>
      </c>
      <c r="C3" s="152">
        <f t="shared" ref="C3:L3" si="0">+SUM(C5:C6)-C4+C7</f>
        <v>147359</v>
      </c>
      <c r="D3" s="152">
        <f t="shared" si="0"/>
        <v>130000</v>
      </c>
      <c r="E3" s="152">
        <f t="shared" si="0"/>
        <v>130000</v>
      </c>
      <c r="F3" s="152">
        <f t="shared" si="0"/>
        <v>130000</v>
      </c>
      <c r="G3" s="152">
        <f t="shared" si="0"/>
        <v>130000</v>
      </c>
      <c r="H3" s="152">
        <f t="shared" si="0"/>
        <v>130000</v>
      </c>
      <c r="I3" s="152">
        <f t="shared" si="0"/>
        <v>130000</v>
      </c>
      <c r="J3" s="152">
        <f t="shared" si="0"/>
        <v>130000</v>
      </c>
      <c r="K3" s="152">
        <f t="shared" si="0"/>
        <v>130000</v>
      </c>
      <c r="L3" s="153">
        <f t="shared" si="0"/>
        <v>130000</v>
      </c>
      <c r="M3" s="153">
        <f t="shared" ref="M3:N3" si="1">+SUM(M5:M6)-M4+M7</f>
        <v>130000</v>
      </c>
      <c r="N3" s="153">
        <f t="shared" si="1"/>
        <v>130000</v>
      </c>
    </row>
    <row r="4" spans="1:14" x14ac:dyDescent="0.3">
      <c r="A4">
        <v>3</v>
      </c>
      <c r="B4" s="149" t="s">
        <v>810</v>
      </c>
      <c r="C4" s="150">
        <f>+'SP Previsionale'!D14</f>
        <v>132641</v>
      </c>
      <c r="D4" s="150">
        <f t="shared" ref="D4:L4" si="2">+C7</f>
        <v>150000</v>
      </c>
      <c r="E4" s="150">
        <f t="shared" si="2"/>
        <v>150000</v>
      </c>
      <c r="F4" s="150">
        <f t="shared" si="2"/>
        <v>150000</v>
      </c>
      <c r="G4" s="150">
        <f t="shared" si="2"/>
        <v>150000</v>
      </c>
      <c r="H4" s="150">
        <f t="shared" si="2"/>
        <v>150000</v>
      </c>
      <c r="I4" s="150">
        <f t="shared" si="2"/>
        <v>150000</v>
      </c>
      <c r="J4" s="150">
        <f t="shared" si="2"/>
        <v>150000</v>
      </c>
      <c r="K4" s="150">
        <f t="shared" si="2"/>
        <v>150000</v>
      </c>
      <c r="L4" s="187">
        <f t="shared" si="2"/>
        <v>150000</v>
      </c>
      <c r="M4" s="187">
        <f t="shared" ref="M4" si="3">+L7</f>
        <v>150000</v>
      </c>
      <c r="N4" s="187">
        <f t="shared" ref="N4" si="4">+M7</f>
        <v>150000</v>
      </c>
    </row>
    <row r="5" spans="1:14" x14ac:dyDescent="0.3">
      <c r="A5">
        <f>+A4+1</f>
        <v>4</v>
      </c>
      <c r="B5" s="149" t="s">
        <v>811</v>
      </c>
      <c r="C5" s="150">
        <f>+'Input Previsionale'!E8</f>
        <v>130000</v>
      </c>
      <c r="D5" s="150">
        <f>+'Input Previsionale'!F8</f>
        <v>130000</v>
      </c>
      <c r="E5" s="150">
        <f>+'Input Previsionale'!G8</f>
        <v>130000</v>
      </c>
      <c r="F5" s="150">
        <f>+'Input Previsionale'!H8</f>
        <v>130000</v>
      </c>
      <c r="G5" s="150">
        <f>+'Input Previsionale'!I8</f>
        <v>130000</v>
      </c>
      <c r="H5" s="150">
        <f>+'Input Previsionale'!J8</f>
        <v>130000</v>
      </c>
      <c r="I5" s="150">
        <f>+'Input Previsionale'!K8</f>
        <v>130000</v>
      </c>
      <c r="J5" s="150">
        <f>+'Input Previsionale'!L8</f>
        <v>130000</v>
      </c>
      <c r="K5" s="150">
        <f>+'Input Previsionale'!M8</f>
        <v>130000</v>
      </c>
      <c r="L5" s="150">
        <f>+'Input Previsionale'!N8</f>
        <v>130000</v>
      </c>
      <c r="M5" s="150">
        <f>+'Input Previsionale'!O8</f>
        <v>130000</v>
      </c>
      <c r="N5" s="150">
        <f>+'Input Previsionale'!P8</f>
        <v>130000</v>
      </c>
    </row>
    <row r="6" spans="1:14" x14ac:dyDescent="0.3">
      <c r="A6">
        <f t="shared" ref="A6:A44" si="5">+A5+1</f>
        <v>5</v>
      </c>
      <c r="B6" s="149" t="s">
        <v>812</v>
      </c>
      <c r="C6" s="150"/>
      <c r="D6" s="150"/>
      <c r="E6" s="150"/>
      <c r="F6" s="150"/>
      <c r="G6" s="150"/>
      <c r="H6" s="150"/>
      <c r="I6" s="150"/>
      <c r="J6" s="150"/>
      <c r="K6" s="150"/>
      <c r="L6" s="188"/>
      <c r="M6" s="188"/>
      <c r="N6" s="188"/>
    </row>
    <row r="7" spans="1:14" x14ac:dyDescent="0.3">
      <c r="A7">
        <f t="shared" si="5"/>
        <v>6</v>
      </c>
      <c r="B7" s="149" t="s">
        <v>813</v>
      </c>
      <c r="C7" s="150">
        <f>+'Input Previsionale'!E10</f>
        <v>150000</v>
      </c>
      <c r="D7" s="150">
        <f>+'Input Previsionale'!F10</f>
        <v>150000</v>
      </c>
      <c r="E7" s="150">
        <f>+'Input Previsionale'!G10</f>
        <v>150000</v>
      </c>
      <c r="F7" s="150">
        <f>+'Input Previsionale'!H10</f>
        <v>150000</v>
      </c>
      <c r="G7" s="150">
        <f>+'Input Previsionale'!I10</f>
        <v>150000</v>
      </c>
      <c r="H7" s="150">
        <f>+'Input Previsionale'!J10</f>
        <v>150000</v>
      </c>
      <c r="I7" s="150">
        <f>+'Input Previsionale'!K10</f>
        <v>150000</v>
      </c>
      <c r="J7" s="150">
        <f>+'Input Previsionale'!L10</f>
        <v>150000</v>
      </c>
      <c r="K7" s="150">
        <f>+'Input Previsionale'!M10</f>
        <v>150000</v>
      </c>
      <c r="L7" s="188">
        <f>+'Input Previsionale'!N10</f>
        <v>150000</v>
      </c>
      <c r="M7" s="188">
        <f>+'Input Previsionale'!O10</f>
        <v>150000</v>
      </c>
      <c r="N7" s="188">
        <f>+'Input Previsionale'!P10</f>
        <v>150000</v>
      </c>
    </row>
    <row r="8" spans="1:14" ht="15" thickBot="1" x14ac:dyDescent="0.35">
      <c r="A8">
        <f t="shared" si="5"/>
        <v>7</v>
      </c>
    </row>
    <row r="9" spans="1:14" ht="15" thickBot="1" x14ac:dyDescent="0.35">
      <c r="A9">
        <f t="shared" si="5"/>
        <v>8</v>
      </c>
      <c r="B9" s="148" t="s">
        <v>654</v>
      </c>
      <c r="C9" s="152">
        <f>+C11-C12+C10</f>
        <v>81047.450000000012</v>
      </c>
      <c r="D9" s="152">
        <f t="shared" ref="D9:L9" si="6">+D11-D12+D10</f>
        <v>71500</v>
      </c>
      <c r="E9" s="152">
        <f t="shared" si="6"/>
        <v>71500</v>
      </c>
      <c r="F9" s="152">
        <f t="shared" si="6"/>
        <v>71500</v>
      </c>
      <c r="G9" s="152">
        <f t="shared" si="6"/>
        <v>71500</v>
      </c>
      <c r="H9" s="152">
        <f t="shared" si="6"/>
        <v>71500</v>
      </c>
      <c r="I9" s="152">
        <f t="shared" si="6"/>
        <v>71500</v>
      </c>
      <c r="J9" s="152">
        <f t="shared" si="6"/>
        <v>71500</v>
      </c>
      <c r="K9" s="152">
        <f t="shared" si="6"/>
        <v>71500</v>
      </c>
      <c r="L9" s="153">
        <f t="shared" si="6"/>
        <v>71500</v>
      </c>
      <c r="M9" s="153">
        <f t="shared" ref="M9:N9" si="7">+M11-M12+M10</f>
        <v>71500</v>
      </c>
      <c r="N9" s="153">
        <f t="shared" si="7"/>
        <v>71500</v>
      </c>
    </row>
    <row r="10" spans="1:14" x14ac:dyDescent="0.3">
      <c r="A10">
        <f t="shared" si="5"/>
        <v>9</v>
      </c>
      <c r="B10" s="149" t="s">
        <v>817</v>
      </c>
      <c r="C10" s="150">
        <f>+'SP Previsionale'!D15</f>
        <v>0</v>
      </c>
      <c r="D10" s="150">
        <f t="shared" ref="D10:L10" si="8">+C12</f>
        <v>0</v>
      </c>
      <c r="E10" s="150">
        <f t="shared" si="8"/>
        <v>0</v>
      </c>
      <c r="F10" s="150">
        <f t="shared" si="8"/>
        <v>0</v>
      </c>
      <c r="G10" s="150">
        <f t="shared" si="8"/>
        <v>0</v>
      </c>
      <c r="H10" s="150">
        <f t="shared" si="8"/>
        <v>0</v>
      </c>
      <c r="I10" s="150">
        <f t="shared" si="8"/>
        <v>0</v>
      </c>
      <c r="J10" s="150">
        <f t="shared" si="8"/>
        <v>0</v>
      </c>
      <c r="K10" s="150">
        <f t="shared" si="8"/>
        <v>0</v>
      </c>
      <c r="L10" s="150">
        <f t="shared" si="8"/>
        <v>0</v>
      </c>
      <c r="M10" s="150">
        <f t="shared" ref="M10" si="9">+L12</f>
        <v>0</v>
      </c>
      <c r="N10" s="150">
        <f t="shared" ref="N10" si="10">+M12</f>
        <v>0</v>
      </c>
    </row>
    <row r="11" spans="1:14" x14ac:dyDescent="0.3">
      <c r="A11">
        <f t="shared" si="5"/>
        <v>10</v>
      </c>
      <c r="B11" s="149" t="s">
        <v>814</v>
      </c>
      <c r="C11" s="150">
        <f>+C3*(1-'Input Previsionale'!E13)</f>
        <v>81047.450000000012</v>
      </c>
      <c r="D11" s="150">
        <f>+D3*(1-'Input Previsionale'!F13)</f>
        <v>71500</v>
      </c>
      <c r="E11" s="150">
        <f>+E3*(1-'Input Previsionale'!G13)</f>
        <v>71500</v>
      </c>
      <c r="F11" s="150">
        <f>+F3*(1-'Input Previsionale'!H13)</f>
        <v>71500</v>
      </c>
      <c r="G11" s="150">
        <f>+G3*(1-'Input Previsionale'!I13)</f>
        <v>71500</v>
      </c>
      <c r="H11" s="150">
        <f>+H3*(1-'Input Previsionale'!J13)</f>
        <v>71500</v>
      </c>
      <c r="I11" s="150">
        <f>+I3*(1-'Input Previsionale'!K13)</f>
        <v>71500</v>
      </c>
      <c r="J11" s="150">
        <f>+J3*(1-'Input Previsionale'!L13)</f>
        <v>71500</v>
      </c>
      <c r="K11" s="150">
        <f>+K3*(1-'Input Previsionale'!M13)</f>
        <v>71500</v>
      </c>
      <c r="L11" s="150">
        <f>+L3*(1-'Input Previsionale'!N13)</f>
        <v>71500</v>
      </c>
      <c r="M11" s="150">
        <f>+M3*(1-'Input Previsionale'!O13)</f>
        <v>71500</v>
      </c>
      <c r="N11" s="150">
        <f>+N3*(1-'Input Previsionale'!P13)</f>
        <v>71500</v>
      </c>
    </row>
    <row r="12" spans="1:14" x14ac:dyDescent="0.3">
      <c r="A12">
        <f t="shared" si="5"/>
        <v>11</v>
      </c>
      <c r="B12" s="180" t="s">
        <v>815</v>
      </c>
      <c r="C12" s="181">
        <f>+'Input Previsionale'!E15</f>
        <v>0</v>
      </c>
      <c r="D12" s="181">
        <f>+'Input Previsionale'!F15</f>
        <v>0</v>
      </c>
      <c r="E12" s="181">
        <f>+'Input Previsionale'!G15</f>
        <v>0</v>
      </c>
      <c r="F12" s="181">
        <f>+'Input Previsionale'!H15</f>
        <v>0</v>
      </c>
      <c r="G12" s="181">
        <f>+'Input Previsionale'!I15</f>
        <v>0</v>
      </c>
      <c r="H12" s="181">
        <f>+'Input Previsionale'!J15</f>
        <v>0</v>
      </c>
      <c r="I12" s="181">
        <f>+'Input Previsionale'!K15</f>
        <v>0</v>
      </c>
      <c r="J12" s="181">
        <f>+'Input Previsionale'!L15</f>
        <v>0</v>
      </c>
      <c r="K12" s="181">
        <f>+'Input Previsionale'!M15</f>
        <v>0</v>
      </c>
      <c r="L12" s="181">
        <f>+'Input Previsionale'!N15</f>
        <v>0</v>
      </c>
      <c r="M12" s="181">
        <f>+'Input Previsionale'!O15</f>
        <v>0</v>
      </c>
      <c r="N12" s="181">
        <f>+'Input Previsionale'!P15</f>
        <v>0</v>
      </c>
    </row>
    <row r="13" spans="1:14" ht="15" thickBot="1" x14ac:dyDescent="0.35">
      <c r="A13">
        <f t="shared" si="5"/>
        <v>12</v>
      </c>
      <c r="C13" s="174"/>
      <c r="D13" s="174"/>
    </row>
    <row r="14" spans="1:14" ht="15" thickBot="1" x14ac:dyDescent="0.35">
      <c r="A14">
        <f t="shared" si="5"/>
        <v>13</v>
      </c>
      <c r="B14" s="148" t="s">
        <v>809</v>
      </c>
      <c r="C14" s="152">
        <f>+C3-C9</f>
        <v>66311.549999999988</v>
      </c>
      <c r="D14" s="152">
        <f t="shared" ref="D14:L14" si="11">+D3-D9</f>
        <v>58500</v>
      </c>
      <c r="E14" s="152">
        <f t="shared" si="11"/>
        <v>58500</v>
      </c>
      <c r="F14" s="152">
        <f t="shared" si="11"/>
        <v>58500</v>
      </c>
      <c r="G14" s="152">
        <f t="shared" si="11"/>
        <v>58500</v>
      </c>
      <c r="H14" s="152">
        <f t="shared" si="11"/>
        <v>58500</v>
      </c>
      <c r="I14" s="152">
        <f t="shared" si="11"/>
        <v>58500</v>
      </c>
      <c r="J14" s="152">
        <f t="shared" si="11"/>
        <v>58500</v>
      </c>
      <c r="K14" s="152">
        <f t="shared" si="11"/>
        <v>58500</v>
      </c>
      <c r="L14" s="153">
        <f t="shared" si="11"/>
        <v>58500</v>
      </c>
      <c r="M14" s="153">
        <f t="shared" ref="M14:N14" si="12">+M3-M9</f>
        <v>58500</v>
      </c>
      <c r="N14" s="153">
        <f t="shared" si="12"/>
        <v>58500</v>
      </c>
    </row>
    <row r="15" spans="1:14" ht="15" thickBot="1" x14ac:dyDescent="0.35">
      <c r="A15">
        <f t="shared" si="5"/>
        <v>14</v>
      </c>
      <c r="B15" s="2"/>
      <c r="C15" s="66">
        <f t="shared" ref="C15" si="13">+IFERROR(C14/C3,"")</f>
        <v>0.4499999999999999</v>
      </c>
      <c r="D15" s="66">
        <f t="shared" ref="D15" si="14">+IFERROR(D14/D3,"")</f>
        <v>0.45</v>
      </c>
      <c r="E15" s="66">
        <f t="shared" ref="E15:F15" si="15">+IFERROR(E14/E3,"")</f>
        <v>0.45</v>
      </c>
      <c r="F15" s="66">
        <f t="shared" si="15"/>
        <v>0.45</v>
      </c>
      <c r="G15" s="66">
        <f t="shared" ref="G15" si="16">+IFERROR(G14/G3,"")</f>
        <v>0.45</v>
      </c>
      <c r="H15" s="66">
        <f t="shared" ref="H15:I15" si="17">+IFERROR(H14/H3,"")</f>
        <v>0.45</v>
      </c>
      <c r="I15" s="66">
        <f t="shared" si="17"/>
        <v>0.45</v>
      </c>
      <c r="J15" s="66">
        <f t="shared" ref="J15" si="18">+IFERROR(J14/J3,"")</f>
        <v>0.45</v>
      </c>
      <c r="K15" s="66">
        <f t="shared" ref="K15:L15" si="19">+IFERROR(K14/K3,"")</f>
        <v>0.45</v>
      </c>
      <c r="L15" s="66">
        <f t="shared" si="19"/>
        <v>0.45</v>
      </c>
      <c r="M15" s="66">
        <f t="shared" ref="M15:N15" si="20">+IFERROR(M14/M3,"")</f>
        <v>0.45</v>
      </c>
      <c r="N15" s="66">
        <f t="shared" si="20"/>
        <v>0.45</v>
      </c>
    </row>
    <row r="16" spans="1:14" ht="15" thickBot="1" x14ac:dyDescent="0.35">
      <c r="A16">
        <f t="shared" si="5"/>
        <v>15</v>
      </c>
      <c r="B16" s="154" t="s">
        <v>864</v>
      </c>
      <c r="C16" s="152">
        <f t="shared" ref="C16:L16" si="21">+C17+C18</f>
        <v>6000</v>
      </c>
      <c r="D16" s="152">
        <f t="shared" si="21"/>
        <v>6000</v>
      </c>
      <c r="E16" s="152">
        <f t="shared" si="21"/>
        <v>6000</v>
      </c>
      <c r="F16" s="152">
        <f t="shared" si="21"/>
        <v>6000</v>
      </c>
      <c r="G16" s="152">
        <f t="shared" si="21"/>
        <v>6000</v>
      </c>
      <c r="H16" s="152">
        <f t="shared" si="21"/>
        <v>6000</v>
      </c>
      <c r="I16" s="152">
        <f t="shared" si="21"/>
        <v>6000</v>
      </c>
      <c r="J16" s="152">
        <f t="shared" si="21"/>
        <v>6000</v>
      </c>
      <c r="K16" s="152">
        <f t="shared" si="21"/>
        <v>6000</v>
      </c>
      <c r="L16" s="153">
        <f t="shared" si="21"/>
        <v>6000</v>
      </c>
      <c r="M16" s="153">
        <f t="shared" ref="M16:N16" si="22">+M17+M18</f>
        <v>6000</v>
      </c>
      <c r="N16" s="153">
        <f t="shared" si="22"/>
        <v>6000</v>
      </c>
    </row>
    <row r="17" spans="1:14" x14ac:dyDescent="0.3">
      <c r="A17">
        <f t="shared" si="5"/>
        <v>16</v>
      </c>
      <c r="B17" s="149" t="s">
        <v>865</v>
      </c>
      <c r="C17" s="116">
        <f>+'Input Previsionale'!E17</f>
        <v>6000</v>
      </c>
      <c r="D17" s="116">
        <f>+'Input Previsionale'!F17</f>
        <v>6000</v>
      </c>
      <c r="E17" s="116">
        <f>+'Input Previsionale'!G17</f>
        <v>6000</v>
      </c>
      <c r="F17" s="116">
        <f>+'Input Previsionale'!H17</f>
        <v>6000</v>
      </c>
      <c r="G17" s="116">
        <f>+'Input Previsionale'!I17</f>
        <v>6000</v>
      </c>
      <c r="H17" s="116">
        <f>+'Input Previsionale'!J17</f>
        <v>6000</v>
      </c>
      <c r="I17" s="116">
        <f>+'Input Previsionale'!K17</f>
        <v>6000</v>
      </c>
      <c r="J17" s="116">
        <f>+'Input Previsionale'!L17</f>
        <v>6000</v>
      </c>
      <c r="K17" s="116">
        <f>+'Input Previsionale'!M17</f>
        <v>6000</v>
      </c>
      <c r="L17" s="116">
        <f>+'Input Previsionale'!N17</f>
        <v>6000</v>
      </c>
      <c r="M17" s="116">
        <f>+'Input Previsionale'!O17</f>
        <v>6000</v>
      </c>
      <c r="N17" s="116">
        <f>+'Input Previsionale'!P17</f>
        <v>6000</v>
      </c>
    </row>
    <row r="18" spans="1:14" x14ac:dyDescent="0.3">
      <c r="A18">
        <f t="shared" si="5"/>
        <v>17</v>
      </c>
      <c r="B18" s="149" t="s">
        <v>816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</row>
    <row r="19" spans="1:14" ht="15" thickBot="1" x14ac:dyDescent="0.35">
      <c r="A19">
        <f t="shared" si="5"/>
        <v>18</v>
      </c>
    </row>
    <row r="20" spans="1:14" ht="15" thickBot="1" x14ac:dyDescent="0.35">
      <c r="A20">
        <f t="shared" si="5"/>
        <v>19</v>
      </c>
      <c r="B20" s="148" t="s">
        <v>655</v>
      </c>
      <c r="C20" s="152">
        <f t="shared" ref="C20:L20" si="23">+C14-C16</f>
        <v>60311.549999999988</v>
      </c>
      <c r="D20" s="152">
        <f t="shared" si="23"/>
        <v>52500</v>
      </c>
      <c r="E20" s="152">
        <f t="shared" si="23"/>
        <v>52500</v>
      </c>
      <c r="F20" s="152">
        <f t="shared" si="23"/>
        <v>52500</v>
      </c>
      <c r="G20" s="152">
        <f t="shared" si="23"/>
        <v>52500</v>
      </c>
      <c r="H20" s="152">
        <f t="shared" si="23"/>
        <v>52500</v>
      </c>
      <c r="I20" s="152">
        <f t="shared" si="23"/>
        <v>52500</v>
      </c>
      <c r="J20" s="152">
        <f t="shared" si="23"/>
        <v>52500</v>
      </c>
      <c r="K20" s="152">
        <f t="shared" si="23"/>
        <v>52500</v>
      </c>
      <c r="L20" s="153">
        <f t="shared" si="23"/>
        <v>52500</v>
      </c>
      <c r="M20" s="153">
        <f t="shared" ref="M20:N20" si="24">+M14-M16</f>
        <v>52500</v>
      </c>
      <c r="N20" s="153">
        <f t="shared" si="24"/>
        <v>52500</v>
      </c>
    </row>
    <row r="21" spans="1:14" ht="15" thickBot="1" x14ac:dyDescent="0.35">
      <c r="A21">
        <f t="shared" si="5"/>
        <v>20</v>
      </c>
      <c r="B21" s="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</row>
    <row r="22" spans="1:14" ht="15" thickBot="1" x14ac:dyDescent="0.35">
      <c r="A22">
        <f t="shared" si="5"/>
        <v>21</v>
      </c>
      <c r="B22" s="154" t="s">
        <v>656</v>
      </c>
      <c r="C22" s="152">
        <f t="shared" ref="C22:L22" si="25">+SUM(C23:C28)</f>
        <v>42907.375</v>
      </c>
      <c r="D22" s="152">
        <f t="shared" si="25"/>
        <v>42907.375</v>
      </c>
      <c r="E22" s="152">
        <f t="shared" si="25"/>
        <v>42907.375</v>
      </c>
      <c r="F22" s="152">
        <f t="shared" si="25"/>
        <v>42907.375</v>
      </c>
      <c r="G22" s="152">
        <f t="shared" si="25"/>
        <v>42907.375</v>
      </c>
      <c r="H22" s="152">
        <f t="shared" si="25"/>
        <v>42907.375</v>
      </c>
      <c r="I22" s="152">
        <f t="shared" si="25"/>
        <v>42907.375</v>
      </c>
      <c r="J22" s="152">
        <f t="shared" si="25"/>
        <v>42907.375</v>
      </c>
      <c r="K22" s="152">
        <f t="shared" si="25"/>
        <v>42907.375</v>
      </c>
      <c r="L22" s="153">
        <f t="shared" si="25"/>
        <v>42907.375</v>
      </c>
      <c r="M22" s="153">
        <f t="shared" ref="M22:N22" si="26">+SUM(M23:M28)</f>
        <v>42907.375</v>
      </c>
      <c r="N22" s="153">
        <f t="shared" si="26"/>
        <v>42907.375</v>
      </c>
    </row>
    <row r="23" spans="1:14" x14ac:dyDescent="0.3">
      <c r="A23">
        <f t="shared" si="5"/>
        <v>22</v>
      </c>
      <c r="B23" s="149" t="s">
        <v>657</v>
      </c>
      <c r="C23" s="116">
        <f>+Calcoli!C8+'Scheda Inv'!D187</f>
        <v>841</v>
      </c>
      <c r="D23" s="116">
        <f>+Calcoli!D8+'Scheda Inv'!E187</f>
        <v>841</v>
      </c>
      <c r="E23" s="116">
        <f>+Calcoli!E8+'Scheda Inv'!F187</f>
        <v>841</v>
      </c>
      <c r="F23" s="116">
        <f>+Calcoli!F8+'Scheda Inv'!G187</f>
        <v>841</v>
      </c>
      <c r="G23" s="116">
        <f>+Calcoli!G8+'Scheda Inv'!H187</f>
        <v>841</v>
      </c>
      <c r="H23" s="116">
        <f>+Calcoli!H8+'Scheda Inv'!I187</f>
        <v>841</v>
      </c>
      <c r="I23" s="116">
        <f>+Calcoli!I8+'Scheda Inv'!J187</f>
        <v>841</v>
      </c>
      <c r="J23" s="116">
        <f>+Calcoli!J8+'Scheda Inv'!K187</f>
        <v>841</v>
      </c>
      <c r="K23" s="116">
        <f>+Calcoli!K8+'Scheda Inv'!L187</f>
        <v>841</v>
      </c>
      <c r="L23" s="116">
        <f>+Calcoli!L8+'Scheda Inv'!M187</f>
        <v>841</v>
      </c>
      <c r="M23" s="116">
        <f>+Calcoli!M8+'Scheda Inv'!N187</f>
        <v>841</v>
      </c>
      <c r="N23" s="116">
        <f>+Calcoli!N8+'Scheda Inv'!O187</f>
        <v>841</v>
      </c>
    </row>
    <row r="24" spans="1:14" x14ac:dyDescent="0.3">
      <c r="A24">
        <f t="shared" si="5"/>
        <v>23</v>
      </c>
      <c r="B24" s="149" t="s">
        <v>658</v>
      </c>
      <c r="C24" s="116">
        <f>+Calcoli!C20+'Scheda Inv'!D193</f>
        <v>566.375</v>
      </c>
      <c r="D24" s="116">
        <f>+Calcoli!D20+'Scheda Inv'!E193</f>
        <v>566.375</v>
      </c>
      <c r="E24" s="116">
        <f>+Calcoli!E20+'Scheda Inv'!F193</f>
        <v>566.375</v>
      </c>
      <c r="F24" s="116">
        <f>+Calcoli!F20+'Scheda Inv'!G193</f>
        <v>566.375</v>
      </c>
      <c r="G24" s="116">
        <f>+Calcoli!G20+'Scheda Inv'!H193</f>
        <v>566.375</v>
      </c>
      <c r="H24" s="116">
        <f>+Calcoli!H20+'Scheda Inv'!I193</f>
        <v>566.375</v>
      </c>
      <c r="I24" s="116">
        <f>+Calcoli!I20+'Scheda Inv'!J193</f>
        <v>566.375</v>
      </c>
      <c r="J24" s="116">
        <f>+Calcoli!J20+'Scheda Inv'!K193</f>
        <v>566.375</v>
      </c>
      <c r="K24" s="116">
        <f>+Calcoli!K20+'Scheda Inv'!L193</f>
        <v>566.375</v>
      </c>
      <c r="L24" s="116">
        <f>+Calcoli!L20+'Scheda Inv'!M193</f>
        <v>566.375</v>
      </c>
      <c r="M24" s="116">
        <f>+Calcoli!M20+'Scheda Inv'!N193</f>
        <v>566.375</v>
      </c>
      <c r="N24" s="116">
        <f>+Calcoli!N20+'Scheda Inv'!O193</f>
        <v>566.375</v>
      </c>
    </row>
    <row r="25" spans="1:14" x14ac:dyDescent="0.3">
      <c r="A25">
        <f t="shared" si="5"/>
        <v>24</v>
      </c>
      <c r="B25" s="149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</row>
    <row r="26" spans="1:14" x14ac:dyDescent="0.3">
      <c r="A26">
        <f t="shared" si="5"/>
        <v>25</v>
      </c>
      <c r="B26" s="149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</row>
    <row r="27" spans="1:14" x14ac:dyDescent="0.3">
      <c r="A27">
        <f t="shared" si="5"/>
        <v>26</v>
      </c>
      <c r="B27" s="149" t="s">
        <v>659</v>
      </c>
      <c r="C27" s="116">
        <f>+'Input Previsionale'!E18</f>
        <v>20000</v>
      </c>
      <c r="D27" s="116">
        <f>+'Input Previsionale'!F18</f>
        <v>20000</v>
      </c>
      <c r="E27" s="116">
        <f>+'Input Previsionale'!G18</f>
        <v>20000</v>
      </c>
      <c r="F27" s="116">
        <f>+'Input Previsionale'!H18</f>
        <v>20000</v>
      </c>
      <c r="G27" s="116">
        <f>+'Input Previsionale'!I18</f>
        <v>20000</v>
      </c>
      <c r="H27" s="116">
        <f>+'Input Previsionale'!J18</f>
        <v>20000</v>
      </c>
      <c r="I27" s="116">
        <f>+'Input Previsionale'!K18</f>
        <v>20000</v>
      </c>
      <c r="J27" s="116">
        <f>+'Input Previsionale'!L18</f>
        <v>20000</v>
      </c>
      <c r="K27" s="116">
        <f>+'Input Previsionale'!M18</f>
        <v>20000</v>
      </c>
      <c r="L27" s="116">
        <f>+'Input Previsionale'!N18</f>
        <v>20000</v>
      </c>
      <c r="M27" s="116">
        <f>+'Input Previsionale'!O18</f>
        <v>20000</v>
      </c>
      <c r="N27" s="116">
        <f>+'Input Previsionale'!P18</f>
        <v>20000</v>
      </c>
    </row>
    <row r="28" spans="1:14" x14ac:dyDescent="0.3">
      <c r="A28">
        <f t="shared" si="5"/>
        <v>27</v>
      </c>
      <c r="B28" s="149" t="s">
        <v>660</v>
      </c>
      <c r="C28" s="116">
        <f>+C27*(1+'Input Previsionale'!E19)</f>
        <v>21500</v>
      </c>
      <c r="D28" s="116">
        <f>+D27*(1+'Input Previsionale'!F19)</f>
        <v>21500</v>
      </c>
      <c r="E28" s="116">
        <f>+E27*(1+'Input Previsionale'!G19)</f>
        <v>21500</v>
      </c>
      <c r="F28" s="116">
        <f>+F27*(1+'Input Previsionale'!H19)</f>
        <v>21500</v>
      </c>
      <c r="G28" s="116">
        <f>+G27*(1+'Input Previsionale'!I19)</f>
        <v>21500</v>
      </c>
      <c r="H28" s="116">
        <f>+H27*(1+'Input Previsionale'!J19)</f>
        <v>21500</v>
      </c>
      <c r="I28" s="116">
        <f>+I27*(1+'Input Previsionale'!K19)</f>
        <v>21500</v>
      </c>
      <c r="J28" s="116">
        <f>+J27*(1+'Input Previsionale'!L19)</f>
        <v>21500</v>
      </c>
      <c r="K28" s="116">
        <f>+K27*(1+'Input Previsionale'!M19)</f>
        <v>21500</v>
      </c>
      <c r="L28" s="116">
        <f>+L27*(1+'Input Previsionale'!N19)</f>
        <v>21500</v>
      </c>
      <c r="M28" s="116">
        <f>+M27*(1+'Input Previsionale'!O19)</f>
        <v>21500</v>
      </c>
      <c r="N28" s="116">
        <f>+N27*(1+'Input Previsionale'!P19)</f>
        <v>21500</v>
      </c>
    </row>
    <row r="29" spans="1:14" ht="15" thickBot="1" x14ac:dyDescent="0.35">
      <c r="A29">
        <f t="shared" si="5"/>
        <v>28</v>
      </c>
    </row>
    <row r="30" spans="1:14" ht="15" thickBot="1" x14ac:dyDescent="0.35">
      <c r="A30">
        <f t="shared" si="5"/>
        <v>29</v>
      </c>
      <c r="B30" s="148" t="s">
        <v>661</v>
      </c>
      <c r="C30" s="152">
        <f>+C20-C22</f>
        <v>17404.174999999988</v>
      </c>
      <c r="D30" s="152">
        <f t="shared" ref="D30:L30" si="27">+D20-D22</f>
        <v>9592.625</v>
      </c>
      <c r="E30" s="152">
        <f t="shared" si="27"/>
        <v>9592.625</v>
      </c>
      <c r="F30" s="152">
        <f t="shared" si="27"/>
        <v>9592.625</v>
      </c>
      <c r="G30" s="152">
        <f t="shared" si="27"/>
        <v>9592.625</v>
      </c>
      <c r="H30" s="152">
        <f t="shared" si="27"/>
        <v>9592.625</v>
      </c>
      <c r="I30" s="152">
        <f t="shared" si="27"/>
        <v>9592.625</v>
      </c>
      <c r="J30" s="152">
        <f t="shared" si="27"/>
        <v>9592.625</v>
      </c>
      <c r="K30" s="152">
        <f t="shared" si="27"/>
        <v>9592.625</v>
      </c>
      <c r="L30" s="153">
        <f t="shared" si="27"/>
        <v>9592.625</v>
      </c>
      <c r="M30" s="153">
        <f t="shared" ref="M30:N30" si="28">+M20-M22</f>
        <v>9592.625</v>
      </c>
      <c r="N30" s="153">
        <f t="shared" si="28"/>
        <v>9592.625</v>
      </c>
    </row>
    <row r="31" spans="1:14" ht="15" thickBot="1" x14ac:dyDescent="0.35">
      <c r="A31">
        <f t="shared" si="5"/>
        <v>30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</row>
    <row r="32" spans="1:14" ht="15" thickBot="1" x14ac:dyDescent="0.35">
      <c r="A32">
        <f t="shared" si="5"/>
        <v>31</v>
      </c>
      <c r="B32" s="154" t="s">
        <v>662</v>
      </c>
      <c r="C32" s="152">
        <f t="shared" ref="C32:L32" si="29">SUM(C33:C34)</f>
        <v>0</v>
      </c>
      <c r="D32" s="152">
        <f t="shared" si="29"/>
        <v>0</v>
      </c>
      <c r="E32" s="152">
        <f t="shared" si="29"/>
        <v>0</v>
      </c>
      <c r="F32" s="152">
        <f t="shared" si="29"/>
        <v>0</v>
      </c>
      <c r="G32" s="152">
        <f t="shared" si="29"/>
        <v>0</v>
      </c>
      <c r="H32" s="152">
        <f t="shared" si="29"/>
        <v>0</v>
      </c>
      <c r="I32" s="152">
        <f t="shared" si="29"/>
        <v>0</v>
      </c>
      <c r="J32" s="152">
        <f t="shared" si="29"/>
        <v>0</v>
      </c>
      <c r="K32" s="152">
        <f t="shared" si="29"/>
        <v>0</v>
      </c>
      <c r="L32" s="153">
        <f t="shared" si="29"/>
        <v>0</v>
      </c>
      <c r="M32" s="153">
        <f t="shared" ref="M32:N32" si="30">SUM(M33:M34)</f>
        <v>0</v>
      </c>
      <c r="N32" s="153">
        <f t="shared" si="30"/>
        <v>0</v>
      </c>
    </row>
    <row r="33" spans="1:14" x14ac:dyDescent="0.3">
      <c r="A33">
        <f t="shared" si="5"/>
        <v>32</v>
      </c>
      <c r="B33" s="149" t="s">
        <v>818</v>
      </c>
      <c r="C33" s="116">
        <v>0</v>
      </c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</row>
    <row r="34" spans="1:14" x14ac:dyDescent="0.3">
      <c r="A34">
        <f t="shared" si="5"/>
        <v>33</v>
      </c>
      <c r="B34" s="149" t="s">
        <v>819</v>
      </c>
      <c r="C34" s="116">
        <v>0</v>
      </c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</row>
    <row r="35" spans="1:14" x14ac:dyDescent="0.3">
      <c r="A35">
        <f t="shared" si="5"/>
        <v>34</v>
      </c>
    </row>
    <row r="36" spans="1:14" ht="15" thickBot="1" x14ac:dyDescent="0.35">
      <c r="A36">
        <f t="shared" si="5"/>
        <v>35</v>
      </c>
    </row>
    <row r="37" spans="1:14" ht="15" thickBot="1" x14ac:dyDescent="0.35">
      <c r="A37">
        <f t="shared" si="5"/>
        <v>36</v>
      </c>
      <c r="B37" s="154" t="s">
        <v>663</v>
      </c>
      <c r="C37" s="152">
        <f t="shared" ref="C37:N37" si="31">+C38</f>
        <v>0</v>
      </c>
      <c r="D37" s="152">
        <f t="shared" si="31"/>
        <v>0</v>
      </c>
      <c r="E37" s="152">
        <f t="shared" si="31"/>
        <v>0</v>
      </c>
      <c r="F37" s="152">
        <f t="shared" si="31"/>
        <v>0</v>
      </c>
      <c r="G37" s="152">
        <f t="shared" si="31"/>
        <v>0</v>
      </c>
      <c r="H37" s="152">
        <f t="shared" si="31"/>
        <v>0</v>
      </c>
      <c r="I37" s="152">
        <f t="shared" si="31"/>
        <v>0</v>
      </c>
      <c r="J37" s="152">
        <f t="shared" si="31"/>
        <v>0</v>
      </c>
      <c r="K37" s="152">
        <f t="shared" si="31"/>
        <v>0</v>
      </c>
      <c r="L37" s="153">
        <f t="shared" si="31"/>
        <v>0</v>
      </c>
      <c r="M37" s="153">
        <f t="shared" si="31"/>
        <v>0</v>
      </c>
      <c r="N37" s="153">
        <f t="shared" si="31"/>
        <v>0</v>
      </c>
    </row>
    <row r="38" spans="1:14" x14ac:dyDescent="0.3">
      <c r="A38">
        <f t="shared" si="5"/>
        <v>37</v>
      </c>
      <c r="B38" s="149" t="s">
        <v>820</v>
      </c>
      <c r="C38" s="116">
        <f>-'Scheda Debiti'!E6-'Input Previsionale'!E25</f>
        <v>0</v>
      </c>
      <c r="D38" s="116">
        <f>-'Scheda Debiti'!F6-'Input Previsionale'!F25</f>
        <v>0</v>
      </c>
      <c r="E38" s="116">
        <f>-'Scheda Debiti'!G6-'Input Previsionale'!G25</f>
        <v>0</v>
      </c>
      <c r="F38" s="116">
        <f>-'Scheda Debiti'!H6-'Input Previsionale'!H25</f>
        <v>0</v>
      </c>
      <c r="G38" s="116">
        <f>-'Scheda Debiti'!I6-'Input Previsionale'!I25</f>
        <v>0</v>
      </c>
      <c r="H38" s="116">
        <f>-'Scheda Debiti'!J6-'Input Previsionale'!J25</f>
        <v>0</v>
      </c>
      <c r="I38" s="116">
        <f>-'Scheda Debiti'!K6-'Input Previsionale'!K25</f>
        <v>0</v>
      </c>
      <c r="J38" s="116">
        <f>-'Scheda Debiti'!L6-'Input Previsionale'!L25</f>
        <v>0</v>
      </c>
      <c r="K38" s="116">
        <f>-'Scheda Debiti'!M6-'Input Previsionale'!M25</f>
        <v>0</v>
      </c>
      <c r="L38" s="116">
        <f>-'Scheda Debiti'!N6-'Input Previsionale'!N25</f>
        <v>0</v>
      </c>
      <c r="M38" s="116">
        <f>-'Scheda Debiti'!O6-'Input Previsionale'!O25</f>
        <v>0</v>
      </c>
      <c r="N38" s="116">
        <f>-'Scheda Debiti'!P6-'Input Previsionale'!P25</f>
        <v>0</v>
      </c>
    </row>
    <row r="39" spans="1:14" ht="15" thickBot="1" x14ac:dyDescent="0.35">
      <c r="A39">
        <f t="shared" si="5"/>
        <v>38</v>
      </c>
    </row>
    <row r="40" spans="1:14" ht="15" thickBot="1" x14ac:dyDescent="0.35">
      <c r="A40">
        <f t="shared" si="5"/>
        <v>39</v>
      </c>
      <c r="B40" s="148" t="s">
        <v>664</v>
      </c>
      <c r="C40" s="152">
        <f t="shared" ref="C40:L40" si="32">+C30+C32+C37</f>
        <v>17404.174999999988</v>
      </c>
      <c r="D40" s="152">
        <f t="shared" si="32"/>
        <v>9592.625</v>
      </c>
      <c r="E40" s="152">
        <f t="shared" si="32"/>
        <v>9592.625</v>
      </c>
      <c r="F40" s="152">
        <f t="shared" si="32"/>
        <v>9592.625</v>
      </c>
      <c r="G40" s="152">
        <f t="shared" si="32"/>
        <v>9592.625</v>
      </c>
      <c r="H40" s="152">
        <f t="shared" si="32"/>
        <v>9592.625</v>
      </c>
      <c r="I40" s="152">
        <f t="shared" si="32"/>
        <v>9592.625</v>
      </c>
      <c r="J40" s="152">
        <f t="shared" si="32"/>
        <v>9592.625</v>
      </c>
      <c r="K40" s="152">
        <f t="shared" si="32"/>
        <v>9592.625</v>
      </c>
      <c r="L40" s="153">
        <f t="shared" si="32"/>
        <v>9592.625</v>
      </c>
      <c r="M40" s="153">
        <f t="shared" ref="M40:N40" si="33">+M30+M32+M37</f>
        <v>9592.625</v>
      </c>
      <c r="N40" s="153">
        <f t="shared" si="33"/>
        <v>9592.625</v>
      </c>
    </row>
    <row r="41" spans="1:14" x14ac:dyDescent="0.3">
      <c r="A41">
        <f t="shared" si="5"/>
        <v>40</v>
      </c>
      <c r="B41" s="2"/>
    </row>
    <row r="42" spans="1:14" x14ac:dyDescent="0.3">
      <c r="A42">
        <f t="shared" si="5"/>
        <v>41</v>
      </c>
      <c r="B42" s="149" t="s">
        <v>665</v>
      </c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</row>
    <row r="43" spans="1:14" ht="15" thickBot="1" x14ac:dyDescent="0.35">
      <c r="A43">
        <f t="shared" si="5"/>
        <v>42</v>
      </c>
    </row>
    <row r="44" spans="1:14" ht="15" thickBot="1" x14ac:dyDescent="0.35">
      <c r="A44">
        <f t="shared" si="5"/>
        <v>43</v>
      </c>
      <c r="B44" s="148" t="s">
        <v>666</v>
      </c>
      <c r="C44" s="152">
        <f t="shared" ref="C44:L44" si="34">+C40-C42</f>
        <v>17404.174999999988</v>
      </c>
      <c r="D44" s="152">
        <f t="shared" si="34"/>
        <v>9592.625</v>
      </c>
      <c r="E44" s="152">
        <f t="shared" si="34"/>
        <v>9592.625</v>
      </c>
      <c r="F44" s="152">
        <f t="shared" si="34"/>
        <v>9592.625</v>
      </c>
      <c r="G44" s="152">
        <f t="shared" si="34"/>
        <v>9592.625</v>
      </c>
      <c r="H44" s="152">
        <f t="shared" si="34"/>
        <v>9592.625</v>
      </c>
      <c r="I44" s="152">
        <f t="shared" si="34"/>
        <v>9592.625</v>
      </c>
      <c r="J44" s="152">
        <f t="shared" si="34"/>
        <v>9592.625</v>
      </c>
      <c r="K44" s="152">
        <f t="shared" si="34"/>
        <v>9592.625</v>
      </c>
      <c r="L44" s="153">
        <f t="shared" si="34"/>
        <v>9592.625</v>
      </c>
      <c r="M44" s="153">
        <f t="shared" ref="M44:N44" si="35">+M40-M42</f>
        <v>9592.625</v>
      </c>
      <c r="N44" s="153">
        <f t="shared" si="35"/>
        <v>9592.625</v>
      </c>
    </row>
  </sheetData>
  <hyperlinks>
    <hyperlink ref="A1" location="Menu!A1" display="MENU" xr:uid="{00000000-0004-0000-0A00-000000000000}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K27"/>
  <sheetViews>
    <sheetView topLeftCell="A3" workbookViewId="0">
      <selection activeCell="B24" sqref="B24:K24"/>
    </sheetView>
  </sheetViews>
  <sheetFormatPr defaultColWidth="8.6640625" defaultRowHeight="14.4" x14ac:dyDescent="0.3"/>
  <cols>
    <col min="1" max="1" width="61.109375" bestFit="1" customWidth="1"/>
  </cols>
  <sheetData>
    <row r="2" spans="1:11" x14ac:dyDescent="0.3">
      <c r="A2" t="s">
        <v>652</v>
      </c>
      <c r="B2" s="48" t="e">
        <f>+#REF!</f>
        <v>#REF!</v>
      </c>
      <c r="C2" s="48" t="e">
        <f>+#REF!</f>
        <v>#REF!</v>
      </c>
      <c r="D2" s="48" t="e">
        <f>+#REF!</f>
        <v>#REF!</v>
      </c>
      <c r="E2" s="48" t="e">
        <f>+#REF!</f>
        <v>#REF!</v>
      </c>
      <c r="F2" s="48" t="e">
        <f>+#REF!</f>
        <v>#REF!</v>
      </c>
      <c r="G2" s="48" t="e">
        <f>+#REF!</f>
        <v>#REF!</v>
      </c>
      <c r="H2" s="48" t="e">
        <f>+#REF!</f>
        <v>#REF!</v>
      </c>
      <c r="I2" s="48" t="e">
        <f>+#REF!</f>
        <v>#REF!</v>
      </c>
      <c r="J2" s="48" t="e">
        <f>+#REF!</f>
        <v>#REF!</v>
      </c>
      <c r="K2" s="48" t="e">
        <f>+#REF!</f>
        <v>#REF!</v>
      </c>
    </row>
    <row r="3" spans="1:11" x14ac:dyDescent="0.3">
      <c r="A3" t="s">
        <v>697</v>
      </c>
      <c r="B3" s="49" t="e">
        <f>+#REF!</f>
        <v>#REF!</v>
      </c>
      <c r="C3" s="49" t="e">
        <f>+#REF!</f>
        <v>#REF!</v>
      </c>
      <c r="D3" s="49" t="e">
        <f>+#REF!</f>
        <v>#REF!</v>
      </c>
      <c r="E3" s="49" t="e">
        <f>+#REF!</f>
        <v>#REF!</v>
      </c>
      <c r="F3" s="49" t="e">
        <f>+#REF!</f>
        <v>#REF!</v>
      </c>
      <c r="G3" s="49" t="e">
        <f>+#REF!</f>
        <v>#REF!</v>
      </c>
      <c r="H3" s="49" t="e">
        <f>+#REF!</f>
        <v>#REF!</v>
      </c>
      <c r="I3" s="49" t="e">
        <f>+#REF!</f>
        <v>#REF!</v>
      </c>
      <c r="J3" s="49" t="e">
        <f>+#REF!</f>
        <v>#REF!</v>
      </c>
      <c r="K3" s="49" t="e">
        <f>+#REF!</f>
        <v>#REF!</v>
      </c>
    </row>
    <row r="4" spans="1:11" x14ac:dyDescent="0.3">
      <c r="A4" t="s">
        <v>698</v>
      </c>
      <c r="B4" s="49" t="e">
        <f>+#REF!</f>
        <v>#REF!</v>
      </c>
      <c r="C4" s="49" t="e">
        <f>+#REF!</f>
        <v>#REF!</v>
      </c>
      <c r="D4" s="49" t="e">
        <f>+#REF!</f>
        <v>#REF!</v>
      </c>
      <c r="E4" s="49" t="e">
        <f>+#REF!</f>
        <v>#REF!</v>
      </c>
      <c r="F4" s="49" t="e">
        <f>+#REF!</f>
        <v>#REF!</v>
      </c>
      <c r="G4" s="49" t="e">
        <f>+#REF!</f>
        <v>#REF!</v>
      </c>
      <c r="H4" s="49" t="e">
        <f>+#REF!</f>
        <v>#REF!</v>
      </c>
      <c r="I4" s="49" t="e">
        <f>+#REF!</f>
        <v>#REF!</v>
      </c>
      <c r="J4" s="49" t="e">
        <f>+#REF!</f>
        <v>#REF!</v>
      </c>
      <c r="K4" s="49" t="e">
        <f>+#REF!</f>
        <v>#REF!</v>
      </c>
    </row>
    <row r="5" spans="1:11" x14ac:dyDescent="0.3">
      <c r="A5" t="s">
        <v>699</v>
      </c>
      <c r="B5" s="49" t="e">
        <f>+#REF!</f>
        <v>#REF!</v>
      </c>
      <c r="C5" s="49" t="e">
        <f>+#REF!</f>
        <v>#REF!</v>
      </c>
      <c r="D5" s="49" t="e">
        <f>+#REF!</f>
        <v>#REF!</v>
      </c>
      <c r="E5" s="49" t="e">
        <f>+#REF!</f>
        <v>#REF!</v>
      </c>
      <c r="F5" s="49" t="e">
        <f>+#REF!</f>
        <v>#REF!</v>
      </c>
      <c r="G5" s="49" t="e">
        <f>+#REF!</f>
        <v>#REF!</v>
      </c>
      <c r="H5" s="49" t="e">
        <f>+#REF!</f>
        <v>#REF!</v>
      </c>
      <c r="I5" s="49" t="e">
        <f>+#REF!</f>
        <v>#REF!</v>
      </c>
      <c r="J5" s="49" t="e">
        <f>+#REF!</f>
        <v>#REF!</v>
      </c>
      <c r="K5" s="49" t="e">
        <f>+#REF!</f>
        <v>#REF!</v>
      </c>
    </row>
    <row r="6" spans="1:11" x14ac:dyDescent="0.3">
      <c r="A6" t="s">
        <v>700</v>
      </c>
      <c r="B6" s="49" t="e">
        <f>+#REF!</f>
        <v>#REF!</v>
      </c>
      <c r="C6" s="49" t="e">
        <f>+#REF!</f>
        <v>#REF!</v>
      </c>
      <c r="D6" s="49" t="e">
        <f>+#REF!</f>
        <v>#REF!</v>
      </c>
      <c r="E6" s="49" t="e">
        <f>+#REF!</f>
        <v>#REF!</v>
      </c>
      <c r="F6" s="49" t="e">
        <f>+#REF!</f>
        <v>#REF!</v>
      </c>
      <c r="G6" s="49" t="e">
        <f>+#REF!</f>
        <v>#REF!</v>
      </c>
      <c r="H6" s="49" t="e">
        <f>+#REF!</f>
        <v>#REF!</v>
      </c>
      <c r="I6" s="49" t="e">
        <f>+#REF!</f>
        <v>#REF!</v>
      </c>
      <c r="J6" s="49" t="e">
        <f>+#REF!</f>
        <v>#REF!</v>
      </c>
      <c r="K6" s="49" t="e">
        <f>+#REF!</f>
        <v>#REF!</v>
      </c>
    </row>
    <row r="7" spans="1:11" x14ac:dyDescent="0.3">
      <c r="A7" t="s">
        <v>701</v>
      </c>
      <c r="B7" s="49" t="e">
        <f>+#REF!</f>
        <v>#REF!</v>
      </c>
      <c r="C7" s="49" t="e">
        <f>+#REF!</f>
        <v>#REF!</v>
      </c>
      <c r="D7" s="49" t="e">
        <f>+#REF!</f>
        <v>#REF!</v>
      </c>
      <c r="E7" s="49" t="e">
        <f>+#REF!</f>
        <v>#REF!</v>
      </c>
      <c r="F7" s="49" t="e">
        <f>+#REF!</f>
        <v>#REF!</v>
      </c>
      <c r="G7" s="49" t="e">
        <f>+#REF!</f>
        <v>#REF!</v>
      </c>
      <c r="H7" s="49" t="e">
        <f>+#REF!</f>
        <v>#REF!</v>
      </c>
      <c r="I7" s="49" t="e">
        <f>+#REF!</f>
        <v>#REF!</v>
      </c>
      <c r="J7" s="49" t="e">
        <f>+#REF!</f>
        <v>#REF!</v>
      </c>
      <c r="K7" s="49" t="e">
        <f>+#REF!</f>
        <v>#REF!</v>
      </c>
    </row>
    <row r="8" spans="1:11" x14ac:dyDescent="0.3">
      <c r="A8" s="2" t="s">
        <v>702</v>
      </c>
      <c r="B8" s="45" t="e">
        <f>SUM(B3:B7)</f>
        <v>#REF!</v>
      </c>
      <c r="C8" s="45" t="e">
        <f t="shared" ref="C8:K8" si="0">SUM(C3:C7)</f>
        <v>#REF!</v>
      </c>
      <c r="D8" s="45" t="e">
        <f t="shared" si="0"/>
        <v>#REF!</v>
      </c>
      <c r="E8" s="45" t="e">
        <f t="shared" si="0"/>
        <v>#REF!</v>
      </c>
      <c r="F8" s="45" t="e">
        <f t="shared" si="0"/>
        <v>#REF!</v>
      </c>
      <c r="G8" s="45" t="e">
        <f t="shared" si="0"/>
        <v>#REF!</v>
      </c>
      <c r="H8" s="45" t="e">
        <f t="shared" si="0"/>
        <v>#REF!</v>
      </c>
      <c r="I8" s="45" t="e">
        <f t="shared" si="0"/>
        <v>#REF!</v>
      </c>
      <c r="J8" s="45" t="e">
        <f t="shared" si="0"/>
        <v>#REF!</v>
      </c>
      <c r="K8" s="45" t="e">
        <f t="shared" si="0"/>
        <v>#REF!</v>
      </c>
    </row>
    <row r="9" spans="1:11" x14ac:dyDescent="0.3">
      <c r="A9" s="2" t="s">
        <v>703</v>
      </c>
      <c r="B9" s="45" t="e">
        <f>SUM(B10:B14)</f>
        <v>#REF!</v>
      </c>
      <c r="C9" s="45" t="e">
        <f t="shared" ref="C9:K9" si="1">SUM(C10:C14)</f>
        <v>#REF!</v>
      </c>
      <c r="D9" s="45" t="e">
        <f t="shared" si="1"/>
        <v>#REF!</v>
      </c>
      <c r="E9" s="45" t="e">
        <f t="shared" si="1"/>
        <v>#REF!</v>
      </c>
      <c r="F9" s="45" t="e">
        <f t="shared" si="1"/>
        <v>#REF!</v>
      </c>
      <c r="G9" s="45" t="e">
        <f t="shared" si="1"/>
        <v>#REF!</v>
      </c>
      <c r="H9" s="45" t="e">
        <f t="shared" si="1"/>
        <v>#REF!</v>
      </c>
      <c r="I9" s="45" t="e">
        <f t="shared" si="1"/>
        <v>#REF!</v>
      </c>
      <c r="J9" s="45" t="e">
        <f t="shared" si="1"/>
        <v>#REF!</v>
      </c>
      <c r="K9" s="45" t="e">
        <f t="shared" si="1"/>
        <v>#REF!</v>
      </c>
    </row>
    <row r="10" spans="1:11" x14ac:dyDescent="0.3">
      <c r="A10" t="s">
        <v>704</v>
      </c>
      <c r="B10" s="49" t="e">
        <f>+#REF!</f>
        <v>#REF!</v>
      </c>
      <c r="C10" s="49" t="e">
        <f>+#REF!</f>
        <v>#REF!</v>
      </c>
      <c r="D10" s="49" t="e">
        <f>+#REF!</f>
        <v>#REF!</v>
      </c>
      <c r="E10" s="49" t="e">
        <f>+#REF!</f>
        <v>#REF!</v>
      </c>
      <c r="F10" s="49" t="e">
        <f>+#REF!</f>
        <v>#REF!</v>
      </c>
      <c r="G10" s="49" t="e">
        <f>+#REF!</f>
        <v>#REF!</v>
      </c>
      <c r="H10" s="49" t="e">
        <f>+#REF!</f>
        <v>#REF!</v>
      </c>
      <c r="I10" s="49" t="e">
        <f>+#REF!</f>
        <v>#REF!</v>
      </c>
      <c r="J10" s="49" t="e">
        <f>+#REF!</f>
        <v>#REF!</v>
      </c>
      <c r="K10" s="49" t="e">
        <f>+#REF!</f>
        <v>#REF!</v>
      </c>
    </row>
    <row r="11" spans="1:11" x14ac:dyDescent="0.3">
      <c r="A11" t="s">
        <v>705</v>
      </c>
      <c r="B11" s="49" t="e">
        <f>+#REF!</f>
        <v>#REF!</v>
      </c>
      <c r="C11" s="49" t="e">
        <f>+#REF!</f>
        <v>#REF!</v>
      </c>
      <c r="D11" s="49" t="e">
        <f>+#REF!</f>
        <v>#REF!</v>
      </c>
      <c r="E11" s="49" t="e">
        <f>+#REF!</f>
        <v>#REF!</v>
      </c>
      <c r="F11" s="49" t="e">
        <f>+#REF!</f>
        <v>#REF!</v>
      </c>
      <c r="G11" s="49" t="e">
        <f>+#REF!</f>
        <v>#REF!</v>
      </c>
      <c r="H11" s="49" t="e">
        <f>+#REF!</f>
        <v>#REF!</v>
      </c>
      <c r="I11" s="49" t="e">
        <f>+#REF!</f>
        <v>#REF!</v>
      </c>
      <c r="J11" s="49" t="e">
        <f>+#REF!</f>
        <v>#REF!</v>
      </c>
      <c r="K11" s="49" t="e">
        <f>+#REF!</f>
        <v>#REF!</v>
      </c>
    </row>
    <row r="12" spans="1:11" x14ac:dyDescent="0.3">
      <c r="A12" t="s">
        <v>706</v>
      </c>
      <c r="B12" s="49" t="e">
        <f>+#REF!</f>
        <v>#REF!</v>
      </c>
      <c r="C12" s="49" t="e">
        <f>+#REF!</f>
        <v>#REF!</v>
      </c>
      <c r="D12" s="49" t="e">
        <f>+#REF!</f>
        <v>#REF!</v>
      </c>
      <c r="E12" s="49" t="e">
        <f>+#REF!</f>
        <v>#REF!</v>
      </c>
      <c r="F12" s="49" t="e">
        <f>+#REF!</f>
        <v>#REF!</v>
      </c>
      <c r="G12" s="49" t="e">
        <f>+#REF!</f>
        <v>#REF!</v>
      </c>
      <c r="H12" s="49" t="e">
        <f>+#REF!</f>
        <v>#REF!</v>
      </c>
      <c r="I12" s="49" t="e">
        <f>+#REF!</f>
        <v>#REF!</v>
      </c>
      <c r="J12" s="49" t="e">
        <f>+#REF!</f>
        <v>#REF!</v>
      </c>
      <c r="K12" s="49" t="e">
        <f>+#REF!</f>
        <v>#REF!</v>
      </c>
    </row>
    <row r="13" spans="1:11" x14ac:dyDescent="0.3">
      <c r="A13" t="s">
        <v>707</v>
      </c>
      <c r="B13" s="49" t="e">
        <f>+#REF!</f>
        <v>#REF!</v>
      </c>
      <c r="C13" s="49" t="e">
        <f>+#REF!</f>
        <v>#REF!</v>
      </c>
      <c r="D13" s="49" t="e">
        <f>+#REF!</f>
        <v>#REF!</v>
      </c>
      <c r="E13" s="49" t="e">
        <f>+#REF!</f>
        <v>#REF!</v>
      </c>
      <c r="F13" s="49" t="e">
        <f>+#REF!</f>
        <v>#REF!</v>
      </c>
      <c r="G13" s="49" t="e">
        <f>+#REF!</f>
        <v>#REF!</v>
      </c>
      <c r="H13" s="49" t="e">
        <f>+#REF!</f>
        <v>#REF!</v>
      </c>
      <c r="I13" s="49" t="e">
        <f>+#REF!</f>
        <v>#REF!</v>
      </c>
      <c r="J13" s="49" t="e">
        <f>+#REF!</f>
        <v>#REF!</v>
      </c>
      <c r="K13" s="49" t="e">
        <f>+#REF!</f>
        <v>#REF!</v>
      </c>
    </row>
    <row r="14" spans="1:11" x14ac:dyDescent="0.3">
      <c r="A14" t="s">
        <v>708</v>
      </c>
      <c r="B14" s="49" t="e">
        <f>+#REF!</f>
        <v>#REF!</v>
      </c>
      <c r="C14" s="49" t="e">
        <f>+#REF!</f>
        <v>#REF!</v>
      </c>
      <c r="D14" s="49" t="e">
        <f>+#REF!</f>
        <v>#REF!</v>
      </c>
      <c r="E14" s="49" t="e">
        <f>+#REF!</f>
        <v>#REF!</v>
      </c>
      <c r="F14" s="49" t="e">
        <f>+#REF!</f>
        <v>#REF!</v>
      </c>
      <c r="G14" s="49" t="e">
        <f>+#REF!</f>
        <v>#REF!</v>
      </c>
      <c r="H14" s="49" t="e">
        <f>+#REF!</f>
        <v>#REF!</v>
      </c>
      <c r="I14" s="49" t="e">
        <f>+#REF!</f>
        <v>#REF!</v>
      </c>
      <c r="J14" s="49" t="e">
        <f>+#REF!</f>
        <v>#REF!</v>
      </c>
      <c r="K14" s="49" t="e">
        <f>+#REF!</f>
        <v>#REF!</v>
      </c>
    </row>
    <row r="15" spans="1:11" x14ac:dyDescent="0.3">
      <c r="A15" s="2" t="s">
        <v>709</v>
      </c>
      <c r="B15" s="45" t="e">
        <f>+B8-B9</f>
        <v>#REF!</v>
      </c>
      <c r="C15" s="45" t="e">
        <f t="shared" ref="C15:K15" si="2">+C8-C9</f>
        <v>#REF!</v>
      </c>
      <c r="D15" s="45" t="e">
        <f t="shared" si="2"/>
        <v>#REF!</v>
      </c>
      <c r="E15" s="45" t="e">
        <f t="shared" si="2"/>
        <v>#REF!</v>
      </c>
      <c r="F15" s="45" t="e">
        <f t="shared" si="2"/>
        <v>#REF!</v>
      </c>
      <c r="G15" s="45" t="e">
        <f t="shared" si="2"/>
        <v>#REF!</v>
      </c>
      <c r="H15" s="45" t="e">
        <f t="shared" si="2"/>
        <v>#REF!</v>
      </c>
      <c r="I15" s="45" t="e">
        <f t="shared" si="2"/>
        <v>#REF!</v>
      </c>
      <c r="J15" s="45" t="e">
        <f t="shared" si="2"/>
        <v>#REF!</v>
      </c>
      <c r="K15" s="45" t="e">
        <f t="shared" si="2"/>
        <v>#REF!</v>
      </c>
    </row>
    <row r="16" spans="1:11" x14ac:dyDescent="0.3">
      <c r="A16" t="s">
        <v>710</v>
      </c>
      <c r="B16" s="49" t="e">
        <f>+#REF!</f>
        <v>#REF!</v>
      </c>
      <c r="C16" s="49" t="e">
        <f>+#REF!</f>
        <v>#REF!</v>
      </c>
      <c r="D16" s="49" t="e">
        <f>+#REF!</f>
        <v>#REF!</v>
      </c>
      <c r="E16" s="49" t="e">
        <f>+#REF!</f>
        <v>#REF!</v>
      </c>
      <c r="F16" s="49" t="e">
        <f>+#REF!</f>
        <v>#REF!</v>
      </c>
      <c r="G16" s="49" t="e">
        <f>+#REF!</f>
        <v>#REF!</v>
      </c>
      <c r="H16" s="49" t="e">
        <f>+#REF!</f>
        <v>#REF!</v>
      </c>
      <c r="I16" s="49" t="e">
        <f>+#REF!</f>
        <v>#REF!</v>
      </c>
      <c r="J16" s="49" t="e">
        <f>+#REF!</f>
        <v>#REF!</v>
      </c>
      <c r="K16" s="49" t="e">
        <f>+#REF!</f>
        <v>#REF!</v>
      </c>
    </row>
    <row r="17" spans="1:11" x14ac:dyDescent="0.3">
      <c r="A17" s="2" t="s">
        <v>711</v>
      </c>
      <c r="B17" s="45" t="e">
        <f>+B15-B16</f>
        <v>#REF!</v>
      </c>
      <c r="C17" s="45" t="e">
        <f t="shared" ref="C17:K17" si="3">+C15-C16</f>
        <v>#REF!</v>
      </c>
      <c r="D17" s="45" t="e">
        <f t="shared" si="3"/>
        <v>#REF!</v>
      </c>
      <c r="E17" s="45" t="e">
        <f t="shared" si="3"/>
        <v>#REF!</v>
      </c>
      <c r="F17" s="45" t="e">
        <f t="shared" si="3"/>
        <v>#REF!</v>
      </c>
      <c r="G17" s="45" t="e">
        <f t="shared" si="3"/>
        <v>#REF!</v>
      </c>
      <c r="H17" s="45" t="e">
        <f t="shared" si="3"/>
        <v>#REF!</v>
      </c>
      <c r="I17" s="45" t="e">
        <f t="shared" si="3"/>
        <v>#REF!</v>
      </c>
      <c r="J17" s="45" t="e">
        <f t="shared" si="3"/>
        <v>#REF!</v>
      </c>
      <c r="K17" s="45" t="e">
        <f t="shared" si="3"/>
        <v>#REF!</v>
      </c>
    </row>
    <row r="18" spans="1:11" x14ac:dyDescent="0.3">
      <c r="A18" t="s">
        <v>712</v>
      </c>
      <c r="B18" s="49" t="e">
        <f>+#REF!+#REF!+#REF!</f>
        <v>#REF!</v>
      </c>
      <c r="C18" s="49" t="e">
        <f>+#REF!+#REF!+#REF!</f>
        <v>#REF!</v>
      </c>
      <c r="D18" s="49" t="e">
        <f>+#REF!+#REF!+#REF!</f>
        <v>#REF!</v>
      </c>
      <c r="E18" s="49" t="e">
        <f>+#REF!+#REF!+#REF!</f>
        <v>#REF!</v>
      </c>
      <c r="F18" s="49" t="e">
        <f>+#REF!+#REF!+#REF!</f>
        <v>#REF!</v>
      </c>
      <c r="G18" s="49" t="e">
        <f>+#REF!+#REF!+#REF!</f>
        <v>#REF!</v>
      </c>
      <c r="H18" s="49" t="e">
        <f>+#REF!+#REF!+#REF!</f>
        <v>#REF!</v>
      </c>
      <c r="I18" s="49" t="e">
        <f>+#REF!+#REF!+#REF!</f>
        <v>#REF!</v>
      </c>
      <c r="J18" s="49" t="e">
        <f>+#REF!+#REF!+#REF!</f>
        <v>#REF!</v>
      </c>
      <c r="K18" s="49" t="e">
        <f>+#REF!+#REF!+#REF!</f>
        <v>#REF!</v>
      </c>
    </row>
    <row r="19" spans="1:11" x14ac:dyDescent="0.3">
      <c r="A19" s="2" t="s">
        <v>713</v>
      </c>
      <c r="B19" s="45" t="e">
        <f>+B17-B18</f>
        <v>#REF!</v>
      </c>
      <c r="C19" s="45" t="e">
        <f t="shared" ref="C19:K19" si="4">+C17-C18</f>
        <v>#REF!</v>
      </c>
      <c r="D19" s="45" t="e">
        <f t="shared" si="4"/>
        <v>#REF!</v>
      </c>
      <c r="E19" s="45" t="e">
        <f t="shared" si="4"/>
        <v>#REF!</v>
      </c>
      <c r="F19" s="45" t="e">
        <f t="shared" si="4"/>
        <v>#REF!</v>
      </c>
      <c r="G19" s="45" t="e">
        <f t="shared" si="4"/>
        <v>#REF!</v>
      </c>
      <c r="H19" s="45" t="e">
        <f t="shared" si="4"/>
        <v>#REF!</v>
      </c>
      <c r="I19" s="45" t="e">
        <f t="shared" si="4"/>
        <v>#REF!</v>
      </c>
      <c r="J19" s="45" t="e">
        <f t="shared" si="4"/>
        <v>#REF!</v>
      </c>
      <c r="K19" s="45" t="e">
        <f t="shared" si="4"/>
        <v>#REF!</v>
      </c>
    </row>
    <row r="20" spans="1:11" x14ac:dyDescent="0.3">
      <c r="A20" t="s">
        <v>714</v>
      </c>
      <c r="B20" s="49" t="e">
        <f>+#REF!</f>
        <v>#REF!</v>
      </c>
      <c r="C20" s="49" t="e">
        <f>+#REF!</f>
        <v>#REF!</v>
      </c>
      <c r="D20" s="49" t="e">
        <f>+#REF!</f>
        <v>#REF!</v>
      </c>
      <c r="E20" s="49" t="e">
        <f>+#REF!</f>
        <v>#REF!</v>
      </c>
      <c r="F20" s="49" t="e">
        <f>+#REF!</f>
        <v>#REF!</v>
      </c>
      <c r="G20" s="49" t="e">
        <f>+#REF!</f>
        <v>#REF!</v>
      </c>
      <c r="H20" s="49" t="e">
        <f>+#REF!</f>
        <v>#REF!</v>
      </c>
      <c r="I20" s="49" t="e">
        <f>+#REF!</f>
        <v>#REF!</v>
      </c>
      <c r="J20" s="49" t="e">
        <f>+#REF!</f>
        <v>#REF!</v>
      </c>
      <c r="K20" s="49" t="e">
        <f>+#REF!</f>
        <v>#REF!</v>
      </c>
    </row>
    <row r="21" spans="1:11" x14ac:dyDescent="0.3">
      <c r="A21" s="2" t="s">
        <v>661</v>
      </c>
      <c r="B21" s="45" t="e">
        <f>+B19+B20</f>
        <v>#REF!</v>
      </c>
      <c r="C21" s="45" t="e">
        <f t="shared" ref="C21:K21" si="5">+C19+C20</f>
        <v>#REF!</v>
      </c>
      <c r="D21" s="45" t="e">
        <f t="shared" si="5"/>
        <v>#REF!</v>
      </c>
      <c r="E21" s="45" t="e">
        <f t="shared" si="5"/>
        <v>#REF!</v>
      </c>
      <c r="F21" s="45" t="e">
        <f t="shared" si="5"/>
        <v>#REF!</v>
      </c>
      <c r="G21" s="45" t="e">
        <f t="shared" si="5"/>
        <v>#REF!</v>
      </c>
      <c r="H21" s="45" t="e">
        <f t="shared" si="5"/>
        <v>#REF!</v>
      </c>
      <c r="I21" s="45" t="e">
        <f t="shared" si="5"/>
        <v>#REF!</v>
      </c>
      <c r="J21" s="45" t="e">
        <f t="shared" si="5"/>
        <v>#REF!</v>
      </c>
      <c r="K21" s="45" t="e">
        <f t="shared" si="5"/>
        <v>#REF!</v>
      </c>
    </row>
    <row r="22" spans="1:11" x14ac:dyDescent="0.3">
      <c r="A22" t="s">
        <v>715</v>
      </c>
      <c r="B22" s="49" t="e">
        <f>+#REF!</f>
        <v>#REF!</v>
      </c>
      <c r="C22" s="49" t="e">
        <f>+#REF!</f>
        <v>#REF!</v>
      </c>
      <c r="D22" s="49" t="e">
        <f>+#REF!</f>
        <v>#REF!</v>
      </c>
      <c r="E22" s="49" t="e">
        <f>+#REF!</f>
        <v>#REF!</v>
      </c>
      <c r="F22" s="49" t="e">
        <f>+#REF!</f>
        <v>#REF!</v>
      </c>
      <c r="G22" s="49" t="e">
        <f>+#REF!</f>
        <v>#REF!</v>
      </c>
      <c r="H22" s="49" t="e">
        <f>+#REF!</f>
        <v>#REF!</v>
      </c>
      <c r="I22" s="49" t="e">
        <f>+#REF!</f>
        <v>#REF!</v>
      </c>
      <c r="J22" s="49" t="e">
        <f>+#REF!</f>
        <v>#REF!</v>
      </c>
      <c r="K22" s="49" t="e">
        <f>+#REF!</f>
        <v>#REF!</v>
      </c>
    </row>
    <row r="23" spans="1:11" x14ac:dyDescent="0.3">
      <c r="A23" s="2" t="s">
        <v>716</v>
      </c>
      <c r="B23" s="45" t="e">
        <f>+B21+B22</f>
        <v>#REF!</v>
      </c>
      <c r="C23" s="45" t="e">
        <f t="shared" ref="C23:K23" si="6">+C21+C22</f>
        <v>#REF!</v>
      </c>
      <c r="D23" s="45" t="e">
        <f t="shared" si="6"/>
        <v>#REF!</v>
      </c>
      <c r="E23" s="45" t="e">
        <f t="shared" si="6"/>
        <v>#REF!</v>
      </c>
      <c r="F23" s="45" t="e">
        <f t="shared" si="6"/>
        <v>#REF!</v>
      </c>
      <c r="G23" s="45" t="e">
        <f t="shared" si="6"/>
        <v>#REF!</v>
      </c>
      <c r="H23" s="45" t="e">
        <f t="shared" si="6"/>
        <v>#REF!</v>
      </c>
      <c r="I23" s="45" t="e">
        <f t="shared" si="6"/>
        <v>#REF!</v>
      </c>
      <c r="J23" s="45" t="e">
        <f t="shared" si="6"/>
        <v>#REF!</v>
      </c>
      <c r="K23" s="45" t="e">
        <f t="shared" si="6"/>
        <v>#REF!</v>
      </c>
    </row>
    <row r="24" spans="1:11" x14ac:dyDescent="0.3">
      <c r="A24" t="s">
        <v>717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</row>
    <row r="25" spans="1:11" x14ac:dyDescent="0.3">
      <c r="A25" s="2" t="s">
        <v>718</v>
      </c>
      <c r="B25" s="45" t="e">
        <f>+B23+B24</f>
        <v>#REF!</v>
      </c>
      <c r="C25" s="45" t="e">
        <f t="shared" ref="C25:K25" si="7">+C23+C24</f>
        <v>#REF!</v>
      </c>
      <c r="D25" s="45" t="e">
        <f t="shared" si="7"/>
        <v>#REF!</v>
      </c>
      <c r="E25" s="45" t="e">
        <f t="shared" si="7"/>
        <v>#REF!</v>
      </c>
      <c r="F25" s="45" t="e">
        <f t="shared" si="7"/>
        <v>#REF!</v>
      </c>
      <c r="G25" s="45" t="e">
        <f t="shared" si="7"/>
        <v>#REF!</v>
      </c>
      <c r="H25" s="45" t="e">
        <f t="shared" si="7"/>
        <v>#REF!</v>
      </c>
      <c r="I25" s="45" t="e">
        <f t="shared" si="7"/>
        <v>#REF!</v>
      </c>
      <c r="J25" s="45" t="e">
        <f t="shared" si="7"/>
        <v>#REF!</v>
      </c>
      <c r="K25" s="45" t="e">
        <f t="shared" si="7"/>
        <v>#REF!</v>
      </c>
    </row>
    <row r="26" spans="1:11" x14ac:dyDescent="0.3">
      <c r="A26" t="s">
        <v>719</v>
      </c>
      <c r="B26" s="49" t="e">
        <f>+#REF!</f>
        <v>#REF!</v>
      </c>
      <c r="C26" s="49" t="e">
        <f>+#REF!</f>
        <v>#REF!</v>
      </c>
      <c r="D26" s="49" t="e">
        <f>+#REF!</f>
        <v>#REF!</v>
      </c>
      <c r="E26" s="49" t="e">
        <f>+#REF!</f>
        <v>#REF!</v>
      </c>
      <c r="F26" s="49" t="e">
        <f>+#REF!</f>
        <v>#REF!</v>
      </c>
      <c r="G26" s="49" t="e">
        <f>+#REF!</f>
        <v>#REF!</v>
      </c>
      <c r="H26" s="49" t="e">
        <f>+#REF!</f>
        <v>#REF!</v>
      </c>
      <c r="I26" s="49" t="e">
        <f>+#REF!</f>
        <v>#REF!</v>
      </c>
      <c r="J26" s="49" t="e">
        <f>+#REF!</f>
        <v>#REF!</v>
      </c>
      <c r="K26" s="49" t="e">
        <f>+#REF!</f>
        <v>#REF!</v>
      </c>
    </row>
    <row r="27" spans="1:11" x14ac:dyDescent="0.3">
      <c r="A27" s="2" t="s">
        <v>720</v>
      </c>
      <c r="B27" s="45" t="e">
        <f>+B25-B26</f>
        <v>#REF!</v>
      </c>
      <c r="C27" s="45" t="e">
        <f t="shared" ref="C27:K27" si="8">+C25-C26</f>
        <v>#REF!</v>
      </c>
      <c r="D27" s="45" t="e">
        <f t="shared" si="8"/>
        <v>#REF!</v>
      </c>
      <c r="E27" s="45" t="e">
        <f t="shared" si="8"/>
        <v>#REF!</v>
      </c>
      <c r="F27" s="45" t="e">
        <f t="shared" si="8"/>
        <v>#REF!</v>
      </c>
      <c r="G27" s="45" t="e">
        <f t="shared" si="8"/>
        <v>#REF!</v>
      </c>
      <c r="H27" s="45" t="e">
        <f t="shared" si="8"/>
        <v>#REF!</v>
      </c>
      <c r="I27" s="45" t="e">
        <f t="shared" si="8"/>
        <v>#REF!</v>
      </c>
      <c r="J27" s="45" t="e">
        <f t="shared" si="8"/>
        <v>#REF!</v>
      </c>
      <c r="K27" s="45" t="e">
        <f t="shared" si="8"/>
        <v>#REF!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47"/>
  <sheetViews>
    <sheetView showGridLines="0" workbookViewId="0">
      <selection activeCell="C1" sqref="C1:N1"/>
    </sheetView>
  </sheetViews>
  <sheetFormatPr defaultColWidth="8.6640625" defaultRowHeight="14.4" x14ac:dyDescent="0.3"/>
  <cols>
    <col min="2" max="2" width="41.109375" bestFit="1" customWidth="1"/>
    <col min="3" max="3" width="13.33203125" bestFit="1" customWidth="1"/>
    <col min="4" max="7" width="11.44140625" bestFit="1" customWidth="1"/>
    <col min="8" max="12" width="13.33203125" bestFit="1" customWidth="1"/>
  </cols>
  <sheetData>
    <row r="1" spans="1:12" x14ac:dyDescent="0.3">
      <c r="A1" s="9" t="s">
        <v>68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s="51" customFormat="1" ht="15.6" x14ac:dyDescent="0.3">
      <c r="B2" s="104" t="s">
        <v>721</v>
      </c>
      <c r="C2" s="195">
        <f>+'CE Previsionale'!C2</f>
        <v>43159</v>
      </c>
      <c r="D2" s="195">
        <f>+'CE Previsionale'!D2</f>
        <v>43190</v>
      </c>
      <c r="E2" s="195">
        <f>+'CE Previsionale'!E2</f>
        <v>43220</v>
      </c>
      <c r="F2" s="195">
        <f>+'CE Previsionale'!F2</f>
        <v>43251</v>
      </c>
      <c r="G2" s="195">
        <f>+'CE Previsionale'!G2</f>
        <v>43281</v>
      </c>
      <c r="H2" s="195">
        <f>+'CE Previsionale'!H2</f>
        <v>43312</v>
      </c>
      <c r="I2" s="195">
        <f>+'CE Previsionale'!I2</f>
        <v>43343</v>
      </c>
      <c r="J2" s="195">
        <f>+'CE Previsionale'!J2</f>
        <v>43373</v>
      </c>
      <c r="K2" s="195">
        <f>+'CE Previsionale'!K2</f>
        <v>43404</v>
      </c>
      <c r="L2" s="195">
        <f>+'CE Previsionale'!L2</f>
        <v>43434</v>
      </c>
    </row>
    <row r="4" spans="1:12" x14ac:dyDescent="0.3">
      <c r="B4" s="117" t="s">
        <v>722</v>
      </c>
    </row>
    <row r="5" spans="1:12" x14ac:dyDescent="0.3">
      <c r="B5" s="114" t="s">
        <v>723</v>
      </c>
      <c r="C5" s="115">
        <f>+IF('SP Previsionale'!E5&gt;'SP Previsionale'!D5,+'SP Previsionale'!E5-'SP Previsionale'!D5,0)</f>
        <v>46527.439000000013</v>
      </c>
      <c r="D5" s="115">
        <f>+IF('SP Previsionale'!F5&gt;'SP Previsionale'!E5,+'SP Previsionale'!F5-'SP Previsionale'!E5,0)</f>
        <v>24383</v>
      </c>
      <c r="E5" s="115">
        <f>+IF('SP Previsionale'!G5&gt;'SP Previsionale'!F5,+'SP Previsionale'!G5-'SP Previsionale'!F5,0)</f>
        <v>119730</v>
      </c>
      <c r="F5" s="115">
        <f>+IF('SP Previsionale'!H5&gt;'SP Previsionale'!G5,+'SP Previsionale'!H5-'SP Previsionale'!G5,0)</f>
        <v>20852.111000000034</v>
      </c>
      <c r="G5" s="115">
        <f>+IF('SP Previsionale'!I5&gt;'SP Previsionale'!H5,+'SP Previsionale'!I5-'SP Previsionale'!H5,0)</f>
        <v>27258</v>
      </c>
      <c r="H5" s="115">
        <f>+IF('SP Previsionale'!J5&gt;'SP Previsionale'!I5,+'SP Previsionale'!J5-'SP Previsionale'!I5,0)</f>
        <v>32500</v>
      </c>
      <c r="I5" s="115">
        <f>+IF('SP Previsionale'!K5&gt;'SP Previsionale'!J5,+'SP Previsionale'!K5-'SP Previsionale'!J5,0)</f>
        <v>32500</v>
      </c>
      <c r="J5" s="115">
        <f>+IF('SP Previsionale'!L5&gt;'SP Previsionale'!K5,+'SP Previsionale'!L5-'SP Previsionale'!K5,0)</f>
        <v>32500</v>
      </c>
      <c r="K5" s="115">
        <f>+IF('SP Previsionale'!M5&gt;'SP Previsionale'!L5,+'SP Previsionale'!M5-'SP Previsionale'!L5,0)</f>
        <v>32500</v>
      </c>
      <c r="L5" s="115">
        <f>+IF('SP Previsionale'!N5&gt;'SP Previsionale'!M5,+'SP Previsionale'!N5-'SP Previsionale'!M5,0)</f>
        <v>32500</v>
      </c>
    </row>
    <row r="6" spans="1:12" x14ac:dyDescent="0.3">
      <c r="B6" s="114" t="s">
        <v>724</v>
      </c>
      <c r="C6" s="115">
        <f>+IF('SP Previsionale'!D38-'SP Previsionale'!E38&gt;0,'SP Previsionale'!D38-'SP Previsionale'!E38,0)</f>
        <v>0</v>
      </c>
      <c r="D6" s="115">
        <f>+IF('SP Previsionale'!E38-'SP Previsionale'!F38&gt;0,'SP Previsionale'!E38-'SP Previsionale'!F38,0)</f>
        <v>0</v>
      </c>
      <c r="E6" s="115">
        <f>+IF('SP Previsionale'!F38-'SP Previsionale'!G38&gt;0,'SP Previsionale'!F38-'SP Previsionale'!G38,0)</f>
        <v>0</v>
      </c>
      <c r="F6" s="115">
        <f>+IF('SP Previsionale'!G38-'SP Previsionale'!H38&gt;0,'SP Previsionale'!G38-'SP Previsionale'!H38,0)</f>
        <v>0</v>
      </c>
      <c r="G6" s="115">
        <f>+IF('SP Previsionale'!H38-'SP Previsionale'!I38&gt;0,'SP Previsionale'!H38-'SP Previsionale'!I38,0)</f>
        <v>0</v>
      </c>
      <c r="H6" s="115">
        <f>+IF('SP Previsionale'!I38-'SP Previsionale'!J38&gt;0,'SP Previsionale'!I38-'SP Previsionale'!J38,0)</f>
        <v>0</v>
      </c>
      <c r="I6" s="115">
        <f>+IF('SP Previsionale'!J38-'SP Previsionale'!K38&gt;0,'SP Previsionale'!J38-'SP Previsionale'!K38,0)</f>
        <v>0</v>
      </c>
      <c r="J6" s="115">
        <f>+IF('SP Previsionale'!K38-'SP Previsionale'!L38&gt;0,'SP Previsionale'!K38-'SP Previsionale'!L38,0)</f>
        <v>0</v>
      </c>
      <c r="K6" s="115">
        <f>+IF('SP Previsionale'!L38-'SP Previsionale'!M38&gt;0,'SP Previsionale'!L38-'SP Previsionale'!M38,0)</f>
        <v>0</v>
      </c>
      <c r="L6" s="115">
        <f>+IF('SP Previsionale'!M38-'SP Previsionale'!N38&gt;0,'SP Previsionale'!M38-'SP Previsionale'!N38,0)</f>
        <v>0</v>
      </c>
    </row>
    <row r="7" spans="1:12" x14ac:dyDescent="0.3">
      <c r="B7" s="114" t="s">
        <v>725</v>
      </c>
      <c r="C7" s="115">
        <f>+IF('SP Previsionale'!E7&gt;'SP Previsionale'!D7,'SP Previsionale'!E7-'SP Previsionale'!D7,0)</f>
        <v>0</v>
      </c>
      <c r="D7" s="115">
        <f>+IF('SP Previsionale'!F7&gt;'SP Previsionale'!E7,'SP Previsionale'!F7-'SP Previsionale'!E7,0)</f>
        <v>0</v>
      </c>
      <c r="E7" s="115">
        <f>+IF('SP Previsionale'!G7&gt;'SP Previsionale'!F7,'SP Previsionale'!G7-'SP Previsionale'!F7,0)</f>
        <v>0</v>
      </c>
      <c r="F7" s="115">
        <f>+IF('SP Previsionale'!H7&gt;'SP Previsionale'!G7,'SP Previsionale'!H7-'SP Previsionale'!G7,0)</f>
        <v>0</v>
      </c>
      <c r="G7" s="115">
        <f>+IF('SP Previsionale'!I7&gt;'SP Previsionale'!H7,'SP Previsionale'!I7-'SP Previsionale'!H7,0)</f>
        <v>0</v>
      </c>
      <c r="H7" s="115">
        <f>+IF('SP Previsionale'!J7&gt;'SP Previsionale'!I7,'SP Previsionale'!J7-'SP Previsionale'!I7,0)</f>
        <v>0</v>
      </c>
      <c r="I7" s="115">
        <f>+IF('SP Previsionale'!K7&gt;'SP Previsionale'!J7,'SP Previsionale'!K7-'SP Previsionale'!J7,0)</f>
        <v>0</v>
      </c>
      <c r="J7" s="115">
        <f>+IF('SP Previsionale'!L7&gt;'SP Previsionale'!K7,'SP Previsionale'!L7-'SP Previsionale'!K7,0)</f>
        <v>0</v>
      </c>
      <c r="K7" s="115">
        <f>+IF('SP Previsionale'!M7&gt;'SP Previsionale'!L7,'SP Previsionale'!M7-'SP Previsionale'!L7,0)</f>
        <v>0</v>
      </c>
      <c r="L7" s="115">
        <f>+IF('SP Previsionale'!N7&gt;'SP Previsionale'!M7,'SP Previsionale'!N7-'SP Previsionale'!M7,0)</f>
        <v>0</v>
      </c>
    </row>
    <row r="8" spans="1:12" x14ac:dyDescent="0.3">
      <c r="B8" s="114" t="s">
        <v>726</v>
      </c>
      <c r="C8" s="115">
        <f>+IF('SP Previsionale'!D40&gt;'SP Previsionale'!E40,'SP Previsionale'!D40-'SP Previsionale'!E40,0)</f>
        <v>37017.110999999975</v>
      </c>
      <c r="D8" s="115">
        <f>+IF('SP Previsionale'!E40&gt;'SP Previsionale'!F40,'SP Previsionale'!E40-'SP Previsionale'!F40,0)</f>
        <v>8117</v>
      </c>
      <c r="E8" s="115">
        <f>+IF('SP Previsionale'!F40&gt;'SP Previsionale'!G40,'SP Previsionale'!F40-'SP Previsionale'!G40,0)</f>
        <v>0</v>
      </c>
      <c r="F8" s="115">
        <f>+IF('SP Previsionale'!G40&gt;'SP Previsionale'!H40,'SP Previsionale'!G40-'SP Previsionale'!H40,0)</f>
        <v>11647.889000000083</v>
      </c>
      <c r="G8" s="115">
        <f>+IF('SP Previsionale'!H40&gt;'SP Previsionale'!I40,'SP Previsionale'!H40-'SP Previsionale'!I40,0)</f>
        <v>5242</v>
      </c>
      <c r="H8" s="115">
        <f>+IF('SP Previsionale'!I40&gt;'SP Previsionale'!J40,'SP Previsionale'!I40-'SP Previsionale'!J40,0)</f>
        <v>0</v>
      </c>
      <c r="I8" s="115">
        <f>+IF('SP Previsionale'!J40&gt;'SP Previsionale'!K40,'SP Previsionale'!J40-'SP Previsionale'!K40,0)</f>
        <v>0</v>
      </c>
      <c r="J8" s="115">
        <f>+IF('SP Previsionale'!K40&gt;'SP Previsionale'!L40,'SP Previsionale'!K40-'SP Previsionale'!L40,0)</f>
        <v>0</v>
      </c>
      <c r="K8" s="115">
        <f>+IF('SP Previsionale'!L40&gt;'SP Previsionale'!M40,'SP Previsionale'!L40-'SP Previsionale'!M40,0)</f>
        <v>0</v>
      </c>
      <c r="L8" s="115">
        <f>+IF('SP Previsionale'!M40&gt;'SP Previsionale'!N40,'SP Previsionale'!M40-'SP Previsionale'!N40,0)</f>
        <v>0</v>
      </c>
    </row>
    <row r="9" spans="1:12" x14ac:dyDescent="0.3">
      <c r="B9" s="114" t="s">
        <v>727</v>
      </c>
      <c r="C9" s="116">
        <f>+IF('SP Previsionale'!E13&gt;'SP Previsionale'!D13,'SP Previsionale'!E13-'SP Previsionale'!D13,0)</f>
        <v>17359</v>
      </c>
      <c r="D9" s="116">
        <f>+IF('SP Previsionale'!F13&gt;'SP Previsionale'!E13,'SP Previsionale'!F13-'SP Previsionale'!E13,0)</f>
        <v>0</v>
      </c>
      <c r="E9" s="116">
        <f>+IF('SP Previsionale'!G13&gt;'SP Previsionale'!F13,'SP Previsionale'!G13-'SP Previsionale'!F13,0)</f>
        <v>0</v>
      </c>
      <c r="F9" s="116">
        <f>+IF('SP Previsionale'!H13&gt;'SP Previsionale'!G13,'SP Previsionale'!H13-'SP Previsionale'!G13,0)</f>
        <v>0</v>
      </c>
      <c r="G9" s="116">
        <f>+IF('SP Previsionale'!I13&gt;'SP Previsionale'!H13,'SP Previsionale'!I13-'SP Previsionale'!H13,0)</f>
        <v>0</v>
      </c>
      <c r="H9" s="116">
        <f>+IF('SP Previsionale'!J13&gt;'SP Previsionale'!I13,'SP Previsionale'!J13-'SP Previsionale'!I13,0)</f>
        <v>0</v>
      </c>
      <c r="I9" s="116">
        <f>+IF('SP Previsionale'!K13&gt;'SP Previsionale'!J13,'SP Previsionale'!K13-'SP Previsionale'!J13,0)</f>
        <v>0</v>
      </c>
      <c r="J9" s="116">
        <f>+IF('SP Previsionale'!L13&gt;'SP Previsionale'!K13,'SP Previsionale'!L13-'SP Previsionale'!K13,0)</f>
        <v>0</v>
      </c>
      <c r="K9" s="116">
        <f>+IF('SP Previsionale'!M13&gt;'SP Previsionale'!L13,'SP Previsionale'!M13-'SP Previsionale'!L13,0)</f>
        <v>0</v>
      </c>
      <c r="L9" s="116">
        <f>+IF('SP Previsionale'!N13&gt;'SP Previsionale'!M13,'SP Previsionale'!N13-'SP Previsionale'!M13,0)</f>
        <v>0</v>
      </c>
    </row>
    <row r="10" spans="1:12" s="50" customFormat="1" x14ac:dyDescent="0.3">
      <c r="B10" s="45" t="s">
        <v>728</v>
      </c>
      <c r="C10" s="52">
        <f t="shared" ref="C10" si="0">SUM(C5:C9)</f>
        <v>100903.54999999999</v>
      </c>
      <c r="D10" s="52">
        <f t="shared" ref="D10:K10" si="1">SUM(D5:D9)</f>
        <v>32500</v>
      </c>
      <c r="E10" s="52">
        <f t="shared" si="1"/>
        <v>119730</v>
      </c>
      <c r="F10" s="52">
        <f t="shared" si="1"/>
        <v>32500.000000000116</v>
      </c>
      <c r="G10" s="52">
        <f t="shared" si="1"/>
        <v>32500</v>
      </c>
      <c r="H10" s="52">
        <f t="shared" si="1"/>
        <v>32500</v>
      </c>
      <c r="I10" s="52">
        <f t="shared" si="1"/>
        <v>32500</v>
      </c>
      <c r="J10" s="52">
        <f t="shared" si="1"/>
        <v>32500</v>
      </c>
      <c r="K10" s="52">
        <f t="shared" si="1"/>
        <v>32500</v>
      </c>
      <c r="L10" s="52">
        <f t="shared" ref="L10" si="2">SUM(L5:L9)</f>
        <v>32500</v>
      </c>
    </row>
    <row r="11" spans="1:12" x14ac:dyDescent="0.3">
      <c r="C11" s="47"/>
      <c r="D11" s="47"/>
      <c r="E11" s="47"/>
      <c r="F11" s="47"/>
      <c r="G11" s="47"/>
      <c r="H11" s="47"/>
      <c r="I11" s="47"/>
      <c r="J11" s="47"/>
      <c r="K11" s="47"/>
      <c r="L11" s="47"/>
    </row>
    <row r="12" spans="1:12" x14ac:dyDescent="0.3">
      <c r="B12" s="117" t="s">
        <v>729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</row>
    <row r="13" spans="1:12" x14ac:dyDescent="0.3">
      <c r="B13" s="114" t="s">
        <v>730</v>
      </c>
      <c r="C13" s="115">
        <f>+IF('SP Previsionale'!E17+'CE Previsionale'!C23&gt;'SP Previsionale'!D17,'SP Previsionale'!E17+'CE Previsionale'!C23-'SP Previsionale'!D17,0)</f>
        <v>0</v>
      </c>
      <c r="D13" s="115">
        <f>+IF('SP Previsionale'!F17+'CE Previsionale'!D23&gt;'SP Previsionale'!E17,'SP Previsionale'!F17+'CE Previsionale'!D23-'SP Previsionale'!E17,0)</f>
        <v>0</v>
      </c>
      <c r="E13" s="115">
        <f>+IF('SP Previsionale'!G17+'CE Previsionale'!E23&gt;'SP Previsionale'!F17,'SP Previsionale'!G17+'CE Previsionale'!E23-'SP Previsionale'!F17,0)</f>
        <v>0</v>
      </c>
      <c r="F13" s="115">
        <f>+IF('SP Previsionale'!H17+'CE Previsionale'!F23&gt;'SP Previsionale'!G17,'SP Previsionale'!H17+'CE Previsionale'!F23-'SP Previsionale'!G17,0)</f>
        <v>0</v>
      </c>
      <c r="G13" s="115">
        <f>+IF('SP Previsionale'!I17+'CE Previsionale'!G23&gt;'SP Previsionale'!H17,'SP Previsionale'!I17+'CE Previsionale'!G23-'SP Previsionale'!H17,0)</f>
        <v>0</v>
      </c>
      <c r="H13" s="115">
        <f>+IF('SP Previsionale'!J17+'CE Previsionale'!H23&gt;'SP Previsionale'!I17,'SP Previsionale'!J17+'CE Previsionale'!H23-'SP Previsionale'!I17,0)</f>
        <v>0</v>
      </c>
      <c r="I13" s="115">
        <f>+IF('SP Previsionale'!K17+'CE Previsionale'!I23&gt;'SP Previsionale'!J17,'SP Previsionale'!K17+'CE Previsionale'!I23-'SP Previsionale'!J17,0)</f>
        <v>0</v>
      </c>
      <c r="J13" s="115">
        <f>+IF('SP Previsionale'!L17+'CE Previsionale'!J23&gt;'SP Previsionale'!K17,'SP Previsionale'!L17+'CE Previsionale'!J23-'SP Previsionale'!K17,0)</f>
        <v>0</v>
      </c>
      <c r="K13" s="115">
        <f>+IF('SP Previsionale'!M17+'CE Previsionale'!K23&gt;'SP Previsionale'!L17,'SP Previsionale'!M17+'CE Previsionale'!K23-'SP Previsionale'!L17,0)</f>
        <v>0</v>
      </c>
      <c r="L13" s="115">
        <f>+IF('SP Previsionale'!N17+'CE Previsionale'!L23&gt;'SP Previsionale'!M17,'SP Previsionale'!N17+'CE Previsionale'!L23-'SP Previsionale'!M17,0)</f>
        <v>0</v>
      </c>
    </row>
    <row r="14" spans="1:12" x14ac:dyDescent="0.3">
      <c r="B14" s="114" t="s">
        <v>731</v>
      </c>
      <c r="C14" s="115">
        <f>+IF('SP Previsionale'!E25+'CE Previsionale'!D24&gt;'SP Previsionale'!D25,'SP Previsionale'!E25+'CE Previsionale'!C24-'SP Previsionale'!D25,0)</f>
        <v>0</v>
      </c>
      <c r="D14" s="115">
        <f>+IF('SP Previsionale'!F25+'CE Previsionale'!E24&gt;'SP Previsionale'!E25,'SP Previsionale'!F25+'CE Previsionale'!D24-'SP Previsionale'!E25,0)</f>
        <v>0</v>
      </c>
      <c r="E14" s="115">
        <f>+IF('SP Previsionale'!G25+'CE Previsionale'!F24&gt;'SP Previsionale'!F25,'SP Previsionale'!G25+'CE Previsionale'!E24-'SP Previsionale'!F25,0)</f>
        <v>0</v>
      </c>
      <c r="F14" s="115">
        <f>+IF('SP Previsionale'!H25+'CE Previsionale'!G24&gt;'SP Previsionale'!G25,'SP Previsionale'!H25+'CE Previsionale'!F24-'SP Previsionale'!G25,0)</f>
        <v>0</v>
      </c>
      <c r="G14" s="115">
        <f>+IF('SP Previsionale'!I25+'CE Previsionale'!H24&gt;'SP Previsionale'!H25,'SP Previsionale'!I25+'CE Previsionale'!G24-'SP Previsionale'!H25,0)</f>
        <v>0</v>
      </c>
      <c r="H14" s="115">
        <f>+IF('SP Previsionale'!J25+'CE Previsionale'!I24&gt;'SP Previsionale'!I25,'SP Previsionale'!J25+'CE Previsionale'!H24-'SP Previsionale'!I25,0)</f>
        <v>0</v>
      </c>
      <c r="I14" s="115">
        <f>+IF('SP Previsionale'!K25+'CE Previsionale'!J24&gt;'SP Previsionale'!J25,'SP Previsionale'!K25+'CE Previsionale'!I24-'SP Previsionale'!J25,0)</f>
        <v>0</v>
      </c>
      <c r="J14" s="115">
        <f>+IF('SP Previsionale'!L25+'CE Previsionale'!K24&gt;'SP Previsionale'!K25,'SP Previsionale'!L25+'CE Previsionale'!J24-'SP Previsionale'!K25,0)</f>
        <v>0</v>
      </c>
      <c r="K14" s="115">
        <f>+IF('SP Previsionale'!M25+'CE Previsionale'!L24&gt;'SP Previsionale'!L25,'SP Previsionale'!M25+'CE Previsionale'!K24-'SP Previsionale'!L25,0)</f>
        <v>0</v>
      </c>
      <c r="L14" s="115">
        <f>+IF('SP Previsionale'!N25+'CE Previsionale'!M24&gt;'SP Previsionale'!M25,'SP Previsionale'!N25+'CE Previsionale'!L24-'SP Previsionale'!M25,0)</f>
        <v>0</v>
      </c>
    </row>
    <row r="15" spans="1:12" x14ac:dyDescent="0.3">
      <c r="B15" s="114" t="s">
        <v>732</v>
      </c>
      <c r="C15" s="115">
        <f>+IF('SP Previsionale'!E31&gt;'SP Previsionale'!D31,'SP Previsionale'!E31-'SP Previsionale'!D31,0)</f>
        <v>0</v>
      </c>
      <c r="D15" s="115">
        <f>+IF('SP Previsionale'!F31&gt;'SP Previsionale'!E31,'SP Previsionale'!F31-'SP Previsionale'!E31,0)</f>
        <v>0</v>
      </c>
      <c r="E15" s="115">
        <f>+IF('SP Previsionale'!G31&gt;'SP Previsionale'!F31,'SP Previsionale'!G31-'SP Previsionale'!F31,0)</f>
        <v>0</v>
      </c>
      <c r="F15" s="115">
        <f>+IF('SP Previsionale'!H31&gt;'SP Previsionale'!G31,'SP Previsionale'!H31-'SP Previsionale'!G31,0)</f>
        <v>0</v>
      </c>
      <c r="G15" s="115">
        <f>+IF('SP Previsionale'!I31&gt;'SP Previsionale'!H31,'SP Previsionale'!I31-'SP Previsionale'!H31,0)</f>
        <v>0</v>
      </c>
      <c r="H15" s="115">
        <f>+IF('SP Previsionale'!J31&gt;'SP Previsionale'!I31,'SP Previsionale'!J31-'SP Previsionale'!I31,0)</f>
        <v>0</v>
      </c>
      <c r="I15" s="115">
        <f>+IF('SP Previsionale'!K31&gt;'SP Previsionale'!J31,'SP Previsionale'!K31-'SP Previsionale'!J31,0)</f>
        <v>0</v>
      </c>
      <c r="J15" s="115">
        <f>+IF('SP Previsionale'!L31&gt;'SP Previsionale'!K31,'SP Previsionale'!L31-'SP Previsionale'!K31,0)</f>
        <v>0</v>
      </c>
      <c r="K15" s="115">
        <f>+IF('SP Previsionale'!M31&gt;'SP Previsionale'!L31,'SP Previsionale'!M31-'SP Previsionale'!L31,0)</f>
        <v>0</v>
      </c>
      <c r="L15" s="115">
        <f>+IF('SP Previsionale'!N31&gt;'SP Previsionale'!M31,'SP Previsionale'!N31-'SP Previsionale'!M31,0)</f>
        <v>0</v>
      </c>
    </row>
    <row r="16" spans="1:12" x14ac:dyDescent="0.3">
      <c r="B16" s="114" t="s">
        <v>761</v>
      </c>
      <c r="C16" s="115">
        <f>+IF('SP Previsionale'!D54+'SP Previsionale'!D53&gt;'SP Previsionale'!E54+'SP Previsionale'!E53,'SP Previsionale'!D54+'SP Previsionale'!D53-'SP Previsionale'!E54-'SP Previsionale'!E53,0)</f>
        <v>0</v>
      </c>
      <c r="D16" s="115">
        <f>+IF('SP Previsionale'!E54+'SP Previsionale'!E53&gt;'SP Previsionale'!F54+'SP Previsionale'!F53,'SP Previsionale'!E54+'SP Previsionale'!E53-'SP Previsionale'!F54-'SP Previsionale'!F53,0)</f>
        <v>0</v>
      </c>
      <c r="E16" s="115">
        <f>+IF('SP Previsionale'!F54+'SP Previsionale'!F53&gt;'SP Previsionale'!G54+'SP Previsionale'!G53,'SP Previsionale'!F54+'SP Previsionale'!F53-'SP Previsionale'!G54-'SP Previsionale'!G53,0)</f>
        <v>0</v>
      </c>
      <c r="F16" s="115">
        <f>+IF('SP Previsionale'!G54+'SP Previsionale'!G53&gt;'SP Previsionale'!H54+'SP Previsionale'!H53,'SP Previsionale'!G54+'SP Previsionale'!G53-'SP Previsionale'!H54-'SP Previsionale'!H53,0)</f>
        <v>0</v>
      </c>
      <c r="G16" s="115">
        <f>+IF('SP Previsionale'!H54+'SP Previsionale'!H53&gt;'SP Previsionale'!I54+'SP Previsionale'!I53,'SP Previsionale'!H54+'SP Previsionale'!H53-'SP Previsionale'!I54-'SP Previsionale'!I53,0)</f>
        <v>0</v>
      </c>
      <c r="H16" s="115">
        <f>+IF('SP Previsionale'!I54+'SP Previsionale'!I53&gt;'SP Previsionale'!J54+'SP Previsionale'!J53,'SP Previsionale'!I54+'SP Previsionale'!I53-'SP Previsionale'!J54-'SP Previsionale'!J53,0)</f>
        <v>0</v>
      </c>
      <c r="I16" s="115">
        <f>+IF('SP Previsionale'!J54+'SP Previsionale'!J53&gt;'SP Previsionale'!K54+'SP Previsionale'!K53,'SP Previsionale'!J54+'SP Previsionale'!J53-'SP Previsionale'!K54-'SP Previsionale'!K53,0)</f>
        <v>0</v>
      </c>
      <c r="J16" s="115">
        <f>+IF('SP Previsionale'!K54+'SP Previsionale'!K53&gt;'SP Previsionale'!L54+'SP Previsionale'!L53,'SP Previsionale'!K54+'SP Previsionale'!K53-'SP Previsionale'!L54-'SP Previsionale'!L53,0)</f>
        <v>0</v>
      </c>
      <c r="K16" s="115">
        <f>+IF('SP Previsionale'!L54+'SP Previsionale'!L53&gt;'SP Previsionale'!M54+'SP Previsionale'!M53,'SP Previsionale'!L54+'SP Previsionale'!L53-'SP Previsionale'!M54-'SP Previsionale'!M53,0)</f>
        <v>0</v>
      </c>
      <c r="L16" s="115">
        <f>+IF('SP Previsionale'!M54+'SP Previsionale'!M53&gt;'SP Previsionale'!N54+'SP Previsionale'!N53,'SP Previsionale'!M54+'SP Previsionale'!M53-'SP Previsionale'!N54-'SP Previsionale'!N53,0)</f>
        <v>0</v>
      </c>
    </row>
    <row r="17" spans="2:12" x14ac:dyDescent="0.3">
      <c r="B17" s="114" t="s">
        <v>733</v>
      </c>
      <c r="C17" s="115">
        <f>+IF('SP Previsionale'!D47&gt;'SP Previsionale'!E47,'SP Previsionale'!D47-'SP Previsionale'!E47,0)</f>
        <v>0</v>
      </c>
      <c r="D17" s="115">
        <f>+IF('SP Previsionale'!E47&gt;'SP Previsionale'!F47,'SP Previsionale'!E47-'SP Previsionale'!F47,0)</f>
        <v>0</v>
      </c>
      <c r="E17" s="115">
        <f>+IF('SP Previsionale'!F47&gt;'SP Previsionale'!G47,'SP Previsionale'!F47-'SP Previsionale'!G47,0)</f>
        <v>0</v>
      </c>
      <c r="F17" s="115">
        <f>+IF('SP Previsionale'!G47&gt;'SP Previsionale'!H47,'SP Previsionale'!G47-'SP Previsionale'!H47,0)</f>
        <v>0</v>
      </c>
      <c r="G17" s="115">
        <f>+IF('SP Previsionale'!H47&gt;'SP Previsionale'!I47,'SP Previsionale'!H47-'SP Previsionale'!I47,0)</f>
        <v>0</v>
      </c>
      <c r="H17" s="115">
        <f>+IF('SP Previsionale'!I47&gt;'SP Previsionale'!J47,'SP Previsionale'!I47-'SP Previsionale'!J47,0)</f>
        <v>0</v>
      </c>
      <c r="I17" s="115">
        <f>+IF('SP Previsionale'!J47&gt;'SP Previsionale'!K47,'SP Previsionale'!J47-'SP Previsionale'!K47,0)</f>
        <v>0</v>
      </c>
      <c r="J17" s="115">
        <f>+IF('SP Previsionale'!K47&gt;'SP Previsionale'!L47,'SP Previsionale'!K47-'SP Previsionale'!L47,0)</f>
        <v>0</v>
      </c>
      <c r="K17" s="115">
        <f>+IF('SP Previsionale'!L47&gt;'SP Previsionale'!M47,'SP Previsionale'!L47-'SP Previsionale'!M47,0)</f>
        <v>0</v>
      </c>
      <c r="L17" s="115">
        <f>+IF('SP Previsionale'!M47&gt;'SP Previsionale'!N47,'SP Previsionale'!M47-'SP Previsionale'!N47,0)</f>
        <v>0</v>
      </c>
    </row>
    <row r="18" spans="2:12" x14ac:dyDescent="0.3">
      <c r="B18" s="114" t="s">
        <v>734</v>
      </c>
      <c r="C18" s="115">
        <f>+IF('SP Previsionale'!D50&gt;'SP Previsionale'!E50,'SP Previsionale'!D50-'SP Previsionale'!E50,0)</f>
        <v>0</v>
      </c>
      <c r="D18" s="115">
        <f>+IF('SP Previsionale'!E50&gt;'SP Previsionale'!F50,'SP Previsionale'!E50-'SP Previsionale'!F50,0)</f>
        <v>0</v>
      </c>
      <c r="E18" s="115">
        <f>+IF('SP Previsionale'!F50&gt;'SP Previsionale'!G50,'SP Previsionale'!F50-'SP Previsionale'!G50,0)</f>
        <v>0</v>
      </c>
      <c r="F18" s="115">
        <f>+IF('SP Previsionale'!G50&gt;'SP Previsionale'!H50,'SP Previsionale'!G50-'SP Previsionale'!H50,0)</f>
        <v>0</v>
      </c>
      <c r="G18" s="115">
        <f>+IF('SP Previsionale'!H50&gt;'SP Previsionale'!I50,'SP Previsionale'!H50-'SP Previsionale'!I50,0)</f>
        <v>0</v>
      </c>
      <c r="H18" s="115">
        <f>+IF('SP Previsionale'!I50&gt;'SP Previsionale'!J50,'SP Previsionale'!I50-'SP Previsionale'!J50,0)</f>
        <v>0</v>
      </c>
      <c r="I18" s="115">
        <f>+IF('SP Previsionale'!J50&gt;'SP Previsionale'!K50,'SP Previsionale'!J50-'SP Previsionale'!K50,0)</f>
        <v>0</v>
      </c>
      <c r="J18" s="115">
        <f>+IF('SP Previsionale'!K50&gt;'SP Previsionale'!L50,'SP Previsionale'!K50-'SP Previsionale'!L50,0)</f>
        <v>0</v>
      </c>
      <c r="K18" s="115">
        <f>+IF('SP Previsionale'!L50&gt;'SP Previsionale'!M50,'SP Previsionale'!L50-'SP Previsionale'!M50,0)</f>
        <v>0</v>
      </c>
      <c r="L18" s="115">
        <f>+IF('SP Previsionale'!M50&gt;'SP Previsionale'!N50,'SP Previsionale'!M50-'SP Previsionale'!N50,0)</f>
        <v>0</v>
      </c>
    </row>
    <row r="19" spans="2:12" x14ac:dyDescent="0.3">
      <c r="B19" s="114" t="s">
        <v>735</v>
      </c>
      <c r="C19" s="115">
        <f>+IF('SP Previsionale'!D51+'SP Previsionale'!D52&gt;'SP Previsionale'!E51+'SP Previsionale'!E52+'CE Previsionale'!C23+'CE Previsionale'!C24,'SP Previsionale'!D51+'SP Previsionale'!D52-'SP Previsionale'!E51-'SP Previsionale'!E52-'CE Previsionale'!C23-'CE Previsionale'!C24,0)</f>
        <v>0</v>
      </c>
      <c r="D19" s="115">
        <f>+IF('SP Previsionale'!E51+'SP Previsionale'!E52&gt;'SP Previsionale'!F51+'SP Previsionale'!F52+'CE Previsionale'!D23+'CE Previsionale'!D24,'SP Previsionale'!E51+'SP Previsionale'!E52-'SP Previsionale'!F51-'SP Previsionale'!F52-'CE Previsionale'!D23-'CE Previsionale'!D24,0)</f>
        <v>0</v>
      </c>
      <c r="E19" s="115">
        <f>+IF('SP Previsionale'!F51+'SP Previsionale'!F52&gt;'SP Previsionale'!G51+'SP Previsionale'!G52+'CE Previsionale'!E23+'CE Previsionale'!E24,'SP Previsionale'!F51+'SP Previsionale'!F52-'SP Previsionale'!G51-'SP Previsionale'!G52-'CE Previsionale'!E23-'CE Previsionale'!E24,0)</f>
        <v>0</v>
      </c>
      <c r="F19" s="115">
        <f>+IF('SP Previsionale'!G51+'SP Previsionale'!G52&gt;'SP Previsionale'!H51+'SP Previsionale'!H52+'CE Previsionale'!F23+'CE Previsionale'!F24,'SP Previsionale'!G51+'SP Previsionale'!G52-'SP Previsionale'!H51-'SP Previsionale'!H52-'CE Previsionale'!F23-'CE Previsionale'!F24,0)</f>
        <v>0</v>
      </c>
      <c r="G19" s="115">
        <f>+IF('SP Previsionale'!H51+'SP Previsionale'!H52&gt;'SP Previsionale'!I51+'SP Previsionale'!I52+'CE Previsionale'!G23+'CE Previsionale'!G24,'SP Previsionale'!H51+'SP Previsionale'!H52-'SP Previsionale'!I51-'SP Previsionale'!I52-'CE Previsionale'!G23-'CE Previsionale'!G24,0)</f>
        <v>0</v>
      </c>
      <c r="H19" s="115">
        <f>+IF('SP Previsionale'!I51+'SP Previsionale'!I52&gt;'SP Previsionale'!J51+'SP Previsionale'!J52+'CE Previsionale'!H23+'CE Previsionale'!H24,'SP Previsionale'!I51+'SP Previsionale'!I52-'SP Previsionale'!J51-'SP Previsionale'!J52-'CE Previsionale'!H23-'CE Previsionale'!H24,0)</f>
        <v>0</v>
      </c>
      <c r="I19" s="115">
        <f>+IF('SP Previsionale'!J51+'SP Previsionale'!J52&gt;'SP Previsionale'!K51+'SP Previsionale'!K52+'CE Previsionale'!I23+'CE Previsionale'!I24,'SP Previsionale'!J51+'SP Previsionale'!J52-'SP Previsionale'!K51-'SP Previsionale'!K52-'CE Previsionale'!I23-'CE Previsionale'!I24,0)</f>
        <v>0</v>
      </c>
      <c r="J19" s="115">
        <f>+IF('SP Previsionale'!K51+'SP Previsionale'!K52&gt;'SP Previsionale'!L51+'SP Previsionale'!L52+'CE Previsionale'!J23+'CE Previsionale'!J24,'SP Previsionale'!K51+'SP Previsionale'!K52-'SP Previsionale'!L51-'SP Previsionale'!L52-'CE Previsionale'!J23-'CE Previsionale'!J24,0)</f>
        <v>0</v>
      </c>
      <c r="K19" s="115">
        <f>+IF('SP Previsionale'!L51+'SP Previsionale'!L52&gt;'SP Previsionale'!M51+'SP Previsionale'!M52+'CE Previsionale'!K23+'CE Previsionale'!K24,'SP Previsionale'!L51+'SP Previsionale'!L52-'SP Previsionale'!M51-'SP Previsionale'!M52-'CE Previsionale'!K23-'CE Previsionale'!K24,0)</f>
        <v>0</v>
      </c>
      <c r="L19" s="115">
        <f>+IF('SP Previsionale'!M51+'SP Previsionale'!M52&gt;'SP Previsionale'!N51+'SP Previsionale'!N52+'CE Previsionale'!L23+'CE Previsionale'!L24,'SP Previsionale'!M51+'SP Previsionale'!M52-'SP Previsionale'!N51-'SP Previsionale'!N52-'CE Previsionale'!L23-'CE Previsionale'!L24,0)</f>
        <v>0</v>
      </c>
    </row>
    <row r="20" spans="2:12" x14ac:dyDescent="0.3">
      <c r="B20" s="114" t="s">
        <v>736</v>
      </c>
      <c r="C20" s="115">
        <f>+IF('SP Previsionale'!D56&gt;'SP Previsionale'!E56,'SP Previsionale'!D56-'SP Previsionale'!E56,0)</f>
        <v>0</v>
      </c>
      <c r="D20" s="115">
        <f>+IF('SP Previsionale'!E56&gt;'SP Previsionale'!F56,'SP Previsionale'!E56-'SP Previsionale'!F56,0)</f>
        <v>0</v>
      </c>
      <c r="E20" s="115">
        <f>+IF('SP Previsionale'!F56&gt;'SP Previsionale'!G56,'SP Previsionale'!F56-'SP Previsionale'!G56,0)</f>
        <v>0</v>
      </c>
      <c r="F20" s="115">
        <f>+IF('SP Previsionale'!G56&gt;'SP Previsionale'!H56,'SP Previsionale'!G56-'SP Previsionale'!H56,0)</f>
        <v>0</v>
      </c>
      <c r="G20" s="115">
        <f>+IF('SP Previsionale'!H56&gt;'SP Previsionale'!I56,'SP Previsionale'!H56-'SP Previsionale'!I56,0)</f>
        <v>0</v>
      </c>
      <c r="H20" s="115">
        <f>+IF('SP Previsionale'!I56&gt;'SP Previsionale'!J56,'SP Previsionale'!I56-'SP Previsionale'!J56,0)</f>
        <v>0</v>
      </c>
      <c r="I20" s="115">
        <f>+IF('SP Previsionale'!J56&gt;'SP Previsionale'!K56,'SP Previsionale'!J56-'SP Previsionale'!K56,0)</f>
        <v>0</v>
      </c>
      <c r="J20" s="115">
        <f>+IF('SP Previsionale'!K56&gt;'SP Previsionale'!L56,'SP Previsionale'!K56-'SP Previsionale'!L56,0)</f>
        <v>0</v>
      </c>
      <c r="K20" s="115">
        <f>+IF('SP Previsionale'!L56&gt;'SP Previsionale'!M56,'SP Previsionale'!L56-'SP Previsionale'!M56,0)</f>
        <v>0</v>
      </c>
      <c r="L20" s="115">
        <f>+IF('SP Previsionale'!M56&gt;'SP Previsionale'!N56,'SP Previsionale'!M56-'SP Previsionale'!N56,0)</f>
        <v>0</v>
      </c>
    </row>
    <row r="21" spans="2:12" s="50" customFormat="1" x14ac:dyDescent="0.3">
      <c r="B21" s="45" t="s">
        <v>737</v>
      </c>
      <c r="C21" s="116">
        <f t="shared" ref="C21" si="3">SUM(C13:C20)</f>
        <v>0</v>
      </c>
      <c r="D21" s="116">
        <f t="shared" ref="D21:K21" si="4">SUM(D13:D20)</f>
        <v>0</v>
      </c>
      <c r="E21" s="116">
        <f t="shared" si="4"/>
        <v>0</v>
      </c>
      <c r="F21" s="116">
        <f t="shared" si="4"/>
        <v>0</v>
      </c>
      <c r="G21" s="116">
        <f t="shared" si="4"/>
        <v>0</v>
      </c>
      <c r="H21" s="116">
        <f t="shared" si="4"/>
        <v>0</v>
      </c>
      <c r="I21" s="116">
        <f t="shared" si="4"/>
        <v>0</v>
      </c>
      <c r="J21" s="116">
        <f t="shared" si="4"/>
        <v>0</v>
      </c>
      <c r="K21" s="116">
        <f t="shared" si="4"/>
        <v>0</v>
      </c>
      <c r="L21" s="116">
        <f t="shared" ref="L21" si="5">SUM(L13:L20)</f>
        <v>0</v>
      </c>
    </row>
    <row r="22" spans="2:12" x14ac:dyDescent="0.3">
      <c r="C22" s="47"/>
      <c r="D22" s="47"/>
      <c r="E22" s="47"/>
      <c r="F22" s="47"/>
      <c r="G22" s="47"/>
      <c r="H22" s="47"/>
      <c r="I22" s="47"/>
      <c r="J22" s="47"/>
      <c r="K22" s="47"/>
      <c r="L22" s="47"/>
    </row>
    <row r="23" spans="2:12" s="50" customFormat="1" x14ac:dyDescent="0.3">
      <c r="B23" s="45" t="s">
        <v>738</v>
      </c>
      <c r="C23" s="52">
        <f t="shared" ref="C23" si="6">+C21+C10</f>
        <v>100903.54999999999</v>
      </c>
      <c r="D23" s="52">
        <f t="shared" ref="D23:K23" si="7">+D21+D10</f>
        <v>32500</v>
      </c>
      <c r="E23" s="52">
        <f t="shared" si="7"/>
        <v>119730</v>
      </c>
      <c r="F23" s="52">
        <f t="shared" si="7"/>
        <v>32500.000000000116</v>
      </c>
      <c r="G23" s="52">
        <f t="shared" si="7"/>
        <v>32500</v>
      </c>
      <c r="H23" s="52">
        <f t="shared" si="7"/>
        <v>32500</v>
      </c>
      <c r="I23" s="52">
        <f t="shared" si="7"/>
        <v>32500</v>
      </c>
      <c r="J23" s="52">
        <f t="shared" si="7"/>
        <v>32500</v>
      </c>
      <c r="K23" s="52">
        <f t="shared" si="7"/>
        <v>32500</v>
      </c>
      <c r="L23" s="52">
        <f t="shared" ref="L23" si="8">+L21+L10</f>
        <v>32500</v>
      </c>
    </row>
    <row r="24" spans="2:12" x14ac:dyDescent="0.3">
      <c r="C24" s="47"/>
      <c r="D24" s="47"/>
      <c r="E24" s="47"/>
      <c r="F24" s="47"/>
      <c r="G24" s="47"/>
      <c r="H24" s="47"/>
      <c r="I24" s="47"/>
      <c r="J24" s="47"/>
      <c r="K24" s="47"/>
      <c r="L24" s="47"/>
    </row>
    <row r="25" spans="2:12" ht="15.6" x14ac:dyDescent="0.3">
      <c r="B25" s="104" t="s">
        <v>739</v>
      </c>
      <c r="C25" s="195">
        <f>+C2</f>
        <v>43159</v>
      </c>
      <c r="D25" s="195">
        <f t="shared" ref="D25:L25" si="9">+D2</f>
        <v>43190</v>
      </c>
      <c r="E25" s="195">
        <f t="shared" si="9"/>
        <v>43220</v>
      </c>
      <c r="F25" s="195">
        <f t="shared" si="9"/>
        <v>43251</v>
      </c>
      <c r="G25" s="195">
        <f t="shared" si="9"/>
        <v>43281</v>
      </c>
      <c r="H25" s="195">
        <f t="shared" si="9"/>
        <v>43312</v>
      </c>
      <c r="I25" s="195">
        <f t="shared" si="9"/>
        <v>43343</v>
      </c>
      <c r="J25" s="195">
        <f t="shared" si="9"/>
        <v>43373</v>
      </c>
      <c r="K25" s="195">
        <f t="shared" si="9"/>
        <v>43404</v>
      </c>
      <c r="L25" s="195">
        <f t="shared" si="9"/>
        <v>43434</v>
      </c>
    </row>
    <row r="26" spans="2:12" x14ac:dyDescent="0.3">
      <c r="B26" s="45"/>
      <c r="C26" s="47"/>
      <c r="D26" s="47"/>
      <c r="E26" s="47"/>
      <c r="F26" s="47"/>
      <c r="G26" s="47"/>
      <c r="H26" s="47"/>
      <c r="I26" s="47"/>
      <c r="J26" s="47"/>
      <c r="K26" s="47"/>
      <c r="L26" s="47"/>
    </row>
    <row r="27" spans="2:12" x14ac:dyDescent="0.3">
      <c r="B27" s="117" t="s">
        <v>722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</row>
    <row r="28" spans="2:12" x14ac:dyDescent="0.3">
      <c r="B28" s="46" t="s">
        <v>740</v>
      </c>
      <c r="C28" s="116">
        <f>+IF('SP Previsionale'!D5&gt;'SP Previsionale'!E5,'SP Previsionale'!D5-'SP Previsionale'!E5,0)</f>
        <v>0</v>
      </c>
      <c r="D28" s="116">
        <f>+IF('SP Previsionale'!E5&gt;'SP Previsionale'!F5,'SP Previsionale'!E5-'SP Previsionale'!F5,0)</f>
        <v>0</v>
      </c>
      <c r="E28" s="116">
        <f>+IF('SP Previsionale'!F5&gt;'SP Previsionale'!G5,'SP Previsionale'!F5-'SP Previsionale'!G5,0)</f>
        <v>0</v>
      </c>
      <c r="F28" s="116">
        <f>+IF('SP Previsionale'!G5&gt;'SP Previsionale'!H5,'SP Previsionale'!G5-'SP Previsionale'!H5,0)</f>
        <v>0</v>
      </c>
      <c r="G28" s="116">
        <f>+IF('SP Previsionale'!H5&gt;'SP Previsionale'!I5,'SP Previsionale'!H5-'SP Previsionale'!I5,0)</f>
        <v>0</v>
      </c>
      <c r="H28" s="116">
        <f>+IF('SP Previsionale'!I5&gt;'SP Previsionale'!J5,'SP Previsionale'!I5-'SP Previsionale'!J5,0)</f>
        <v>0</v>
      </c>
      <c r="I28" s="116">
        <f>+IF('SP Previsionale'!J5&gt;'SP Previsionale'!K5,'SP Previsionale'!J5-'SP Previsionale'!K5,0)</f>
        <v>0</v>
      </c>
      <c r="J28" s="116">
        <f>+IF('SP Previsionale'!K5&gt;'SP Previsionale'!L5,'SP Previsionale'!K5-'SP Previsionale'!L5,0)</f>
        <v>0</v>
      </c>
      <c r="K28" s="116">
        <f>+IF('SP Previsionale'!L5&gt;'SP Previsionale'!M5,'SP Previsionale'!L5-'SP Previsionale'!M5,0)</f>
        <v>0</v>
      </c>
      <c r="L28" s="116">
        <f>+IF('SP Previsionale'!M5&gt;'SP Previsionale'!N5,'SP Previsionale'!M5-'SP Previsionale'!N5,0)</f>
        <v>0</v>
      </c>
    </row>
    <row r="29" spans="2:12" x14ac:dyDescent="0.3">
      <c r="B29" s="46" t="s">
        <v>741</v>
      </c>
      <c r="C29" s="116">
        <f>+IF('SP Previsionale'!E38&gt;'SP Previsionale'!D38,'SP Previsionale'!E38-'SP Previsionale'!D38,0)</f>
        <v>0</v>
      </c>
      <c r="D29" s="116">
        <f>+IF('SP Previsionale'!F38&gt;'SP Previsionale'!E38,'SP Previsionale'!F38-'SP Previsionale'!E38,0)</f>
        <v>0</v>
      </c>
      <c r="E29" s="116">
        <f>+IF('SP Previsionale'!G38&gt;'SP Previsionale'!F38,'SP Previsionale'!G38-'SP Previsionale'!F38,0)</f>
        <v>0</v>
      </c>
      <c r="F29" s="116">
        <f>+IF('SP Previsionale'!H38&gt;'SP Previsionale'!G38,'SP Previsionale'!H38-'SP Previsionale'!G38,0)</f>
        <v>0</v>
      </c>
      <c r="G29" s="116">
        <f>+IF('SP Previsionale'!I38&gt;'SP Previsionale'!H38,'SP Previsionale'!I38-'SP Previsionale'!H38,0)</f>
        <v>0</v>
      </c>
      <c r="H29" s="116">
        <f>+IF('SP Previsionale'!J38&gt;'SP Previsionale'!I38,'SP Previsionale'!J38-'SP Previsionale'!I38,0)</f>
        <v>0</v>
      </c>
      <c r="I29" s="116">
        <f>+IF('SP Previsionale'!K38&gt;'SP Previsionale'!J38,'SP Previsionale'!K38-'SP Previsionale'!J38,0)</f>
        <v>0</v>
      </c>
      <c r="J29" s="116">
        <f>+IF('SP Previsionale'!L38&gt;'SP Previsionale'!K38,'SP Previsionale'!L38-'SP Previsionale'!K38,0)</f>
        <v>0</v>
      </c>
      <c r="K29" s="116">
        <f>+IF('SP Previsionale'!M38&gt;'SP Previsionale'!L38,'SP Previsionale'!M38-'SP Previsionale'!L38,0)</f>
        <v>0</v>
      </c>
      <c r="L29" s="116">
        <f>+IF('SP Previsionale'!N38&gt;'SP Previsionale'!M38,'SP Previsionale'!N38-'SP Previsionale'!M38,0)</f>
        <v>0</v>
      </c>
    </row>
    <row r="30" spans="2:12" x14ac:dyDescent="0.3">
      <c r="B30" s="46" t="s">
        <v>742</v>
      </c>
      <c r="C30" s="116">
        <f>+IF('SP Previsionale'!E40&gt;'SP Previsionale'!D40,'SP Previsionale'!E40-'SP Previsionale'!D40,0)</f>
        <v>0</v>
      </c>
      <c r="D30" s="116">
        <f>+IF('SP Previsionale'!F40&gt;'SP Previsionale'!E40,'SP Previsionale'!F40-'SP Previsionale'!E40,0)</f>
        <v>0</v>
      </c>
      <c r="E30" s="116">
        <f>+IF('SP Previsionale'!G40&gt;'SP Previsionale'!F40,'SP Previsionale'!G40-'SP Previsionale'!F40,0)</f>
        <v>87230</v>
      </c>
      <c r="F30" s="116">
        <f>+IF('SP Previsionale'!H40&gt;'SP Previsionale'!G40,'SP Previsionale'!H40-'SP Previsionale'!G40,0)</f>
        <v>0</v>
      </c>
      <c r="G30" s="116">
        <f>+IF('SP Previsionale'!I40&gt;'SP Previsionale'!H40,'SP Previsionale'!I40-'SP Previsionale'!H40,0)</f>
        <v>0</v>
      </c>
      <c r="H30" s="116">
        <f>+IF('SP Previsionale'!J40&gt;'SP Previsionale'!I40,'SP Previsionale'!J40-'SP Previsionale'!I40,0)</f>
        <v>0</v>
      </c>
      <c r="I30" s="116">
        <f>+IF('SP Previsionale'!K40&gt;'SP Previsionale'!J40,'SP Previsionale'!K40-'SP Previsionale'!J40,0)</f>
        <v>0</v>
      </c>
      <c r="J30" s="116">
        <f>+IF('SP Previsionale'!L40&gt;'SP Previsionale'!K40,'SP Previsionale'!L40-'SP Previsionale'!K40,0)</f>
        <v>0</v>
      </c>
      <c r="K30" s="116">
        <f>+IF('SP Previsionale'!M40&gt;'SP Previsionale'!L40,'SP Previsionale'!M40-'SP Previsionale'!L40,0)</f>
        <v>0</v>
      </c>
      <c r="L30" s="116">
        <f>+IF('SP Previsionale'!N40&gt;'SP Previsionale'!M40,'SP Previsionale'!N40-'SP Previsionale'!M40,0)</f>
        <v>0</v>
      </c>
    </row>
    <row r="31" spans="2:12" x14ac:dyDescent="0.3">
      <c r="B31" s="46" t="s">
        <v>743</v>
      </c>
      <c r="C31" s="116">
        <f>+IF('SP Previsionale'!D7&gt;'SP Previsionale'!E7,'SP Previsionale'!D7-'SP Previsionale'!E7,0)</f>
        <v>60592</v>
      </c>
      <c r="D31" s="116">
        <f>+IF('SP Previsionale'!E7&gt;'SP Previsionale'!F7,'SP Previsionale'!E7-'SP Previsionale'!F7,0)</f>
        <v>0</v>
      </c>
      <c r="E31" s="116">
        <f>+IF('SP Previsionale'!F7&gt;'SP Previsionale'!G7,'SP Previsionale'!F7-'SP Previsionale'!G7,0)</f>
        <v>0</v>
      </c>
      <c r="F31" s="116">
        <f>+IF('SP Previsionale'!G7&gt;'SP Previsionale'!H7,'SP Previsionale'!G7-'SP Previsionale'!H7,0)</f>
        <v>0</v>
      </c>
      <c r="G31" s="116">
        <f>+IF('SP Previsionale'!H7&gt;'SP Previsionale'!I7,'SP Previsionale'!H7-'SP Previsionale'!I7,0)</f>
        <v>0</v>
      </c>
      <c r="H31" s="116">
        <f>+IF('SP Previsionale'!I7&gt;'SP Previsionale'!J7,'SP Previsionale'!I7-'SP Previsionale'!J7,0)</f>
        <v>0</v>
      </c>
      <c r="I31" s="116">
        <f>+IF('SP Previsionale'!J7&gt;'SP Previsionale'!K7,'SP Previsionale'!J7-'SP Previsionale'!K7,0)</f>
        <v>0</v>
      </c>
      <c r="J31" s="116">
        <f>+IF('SP Previsionale'!K7&gt;'SP Previsionale'!L7,'SP Previsionale'!K7-'SP Previsionale'!L7,0)</f>
        <v>0</v>
      </c>
      <c r="K31" s="116">
        <f>+IF('SP Previsionale'!L7&gt;'SP Previsionale'!M7,'SP Previsionale'!L7-'SP Previsionale'!M7,0)</f>
        <v>0</v>
      </c>
      <c r="L31" s="116">
        <f>+IF('SP Previsionale'!M7&gt;'SP Previsionale'!N7,'SP Previsionale'!M7-'SP Previsionale'!N7,0)</f>
        <v>0</v>
      </c>
    </row>
    <row r="32" spans="2:12" x14ac:dyDescent="0.3">
      <c r="B32" s="46" t="s">
        <v>744</v>
      </c>
      <c r="C32" s="116">
        <f>+IF('SP Previsionale'!D13&gt;'SP Previsionale'!E13,'SP Previsionale'!D13-'SP Previsionale'!E13,0)</f>
        <v>0</v>
      </c>
      <c r="D32" s="116">
        <f>+IF('SP Previsionale'!E13&gt;'SP Previsionale'!F13,'SP Previsionale'!E13-'SP Previsionale'!F13,0)</f>
        <v>0</v>
      </c>
      <c r="E32" s="116">
        <f>+IF('SP Previsionale'!F13&gt;'SP Previsionale'!G13,'SP Previsionale'!F13-'SP Previsionale'!G13,0)</f>
        <v>0</v>
      </c>
      <c r="F32" s="116">
        <f>+IF('SP Previsionale'!G13&gt;'SP Previsionale'!H13,'SP Previsionale'!G13-'SP Previsionale'!H13,0)</f>
        <v>0</v>
      </c>
      <c r="G32" s="116">
        <f>+IF('SP Previsionale'!H13&gt;'SP Previsionale'!I13,'SP Previsionale'!H13-'SP Previsionale'!I13,0)</f>
        <v>0</v>
      </c>
      <c r="H32" s="116">
        <f>+IF('SP Previsionale'!I13&gt;'SP Previsionale'!J13,'SP Previsionale'!I13-'SP Previsionale'!J13,0)</f>
        <v>0</v>
      </c>
      <c r="I32" s="116">
        <f>+IF('SP Previsionale'!J13&gt;'SP Previsionale'!K13,'SP Previsionale'!J13-'SP Previsionale'!K13,0)</f>
        <v>0</v>
      </c>
      <c r="J32" s="116">
        <f>+IF('SP Previsionale'!K13&gt;'SP Previsionale'!L13,'SP Previsionale'!K13-'SP Previsionale'!L13,0)</f>
        <v>0</v>
      </c>
      <c r="K32" s="116">
        <f>+IF('SP Previsionale'!L13&gt;'SP Previsionale'!M13,'SP Previsionale'!L13-'SP Previsionale'!M13,0)</f>
        <v>0</v>
      </c>
      <c r="L32" s="116">
        <f>+IF('SP Previsionale'!M13&gt;'SP Previsionale'!N13,'SP Previsionale'!M13-'SP Previsionale'!N13,0)</f>
        <v>0</v>
      </c>
    </row>
    <row r="33" spans="2:12" s="50" customFormat="1" x14ac:dyDescent="0.3">
      <c r="B33" s="45" t="s">
        <v>728</v>
      </c>
      <c r="C33" s="52">
        <f t="shared" ref="C33" si="10">SUM(C28:C32)</f>
        <v>60592</v>
      </c>
      <c r="D33" s="52">
        <f t="shared" ref="D33:K33" si="11">SUM(D28:D32)</f>
        <v>0</v>
      </c>
      <c r="E33" s="52">
        <f t="shared" si="11"/>
        <v>87230</v>
      </c>
      <c r="F33" s="52">
        <f t="shared" si="11"/>
        <v>0</v>
      </c>
      <c r="G33" s="52">
        <f t="shared" si="11"/>
        <v>0</v>
      </c>
      <c r="H33" s="52">
        <f t="shared" si="11"/>
        <v>0</v>
      </c>
      <c r="I33" s="52">
        <f t="shared" si="11"/>
        <v>0</v>
      </c>
      <c r="J33" s="52">
        <f t="shared" si="11"/>
        <v>0</v>
      </c>
      <c r="K33" s="52">
        <f t="shared" si="11"/>
        <v>0</v>
      </c>
      <c r="L33" s="52">
        <f t="shared" ref="L33" si="12">SUM(L28:L32)</f>
        <v>0</v>
      </c>
    </row>
    <row r="34" spans="2:12" x14ac:dyDescent="0.3">
      <c r="B34" s="45"/>
      <c r="C34" s="47"/>
      <c r="D34" s="47"/>
      <c r="E34" s="47"/>
      <c r="F34" s="47"/>
      <c r="G34" s="47"/>
      <c r="H34" s="47"/>
      <c r="I34" s="47"/>
      <c r="J34" s="47"/>
      <c r="K34" s="47"/>
      <c r="L34" s="47"/>
    </row>
    <row r="35" spans="2:12" x14ac:dyDescent="0.3">
      <c r="B35" s="117" t="s">
        <v>729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</row>
    <row r="36" spans="2:12" x14ac:dyDescent="0.3">
      <c r="B36" s="46" t="s">
        <v>745</v>
      </c>
      <c r="C36" s="116">
        <f>+IF('SP Previsionale'!D17&gt;'SP Previsionale'!E17+'CE Previsionale'!C23,'SP Previsionale'!D17-'SP Previsionale'!E17-'CE Previsionale'!C23,0)</f>
        <v>0</v>
      </c>
      <c r="D36" s="116">
        <f>+IF('SP Previsionale'!E17&gt;'SP Previsionale'!F17+'CE Previsionale'!D23,'SP Previsionale'!E17-'SP Previsionale'!F17-'CE Previsionale'!D23,0)</f>
        <v>0</v>
      </c>
      <c r="E36" s="116">
        <f>+IF('SP Previsionale'!F17&gt;'SP Previsionale'!G17+'CE Previsionale'!E23,'SP Previsionale'!F17-'SP Previsionale'!G17-'CE Previsionale'!E23,0)</f>
        <v>0</v>
      </c>
      <c r="F36" s="116">
        <f>+IF('SP Previsionale'!G17&gt;'SP Previsionale'!H17+'CE Previsionale'!F23,'SP Previsionale'!G17-'SP Previsionale'!H17-'CE Previsionale'!F23,0)</f>
        <v>0</v>
      </c>
      <c r="G36" s="116">
        <f>+IF('SP Previsionale'!H17&gt;'SP Previsionale'!I17+'CE Previsionale'!G23,'SP Previsionale'!H17-'SP Previsionale'!I17-'CE Previsionale'!G23,0)</f>
        <v>0</v>
      </c>
      <c r="H36" s="116">
        <f>+IF('SP Previsionale'!I17&gt;'SP Previsionale'!J17+'CE Previsionale'!H23,'SP Previsionale'!I17-'SP Previsionale'!J17-'CE Previsionale'!H23,0)</f>
        <v>0</v>
      </c>
      <c r="I36" s="116">
        <f>+IF('SP Previsionale'!J17&gt;'SP Previsionale'!K17+'CE Previsionale'!I23,'SP Previsionale'!J17-'SP Previsionale'!K17-'CE Previsionale'!I23,0)</f>
        <v>0</v>
      </c>
      <c r="J36" s="116">
        <f>+IF('SP Previsionale'!K17&gt;'SP Previsionale'!L17+'CE Previsionale'!J23,'SP Previsionale'!K17-'SP Previsionale'!L17-'CE Previsionale'!J23,0)</f>
        <v>0</v>
      </c>
      <c r="K36" s="116">
        <f>+IF('SP Previsionale'!L17&gt;'SP Previsionale'!M17+'CE Previsionale'!K23,'SP Previsionale'!L17-'SP Previsionale'!M17-'CE Previsionale'!K23,0)</f>
        <v>0</v>
      </c>
      <c r="L36" s="116">
        <f>+IF('SP Previsionale'!M17&gt;'SP Previsionale'!N17+'CE Previsionale'!L23,'SP Previsionale'!M17-'SP Previsionale'!N17-'CE Previsionale'!L23,0)</f>
        <v>0</v>
      </c>
    </row>
    <row r="37" spans="2:12" x14ac:dyDescent="0.3">
      <c r="B37" s="46" t="s">
        <v>746</v>
      </c>
      <c r="C37" s="116">
        <f>+IF('SP Previsionale'!D25&gt;'SP Previsionale'!E25+'CE Previsionale'!C24,'SP Previsionale'!D25-'SP Previsionale'!E25-'CE Previsionale'!C24,0)</f>
        <v>0</v>
      </c>
      <c r="D37" s="116">
        <f>+IF('SP Previsionale'!E25&gt;'SP Previsionale'!F25+'CE Previsionale'!D24,'SP Previsionale'!E25-'SP Previsionale'!F25-'CE Previsionale'!D24,0)</f>
        <v>0</v>
      </c>
      <c r="E37" s="116">
        <f>+IF('SP Previsionale'!F25&gt;'SP Previsionale'!G25+'CE Previsionale'!E24,'SP Previsionale'!F25-'SP Previsionale'!G25-'CE Previsionale'!E24,0)</f>
        <v>0</v>
      </c>
      <c r="F37" s="116">
        <f>+IF('SP Previsionale'!G25&gt;'SP Previsionale'!H25+'CE Previsionale'!F24,'SP Previsionale'!G25-'SP Previsionale'!H25-'CE Previsionale'!F24,0)</f>
        <v>0</v>
      </c>
      <c r="G37" s="116">
        <f>+IF('SP Previsionale'!H25&gt;'SP Previsionale'!I25+'CE Previsionale'!G24,'SP Previsionale'!H25-'SP Previsionale'!I25-'CE Previsionale'!G24,0)</f>
        <v>0</v>
      </c>
      <c r="H37" s="116">
        <f>+IF('SP Previsionale'!I25&gt;'SP Previsionale'!J25+'CE Previsionale'!H24,'SP Previsionale'!I25-'SP Previsionale'!J25-'CE Previsionale'!H24,0)</f>
        <v>0</v>
      </c>
      <c r="I37" s="116">
        <f>+IF('SP Previsionale'!J25&gt;'SP Previsionale'!K25+'CE Previsionale'!I24,'SP Previsionale'!J25-'SP Previsionale'!K25-'CE Previsionale'!I24,0)</f>
        <v>0</v>
      </c>
      <c r="J37" s="116">
        <f>+IF('SP Previsionale'!K25&gt;'SP Previsionale'!L25+'CE Previsionale'!J24,'SP Previsionale'!K25-'SP Previsionale'!L25-'CE Previsionale'!J24,0)</f>
        <v>0</v>
      </c>
      <c r="K37" s="116">
        <f>+IF('SP Previsionale'!L25&gt;'SP Previsionale'!M25+'CE Previsionale'!K24,'SP Previsionale'!L25-'SP Previsionale'!M25-'CE Previsionale'!K24,0)</f>
        <v>0</v>
      </c>
      <c r="L37" s="116">
        <f>+IF('SP Previsionale'!M25&gt;'SP Previsionale'!N25+'CE Previsionale'!L24,'SP Previsionale'!M25-'SP Previsionale'!N25-'CE Previsionale'!L24,0)</f>
        <v>0</v>
      </c>
    </row>
    <row r="38" spans="2:12" x14ac:dyDescent="0.3">
      <c r="B38" s="46" t="s">
        <v>747</v>
      </c>
      <c r="C38" s="116">
        <f>+IF('SP Previsionale'!D31&gt;'SP Previsionale'!E31,'SP Previsionale'!D31-'SP Previsionale'!E31,0)</f>
        <v>0</v>
      </c>
      <c r="D38" s="116">
        <f>+IF('SP Previsionale'!E31&gt;'SP Previsionale'!F31,'SP Previsionale'!E31-'SP Previsionale'!F31,0)</f>
        <v>0</v>
      </c>
      <c r="E38" s="116">
        <f>+IF('SP Previsionale'!F31&gt;'SP Previsionale'!G31,'SP Previsionale'!F31-'SP Previsionale'!G31,0)</f>
        <v>0</v>
      </c>
      <c r="F38" s="116">
        <f>+IF('SP Previsionale'!G31&gt;'SP Previsionale'!H31,'SP Previsionale'!G31-'SP Previsionale'!H31,0)</f>
        <v>0</v>
      </c>
      <c r="G38" s="116">
        <f>+IF('SP Previsionale'!H31&gt;'SP Previsionale'!I31,'SP Previsionale'!H31-'SP Previsionale'!I31,0)</f>
        <v>0</v>
      </c>
      <c r="H38" s="116">
        <f>+IF('SP Previsionale'!I31&gt;'SP Previsionale'!J31,'SP Previsionale'!I31-'SP Previsionale'!J31,0)</f>
        <v>0</v>
      </c>
      <c r="I38" s="116">
        <f>+IF('SP Previsionale'!J31&gt;'SP Previsionale'!K31,'SP Previsionale'!J31-'SP Previsionale'!K31,0)</f>
        <v>0</v>
      </c>
      <c r="J38" s="116">
        <f>+IF('SP Previsionale'!K31&gt;'SP Previsionale'!L31,'SP Previsionale'!K31-'SP Previsionale'!L31,0)</f>
        <v>0</v>
      </c>
      <c r="K38" s="116">
        <f>+IF('SP Previsionale'!L31&gt;'SP Previsionale'!M31,'SP Previsionale'!L31-'SP Previsionale'!M31,0)</f>
        <v>0</v>
      </c>
      <c r="L38" s="116">
        <f>+IF('SP Previsionale'!M31&gt;'SP Previsionale'!N31,'SP Previsionale'!M31-'SP Previsionale'!N31,0)</f>
        <v>0</v>
      </c>
    </row>
    <row r="39" spans="2:12" x14ac:dyDescent="0.3">
      <c r="B39" s="46" t="s">
        <v>762</v>
      </c>
      <c r="C39" s="116">
        <f>+IF('SP Previsionale'!E53+'SP Previsionale'!E54&gt;'SP Previsionale'!D53+'SP Previsionale'!D54,'SP Previsionale'!E53+'SP Previsionale'!E54-'SP Previsionale'!D53-'SP Previsionale'!D54,0)</f>
        <v>0</v>
      </c>
      <c r="D39" s="116">
        <f>+IF('SP Previsionale'!F53+'SP Previsionale'!F54&gt;'SP Previsionale'!E53+'SP Previsionale'!E54,'SP Previsionale'!F53+'SP Previsionale'!F54-'SP Previsionale'!E53-'SP Previsionale'!E54,0)</f>
        <v>0</v>
      </c>
      <c r="E39" s="116">
        <f>+IF('SP Previsionale'!G53+'SP Previsionale'!G54&gt;'SP Previsionale'!F53+'SP Previsionale'!F54,'SP Previsionale'!G53+'SP Previsionale'!G54-'SP Previsionale'!F53-'SP Previsionale'!F54,0)</f>
        <v>0</v>
      </c>
      <c r="F39" s="116">
        <f>+IF('SP Previsionale'!H53+'SP Previsionale'!H54&gt;'SP Previsionale'!G53+'SP Previsionale'!G54,'SP Previsionale'!H53+'SP Previsionale'!H54-'SP Previsionale'!G53-'SP Previsionale'!G54,0)</f>
        <v>0</v>
      </c>
      <c r="G39" s="116">
        <f>+IF('SP Previsionale'!I53+'SP Previsionale'!I54&gt;'SP Previsionale'!H53+'SP Previsionale'!H54,'SP Previsionale'!I53+'SP Previsionale'!I54-'SP Previsionale'!H53-'SP Previsionale'!H54,0)</f>
        <v>0</v>
      </c>
      <c r="H39" s="116">
        <f>+IF('SP Previsionale'!J53+'SP Previsionale'!J54&gt;'SP Previsionale'!I53+'SP Previsionale'!I54,'SP Previsionale'!J53+'SP Previsionale'!J54-'SP Previsionale'!I53-'SP Previsionale'!I54,0)</f>
        <v>0</v>
      </c>
      <c r="I39" s="116">
        <f>+IF('SP Previsionale'!K53+'SP Previsionale'!K54&gt;'SP Previsionale'!J53+'SP Previsionale'!J54,'SP Previsionale'!K53+'SP Previsionale'!K54-'SP Previsionale'!J53-'SP Previsionale'!J54,0)</f>
        <v>0</v>
      </c>
      <c r="J39" s="116">
        <f>+IF('SP Previsionale'!L53+'SP Previsionale'!L54&gt;'SP Previsionale'!K53+'SP Previsionale'!K54,'SP Previsionale'!L53+'SP Previsionale'!L54-'SP Previsionale'!K53-'SP Previsionale'!K54,0)</f>
        <v>0</v>
      </c>
      <c r="K39" s="116">
        <f>+IF('SP Previsionale'!M53+'SP Previsionale'!M54&gt;'SP Previsionale'!L53+'SP Previsionale'!L54,'SP Previsionale'!M53+'SP Previsionale'!M54-'SP Previsionale'!L53-'SP Previsionale'!L54,0)</f>
        <v>0</v>
      </c>
      <c r="L39" s="116">
        <f>+IF('SP Previsionale'!N53+'SP Previsionale'!N54&gt;'SP Previsionale'!M53+'SP Previsionale'!M54,'SP Previsionale'!N53+'SP Previsionale'!N54-'SP Previsionale'!M53-'SP Previsionale'!M54,0)</f>
        <v>0</v>
      </c>
    </row>
    <row r="40" spans="2:12" x14ac:dyDescent="0.3">
      <c r="B40" s="46" t="s">
        <v>748</v>
      </c>
      <c r="C40" s="116">
        <f>+IF('SP Previsionale'!E47&gt;'SP Previsionale'!D47,'SP Previsionale'!E47-'SP Previsionale'!D47,0)</f>
        <v>0</v>
      </c>
      <c r="D40" s="116">
        <f>+IF('SP Previsionale'!F47&gt;'SP Previsionale'!E47,'SP Previsionale'!F47-'SP Previsionale'!E47,0)</f>
        <v>0</v>
      </c>
      <c r="E40" s="116">
        <f>+IF('SP Previsionale'!G47&gt;'SP Previsionale'!F47,'SP Previsionale'!G47-'SP Previsionale'!F47,0)</f>
        <v>0</v>
      </c>
      <c r="F40" s="116">
        <f>+IF('SP Previsionale'!H47&gt;'SP Previsionale'!G47,'SP Previsionale'!H47-'SP Previsionale'!G47,0)</f>
        <v>0</v>
      </c>
      <c r="G40" s="116">
        <f>+IF('SP Previsionale'!I47&gt;'SP Previsionale'!H47,'SP Previsionale'!I47-'SP Previsionale'!H47,0)</f>
        <v>0</v>
      </c>
      <c r="H40" s="116">
        <f>+IF('SP Previsionale'!J47&gt;'SP Previsionale'!I47,'SP Previsionale'!J47-'SP Previsionale'!I47,0)</f>
        <v>0</v>
      </c>
      <c r="I40" s="116">
        <f>+IF('SP Previsionale'!K47&gt;'SP Previsionale'!J47,'SP Previsionale'!K47-'SP Previsionale'!J47,0)</f>
        <v>0</v>
      </c>
      <c r="J40" s="116">
        <f>+IF('SP Previsionale'!L47&gt;'SP Previsionale'!K47,'SP Previsionale'!L47-'SP Previsionale'!K47,0)</f>
        <v>0</v>
      </c>
      <c r="K40" s="116">
        <f>+IF('SP Previsionale'!M47&gt;'SP Previsionale'!L47,'SP Previsionale'!M47-'SP Previsionale'!L47,0)</f>
        <v>0</v>
      </c>
      <c r="L40" s="116">
        <f>+IF('SP Previsionale'!N47&gt;'SP Previsionale'!M47,'SP Previsionale'!N47-'SP Previsionale'!M47,0)</f>
        <v>0</v>
      </c>
    </row>
    <row r="41" spans="2:12" x14ac:dyDescent="0.3">
      <c r="B41" s="46" t="s">
        <v>749</v>
      </c>
      <c r="C41" s="116">
        <f>+IF('SP Previsionale'!E50&gt;'SP Previsionale'!D50,'SP Previsionale'!E50-'SP Previsionale'!D50,0)</f>
        <v>0</v>
      </c>
      <c r="D41" s="116">
        <f>+IF('SP Previsionale'!F50&gt;'SP Previsionale'!E50,'SP Previsionale'!F50-'SP Previsionale'!E50,0)</f>
        <v>0</v>
      </c>
      <c r="E41" s="116">
        <f>+IF('SP Previsionale'!G50&gt;'SP Previsionale'!F50,'SP Previsionale'!G50-'SP Previsionale'!F50,0)</f>
        <v>0</v>
      </c>
      <c r="F41" s="116">
        <f>+IF('SP Previsionale'!H50&gt;'SP Previsionale'!G50,'SP Previsionale'!H50-'SP Previsionale'!G50,0)</f>
        <v>0</v>
      </c>
      <c r="G41" s="116">
        <f>+IF('SP Previsionale'!I50&gt;'SP Previsionale'!H50,'SP Previsionale'!I50-'SP Previsionale'!H50,0)</f>
        <v>0</v>
      </c>
      <c r="H41" s="116">
        <f>+IF('SP Previsionale'!J50&gt;'SP Previsionale'!I50,'SP Previsionale'!J50-'SP Previsionale'!I50,0)</f>
        <v>0</v>
      </c>
      <c r="I41" s="116">
        <f>+IF('SP Previsionale'!K50&gt;'SP Previsionale'!J50,'SP Previsionale'!K50-'SP Previsionale'!J50,0)</f>
        <v>0</v>
      </c>
      <c r="J41" s="116">
        <f>+IF('SP Previsionale'!L50&gt;'SP Previsionale'!K50,'SP Previsionale'!L50-'SP Previsionale'!K50,0)</f>
        <v>0</v>
      </c>
      <c r="K41" s="116">
        <f>+IF('SP Previsionale'!M50&gt;'SP Previsionale'!L50,'SP Previsionale'!M50-'SP Previsionale'!L50,0)</f>
        <v>0</v>
      </c>
      <c r="L41" s="116">
        <f>+IF('SP Previsionale'!N50&gt;'SP Previsionale'!M50,'SP Previsionale'!N50-'SP Previsionale'!M50,0)</f>
        <v>0</v>
      </c>
    </row>
    <row r="42" spans="2:12" x14ac:dyDescent="0.3">
      <c r="B42" s="46" t="s">
        <v>750</v>
      </c>
      <c r="C42" s="116">
        <f>+IF('SP Previsionale'!E51+'SP Previsionale'!E52+'CE Previsionale'!C23+'CE Previsionale'!C24&gt;'SP Previsionale'!D51+'SP Previsionale'!D52,'SP Previsionale'!E51+'SP Previsionale'!E52+'CE Previsionale'!C23+'CE Previsionale'!C24-'SP Previsionale'!D51-'SP Previsionale'!D52,0)</f>
        <v>22907.375</v>
      </c>
      <c r="D42" s="116">
        <f>+IF('SP Previsionale'!F51+'SP Previsionale'!F52+'CE Previsionale'!D23+'CE Previsionale'!D24&gt;'SP Previsionale'!E51+'SP Previsionale'!E52,'SP Previsionale'!F51+'SP Previsionale'!F52+'CE Previsionale'!D23+'CE Previsionale'!D24-'SP Previsionale'!E51-'SP Previsionale'!E52,0)</f>
        <v>22907.375</v>
      </c>
      <c r="E42" s="116">
        <f>+IF('SP Previsionale'!G51+'SP Previsionale'!G52+'CE Previsionale'!E23+'CE Previsionale'!E24&gt;'SP Previsionale'!F51+'SP Previsionale'!F52,'SP Previsionale'!G51+'SP Previsionale'!G52+'CE Previsionale'!E23+'CE Previsionale'!E24-'SP Previsionale'!F51-'SP Previsionale'!F52,0)</f>
        <v>22907.375</v>
      </c>
      <c r="F42" s="116">
        <f>+IF('SP Previsionale'!H51+'SP Previsionale'!H52+'CE Previsionale'!F23+'CE Previsionale'!F24&gt;'SP Previsionale'!G51+'SP Previsionale'!G52,'SP Previsionale'!H51+'SP Previsionale'!H52+'CE Previsionale'!F23+'CE Previsionale'!F24-'SP Previsionale'!G51-'SP Previsionale'!G52,0)</f>
        <v>22907.375</v>
      </c>
      <c r="G42" s="116">
        <f>+IF('SP Previsionale'!I51+'SP Previsionale'!I52+'CE Previsionale'!G23+'CE Previsionale'!G24&gt;'SP Previsionale'!H51+'SP Previsionale'!H52,'SP Previsionale'!I51+'SP Previsionale'!I52+'CE Previsionale'!G23+'CE Previsionale'!G24-'SP Previsionale'!H51-'SP Previsionale'!H52,0)</f>
        <v>22907.375</v>
      </c>
      <c r="H42" s="116">
        <f>+IF('SP Previsionale'!J51+'SP Previsionale'!J52+'CE Previsionale'!H23+'CE Previsionale'!H24&gt;'SP Previsionale'!I51+'SP Previsionale'!I52,'SP Previsionale'!J51+'SP Previsionale'!J52+'CE Previsionale'!H23+'CE Previsionale'!H24-'SP Previsionale'!I51-'SP Previsionale'!I52,0)</f>
        <v>22907.375</v>
      </c>
      <c r="I42" s="116">
        <f>+IF('SP Previsionale'!K51+'SP Previsionale'!K52+'CE Previsionale'!I23+'CE Previsionale'!I24&gt;'SP Previsionale'!J51+'SP Previsionale'!J52,'SP Previsionale'!K51+'SP Previsionale'!K52+'CE Previsionale'!I23+'CE Previsionale'!I24-'SP Previsionale'!J51-'SP Previsionale'!J52,0)</f>
        <v>22907.375</v>
      </c>
      <c r="J42" s="116">
        <f>+IF('SP Previsionale'!L51+'SP Previsionale'!L52+'CE Previsionale'!J23+'CE Previsionale'!J24&gt;'SP Previsionale'!K51+'SP Previsionale'!K52,'SP Previsionale'!L51+'SP Previsionale'!L52+'CE Previsionale'!J23+'CE Previsionale'!J24-'SP Previsionale'!K51-'SP Previsionale'!K52,0)</f>
        <v>22907.375</v>
      </c>
      <c r="K42" s="116">
        <f>+IF('SP Previsionale'!M51+'SP Previsionale'!M52+'CE Previsionale'!K23+'CE Previsionale'!K24&gt;'SP Previsionale'!L51+'SP Previsionale'!L52,'SP Previsionale'!M51+'SP Previsionale'!M52+'CE Previsionale'!K23+'CE Previsionale'!K24-'SP Previsionale'!L51-'SP Previsionale'!L52,0)</f>
        <v>22907.375</v>
      </c>
      <c r="L42" s="116">
        <f>+IF('SP Previsionale'!N51+'SP Previsionale'!N52+'CE Previsionale'!L23+'CE Previsionale'!L24&gt;'SP Previsionale'!M51+'SP Previsionale'!M52,'SP Previsionale'!N51+'SP Previsionale'!N52+'CE Previsionale'!L23+'CE Previsionale'!L24-'SP Previsionale'!M51-'SP Previsionale'!M52,0)</f>
        <v>22907.375</v>
      </c>
    </row>
    <row r="43" spans="2:12" x14ac:dyDescent="0.3">
      <c r="B43" s="46" t="s">
        <v>751</v>
      </c>
      <c r="C43" s="116">
        <f>+IF('SP Previsionale'!E56&gt;'SP Previsionale'!D56,'SP Previsionale'!E56-'SP Previsionale'!D56,0)</f>
        <v>17404.174999999988</v>
      </c>
      <c r="D43" s="116">
        <f>+IF('SP Previsionale'!F56&gt;'SP Previsionale'!E56,'SP Previsionale'!F56-'SP Previsionale'!E56,0)</f>
        <v>9592.625</v>
      </c>
      <c r="E43" s="116">
        <f>+IF('SP Previsionale'!G56&gt;'SP Previsionale'!F56,'SP Previsionale'!G56-'SP Previsionale'!F56,0)</f>
        <v>9592.625</v>
      </c>
      <c r="F43" s="116">
        <f>+IF('SP Previsionale'!H56&gt;'SP Previsionale'!G56,'SP Previsionale'!H56-'SP Previsionale'!G56,0)</f>
        <v>9592.625</v>
      </c>
      <c r="G43" s="116">
        <f>+IF('SP Previsionale'!I56&gt;'SP Previsionale'!H56,'SP Previsionale'!I56-'SP Previsionale'!H56,0)</f>
        <v>9592.625</v>
      </c>
      <c r="H43" s="116">
        <f>+IF('SP Previsionale'!J56&gt;'SP Previsionale'!I56,'SP Previsionale'!J56-'SP Previsionale'!I56,0)</f>
        <v>9592.625</v>
      </c>
      <c r="I43" s="116">
        <f>+IF('SP Previsionale'!K56&gt;'SP Previsionale'!J56,'SP Previsionale'!K56-'SP Previsionale'!J56,0)</f>
        <v>9592.625</v>
      </c>
      <c r="J43" s="116">
        <f>+IF('SP Previsionale'!L56&gt;'SP Previsionale'!K56,'SP Previsionale'!L56-'SP Previsionale'!K56,0)</f>
        <v>9592.625</v>
      </c>
      <c r="K43" s="116">
        <f>+IF('SP Previsionale'!M56&gt;'SP Previsionale'!L56,'SP Previsionale'!M56-'SP Previsionale'!L56,0)</f>
        <v>9592.625</v>
      </c>
      <c r="L43" s="116">
        <f>+IF('SP Previsionale'!N56&gt;'SP Previsionale'!M56,'SP Previsionale'!N56-'SP Previsionale'!M56,0)</f>
        <v>9592.625</v>
      </c>
    </row>
    <row r="44" spans="2:12" s="50" customFormat="1" x14ac:dyDescent="0.3">
      <c r="B44" s="45" t="s">
        <v>737</v>
      </c>
      <c r="C44" s="52">
        <f t="shared" ref="C44" si="13">SUM(C36:C43)</f>
        <v>40311.549999999988</v>
      </c>
      <c r="D44" s="52">
        <f t="shared" ref="D44:K44" si="14">SUM(D36:D43)</f>
        <v>32500</v>
      </c>
      <c r="E44" s="52">
        <f t="shared" si="14"/>
        <v>32500</v>
      </c>
      <c r="F44" s="52">
        <f t="shared" si="14"/>
        <v>32500</v>
      </c>
      <c r="G44" s="52">
        <f t="shared" si="14"/>
        <v>32500</v>
      </c>
      <c r="H44" s="52">
        <f t="shared" si="14"/>
        <v>32500</v>
      </c>
      <c r="I44" s="52">
        <f t="shared" si="14"/>
        <v>32500</v>
      </c>
      <c r="J44" s="52">
        <f t="shared" si="14"/>
        <v>32500</v>
      </c>
      <c r="K44" s="52">
        <f t="shared" si="14"/>
        <v>32500</v>
      </c>
      <c r="L44" s="52">
        <f t="shared" ref="L44" si="15">SUM(L36:L43)</f>
        <v>32500</v>
      </c>
    </row>
    <row r="45" spans="2:12" x14ac:dyDescent="0.3">
      <c r="B45" s="45"/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2:12" s="50" customFormat="1" x14ac:dyDescent="0.3">
      <c r="B46" s="45" t="s">
        <v>752</v>
      </c>
      <c r="C46" s="52">
        <f t="shared" ref="C46" si="16">+C33+C44</f>
        <v>100903.54999999999</v>
      </c>
      <c r="D46" s="52">
        <f t="shared" ref="D46:K46" si="17">+D33+D44</f>
        <v>32500</v>
      </c>
      <c r="E46" s="52">
        <f t="shared" si="17"/>
        <v>119730</v>
      </c>
      <c r="F46" s="52">
        <f t="shared" si="17"/>
        <v>32500</v>
      </c>
      <c r="G46" s="52">
        <f t="shared" si="17"/>
        <v>32500</v>
      </c>
      <c r="H46" s="52">
        <f t="shared" si="17"/>
        <v>32500</v>
      </c>
      <c r="I46" s="52">
        <f t="shared" si="17"/>
        <v>32500</v>
      </c>
      <c r="J46" s="52">
        <f t="shared" si="17"/>
        <v>32500</v>
      </c>
      <c r="K46" s="52">
        <f t="shared" si="17"/>
        <v>32500</v>
      </c>
      <c r="L46" s="52">
        <f t="shared" ref="L46" si="18">+L33+L44</f>
        <v>32500</v>
      </c>
    </row>
    <row r="47" spans="2:12" x14ac:dyDescent="0.3">
      <c r="C47" s="169"/>
      <c r="D47" s="169"/>
      <c r="E47" s="169"/>
      <c r="F47" s="169"/>
      <c r="G47" s="169"/>
      <c r="H47" s="169"/>
      <c r="I47" s="169"/>
      <c r="J47" s="169"/>
      <c r="K47" s="169"/>
      <c r="L47" s="169"/>
    </row>
  </sheetData>
  <hyperlinks>
    <hyperlink ref="A1" location="Menu!A1" display="MENU" xr:uid="{00000000-0004-0000-0C00-000000000000}"/>
  </hyperlink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74"/>
  <sheetViews>
    <sheetView workbookViewId="0">
      <selection activeCell="B4" sqref="B4"/>
    </sheetView>
  </sheetViews>
  <sheetFormatPr defaultColWidth="8.6640625" defaultRowHeight="13.2" x14ac:dyDescent="0.25"/>
  <cols>
    <col min="1" max="1" width="4.44140625" style="67" customWidth="1"/>
    <col min="2" max="2" width="47.44140625" style="68" customWidth="1"/>
    <col min="3" max="3" width="11.33203125" style="67" bestFit="1" customWidth="1"/>
    <col min="4" max="4" width="8.6640625" style="67"/>
    <col min="5" max="5" width="11.33203125" style="67" bestFit="1" customWidth="1"/>
    <col min="6" max="6" width="8.6640625" style="67"/>
    <col min="7" max="7" width="11.33203125" style="67" bestFit="1" customWidth="1"/>
    <col min="8" max="8" width="7" style="67" bestFit="1" customWidth="1"/>
    <col min="9" max="9" width="11.33203125" style="67" bestFit="1" customWidth="1"/>
    <col min="10" max="10" width="8.6640625" style="67"/>
    <col min="11" max="11" width="11.33203125" style="67" bestFit="1" customWidth="1"/>
    <col min="12" max="12" width="8.6640625" style="67"/>
    <col min="13" max="13" width="11.33203125" style="67" bestFit="1" customWidth="1"/>
    <col min="14" max="14" width="8.6640625" style="67"/>
    <col min="15" max="15" width="11.33203125" style="67" bestFit="1" customWidth="1"/>
    <col min="16" max="16" width="8.6640625" style="67"/>
    <col min="17" max="17" width="11.33203125" style="67" bestFit="1" customWidth="1"/>
    <col min="18" max="18" width="7" style="67" bestFit="1" customWidth="1"/>
    <col min="19" max="19" width="11.33203125" style="67" bestFit="1" customWidth="1"/>
    <col min="20" max="20" width="8.6640625" style="67"/>
    <col min="21" max="21" width="11.33203125" style="68" bestFit="1" customWidth="1"/>
    <col min="22" max="22" width="9.109375" style="68" bestFit="1" customWidth="1"/>
    <col min="23" max="23" width="12.6640625" style="68" customWidth="1"/>
    <col min="24" max="24" width="19" style="68" customWidth="1"/>
    <col min="25" max="25" width="11.33203125" style="68" bestFit="1" customWidth="1"/>
    <col min="26" max="26" width="17.88671875" style="68" customWidth="1"/>
    <col min="27" max="16384" width="8.6640625" style="68"/>
  </cols>
  <sheetData>
    <row r="1" spans="1:26" ht="15" x14ac:dyDescent="0.25">
      <c r="B1" s="104" t="s">
        <v>763</v>
      </c>
    </row>
    <row r="2" spans="1:26" s="67" customFormat="1" x14ac:dyDescent="0.25"/>
    <row r="3" spans="1:26" s="67" customFormat="1" ht="42" customHeight="1" x14ac:dyDescent="0.25">
      <c r="A3" s="69"/>
      <c r="B3" s="193" t="s">
        <v>764</v>
      </c>
    </row>
    <row r="4" spans="1:26" s="67" customFormat="1" x14ac:dyDescent="0.25">
      <c r="A4" s="69"/>
      <c r="B4" s="9" t="s">
        <v>68</v>
      </c>
      <c r="C4" s="222" t="s">
        <v>822</v>
      </c>
      <c r="D4" s="222"/>
      <c r="E4" s="222" t="s">
        <v>822</v>
      </c>
      <c r="F4" s="222"/>
      <c r="G4" s="222" t="s">
        <v>822</v>
      </c>
      <c r="H4" s="222"/>
      <c r="I4" s="222" t="s">
        <v>822</v>
      </c>
      <c r="J4" s="222"/>
      <c r="K4" s="222" t="s">
        <v>822</v>
      </c>
      <c r="L4" s="222"/>
      <c r="M4" s="222" t="s">
        <v>822</v>
      </c>
      <c r="N4" s="222"/>
      <c r="O4" s="222" t="s">
        <v>822</v>
      </c>
      <c r="P4" s="222"/>
      <c r="Q4" s="222" t="s">
        <v>822</v>
      </c>
      <c r="R4" s="222"/>
      <c r="S4" s="222" t="s">
        <v>822</v>
      </c>
      <c r="T4" s="222"/>
      <c r="U4" s="222" t="s">
        <v>822</v>
      </c>
      <c r="V4" s="222"/>
      <c r="W4" s="222" t="s">
        <v>822</v>
      </c>
      <c r="X4" s="222"/>
      <c r="Y4" s="222" t="s">
        <v>822</v>
      </c>
      <c r="Z4" s="222"/>
    </row>
    <row r="5" spans="1:26" s="67" customFormat="1" ht="14.4" x14ac:dyDescent="0.3">
      <c r="A5" s="69"/>
      <c r="B5" s="70" t="s">
        <v>765</v>
      </c>
      <c r="C5" s="223">
        <f>+'SP Previsionale'!E3</f>
        <v>43159</v>
      </c>
      <c r="D5" s="224"/>
      <c r="E5" s="223">
        <f>+EOMONTH(C5,1)</f>
        <v>43190</v>
      </c>
      <c r="F5" s="224"/>
      <c r="G5" s="223">
        <f t="shared" ref="G5" si="0">+EOMONTH(E5,1)</f>
        <v>43220</v>
      </c>
      <c r="H5" s="224"/>
      <c r="I5" s="223">
        <f t="shared" ref="I5" si="1">+EOMONTH(G5,1)</f>
        <v>43251</v>
      </c>
      <c r="J5" s="224"/>
      <c r="K5" s="223">
        <f t="shared" ref="K5" si="2">+EOMONTH(I5,1)</f>
        <v>43281</v>
      </c>
      <c r="L5" s="224"/>
      <c r="M5" s="223">
        <f t="shared" ref="M5" si="3">+EOMONTH(K5,1)</f>
        <v>43312</v>
      </c>
      <c r="N5" s="224"/>
      <c r="O5" s="223">
        <f t="shared" ref="O5" si="4">+EOMONTH(M5,1)</f>
        <v>43343</v>
      </c>
      <c r="P5" s="224"/>
      <c r="Q5" s="223">
        <f t="shared" ref="Q5" si="5">+EOMONTH(O5,1)</f>
        <v>43373</v>
      </c>
      <c r="R5" s="224"/>
      <c r="S5" s="223">
        <f t="shared" ref="S5" si="6">+EOMONTH(Q5,1)</f>
        <v>43404</v>
      </c>
      <c r="T5" s="224"/>
      <c r="U5" s="223">
        <f t="shared" ref="U5" si="7">+EOMONTH(S5,1)</f>
        <v>43434</v>
      </c>
      <c r="V5" s="224"/>
      <c r="W5" s="223">
        <f t="shared" ref="W5" si="8">+EOMONTH(U5,1)</f>
        <v>43465</v>
      </c>
      <c r="X5" s="224"/>
      <c r="Y5" s="223">
        <f t="shared" ref="Y5" si="9">+EOMONTH(W5,1)</f>
        <v>43496</v>
      </c>
      <c r="Z5" s="224"/>
    </row>
    <row r="6" spans="1:26" s="67" customFormat="1" x14ac:dyDescent="0.25">
      <c r="A6" s="69"/>
      <c r="B6" s="71"/>
      <c r="C6" s="72" t="s">
        <v>766</v>
      </c>
      <c r="D6" s="72" t="s">
        <v>767</v>
      </c>
      <c r="E6" s="72" t="s">
        <v>766</v>
      </c>
      <c r="F6" s="72" t="s">
        <v>767</v>
      </c>
      <c r="G6" s="72" t="s">
        <v>766</v>
      </c>
      <c r="H6" s="72" t="s">
        <v>767</v>
      </c>
      <c r="I6" s="72" t="s">
        <v>766</v>
      </c>
      <c r="J6" s="72" t="s">
        <v>767</v>
      </c>
      <c r="K6" s="72" t="s">
        <v>766</v>
      </c>
      <c r="L6" s="72" t="s">
        <v>767</v>
      </c>
      <c r="M6" s="72" t="s">
        <v>766</v>
      </c>
      <c r="N6" s="72" t="s">
        <v>767</v>
      </c>
      <c r="O6" s="72" t="s">
        <v>766</v>
      </c>
      <c r="P6" s="72" t="s">
        <v>767</v>
      </c>
      <c r="Q6" s="72" t="s">
        <v>766</v>
      </c>
      <c r="R6" s="72" t="s">
        <v>767</v>
      </c>
      <c r="S6" s="72" t="s">
        <v>766</v>
      </c>
      <c r="T6" s="72" t="s">
        <v>767</v>
      </c>
      <c r="U6" s="72" t="s">
        <v>766</v>
      </c>
      <c r="V6" s="72" t="s">
        <v>767</v>
      </c>
      <c r="W6" s="72" t="s">
        <v>766</v>
      </c>
      <c r="X6" s="72" t="s">
        <v>767</v>
      </c>
      <c r="Y6" s="72" t="s">
        <v>766</v>
      </c>
      <c r="Z6" s="72" t="s">
        <v>767</v>
      </c>
    </row>
    <row r="7" spans="1:26" s="67" customFormat="1" x14ac:dyDescent="0.25">
      <c r="A7" s="69"/>
      <c r="B7" s="117" t="s">
        <v>768</v>
      </c>
      <c r="C7" s="73"/>
      <c r="D7" s="74"/>
      <c r="E7" s="73"/>
      <c r="F7" s="74"/>
      <c r="G7" s="73"/>
      <c r="H7" s="74"/>
      <c r="I7" s="73"/>
      <c r="J7" s="74"/>
      <c r="K7" s="73"/>
      <c r="L7" s="74"/>
      <c r="M7" s="73"/>
      <c r="N7" s="74"/>
      <c r="O7" s="73"/>
      <c r="P7" s="74"/>
      <c r="Q7" s="73"/>
      <c r="R7" s="74"/>
      <c r="S7" s="73"/>
      <c r="T7" s="74"/>
      <c r="U7" s="73"/>
      <c r="V7" s="74"/>
      <c r="W7" s="73"/>
      <c r="X7" s="74"/>
      <c r="Y7" s="73"/>
      <c r="Z7" s="74"/>
    </row>
    <row r="8" spans="1:26" s="67" customFormat="1" x14ac:dyDescent="0.25">
      <c r="A8" s="69"/>
      <c r="B8" s="75" t="s">
        <v>221</v>
      </c>
      <c r="C8" s="76">
        <f>+'SP Previsionale'!E13</f>
        <v>150000</v>
      </c>
      <c r="D8" s="74">
        <f>+C8/$C$11</f>
        <v>0.18795200954679928</v>
      </c>
      <c r="E8" s="76">
        <f>+'SP Previsionale'!F13</f>
        <v>150000</v>
      </c>
      <c r="F8" s="74">
        <f>+E8/$E$11</f>
        <v>0.18269251742565989</v>
      </c>
      <c r="G8" s="76">
        <f>+'SP Previsionale'!G13</f>
        <v>150000</v>
      </c>
      <c r="H8" s="74">
        <f>+G8/$G$11</f>
        <v>0.15968075533306525</v>
      </c>
      <c r="I8" s="76">
        <f>+'SP Previsionale'!H13</f>
        <v>150000</v>
      </c>
      <c r="J8" s="74">
        <f>+I8/$I$11</f>
        <v>0.15644244865597945</v>
      </c>
      <c r="K8" s="76">
        <f>+'SP Previsionale'!I13</f>
        <v>150000</v>
      </c>
      <c r="L8" s="74">
        <f>+K8/$K$11</f>
        <v>0.15233535043109761</v>
      </c>
      <c r="M8" s="76">
        <f>+'SP Previsionale'!J13</f>
        <v>150000</v>
      </c>
      <c r="N8" s="74">
        <f>+M8/$M$11</f>
        <v>0.14767234420887643</v>
      </c>
      <c r="O8" s="76">
        <f>+'SP Previsionale'!K13</f>
        <v>150000</v>
      </c>
      <c r="P8" s="74">
        <f>+O8/$O$11</f>
        <v>0.14328632976532063</v>
      </c>
      <c r="Q8" s="76">
        <f>+'SP Previsionale'!L13</f>
        <v>150000</v>
      </c>
      <c r="R8" s="74">
        <f>+Q8/$Q$11</f>
        <v>0.13915333821204937</v>
      </c>
      <c r="S8" s="76">
        <f>+'SP Previsionale'!M13</f>
        <v>150000</v>
      </c>
      <c r="T8" s="74">
        <f>+S8/$S$11</f>
        <v>0.13525208859092952</v>
      </c>
      <c r="U8" s="76">
        <f>+'SP Previsionale'!N13</f>
        <v>150000</v>
      </c>
      <c r="V8" s="74">
        <f>+U8/$U$11</f>
        <v>0.1315636213605994</v>
      </c>
      <c r="W8" s="76">
        <f>+'SP Previsionale'!O13</f>
        <v>150000</v>
      </c>
      <c r="X8" s="74">
        <f>+W8/$W$11</f>
        <v>0.1280709902621863</v>
      </c>
      <c r="Y8" s="76">
        <f>+'SP Previsionale'!P13</f>
        <v>150000</v>
      </c>
      <c r="Z8" s="74">
        <f>+Y8/$Y$11</f>
        <v>0.12475900199618561</v>
      </c>
    </row>
    <row r="9" spans="1:26" s="67" customFormat="1" x14ac:dyDescent="0.25">
      <c r="A9" s="69"/>
      <c r="B9" s="75" t="s">
        <v>769</v>
      </c>
      <c r="C9" s="76">
        <f>+'SP Previsionale'!E7+'SP Previsionale'!E5</f>
        <v>440285.43900000001</v>
      </c>
      <c r="D9" s="74">
        <f t="shared" ref="D9:D10" si="10">+C9/$C$11</f>
        <v>0.55168355356163146</v>
      </c>
      <c r="E9" s="76">
        <f>+'SP Previsionale'!F7+'SP Previsionale'!F5</f>
        <v>464668.43900000001</v>
      </c>
      <c r="F9" s="74">
        <f t="shared" ref="F9:F11" si="11">+E9/$E$11</f>
        <v>0.56594297926107795</v>
      </c>
      <c r="G9" s="76">
        <f>+'SP Previsionale'!G7+'SP Previsionale'!G5</f>
        <v>584398.43900000001</v>
      </c>
      <c r="H9" s="74">
        <f t="shared" ref="H9:H11" si="12">+G9/$G$11</f>
        <v>0.62211456103322837</v>
      </c>
      <c r="I9" s="76">
        <f>+'SP Previsionale'!H7+'SP Previsionale'!H5</f>
        <v>605250.55000000005</v>
      </c>
      <c r="J9" s="74">
        <f t="shared" ref="J9:J11" si="13">+I9/$I$11</f>
        <v>0.63124585394918886</v>
      </c>
      <c r="K9" s="76">
        <f>+'SP Previsionale'!I7+'SP Previsionale'!I5</f>
        <v>632508.55000000005</v>
      </c>
      <c r="L9" s="74">
        <f t="shared" ref="L9:L11" si="14">+K9/$K$11</f>
        <v>0.64235607743276957</v>
      </c>
      <c r="M9" s="76">
        <f>+'SP Previsionale'!J7+'SP Previsionale'!J5</f>
        <v>665008.55000000005</v>
      </c>
      <c r="N9" s="74">
        <f t="shared" ref="N9:N11" si="15">+M9/$M$11</f>
        <v>0.65468914331630546</v>
      </c>
      <c r="O9" s="76">
        <f>+'SP Previsionale'!K7+'SP Previsionale'!K5</f>
        <v>697508.55</v>
      </c>
      <c r="P9" s="74">
        <f t="shared" ref="P9:P11" si="16">+O9/$O$11</f>
        <v>0.66628960072953758</v>
      </c>
      <c r="Q9" s="76">
        <f>+'SP Previsionale'!L7+'SP Previsionale'!L5</f>
        <v>730008.55</v>
      </c>
      <c r="R9" s="74">
        <f t="shared" ref="R9:R11" si="17">+Q9/$Q$11</f>
        <v>0.67722084437225172</v>
      </c>
      <c r="S9" s="76">
        <f>+'SP Previsionale'!M7+'SP Previsionale'!M5</f>
        <v>762508.55</v>
      </c>
      <c r="T9" s="74">
        <f t="shared" ref="T9:T11" si="18">+S9/$S$11</f>
        <v>0.68753915970627488</v>
      </c>
      <c r="U9" s="76">
        <f>+'SP Previsionale'!N7+'SP Previsionale'!N5</f>
        <v>795008.55</v>
      </c>
      <c r="V9" s="74">
        <f t="shared" ref="V9:V11" si="19">+U9/$U$11</f>
        <v>0.69729469233759434</v>
      </c>
      <c r="W9" s="76">
        <f>+'SP Previsionale'!O7+'SP Previsionale'!O5</f>
        <v>827508.55</v>
      </c>
      <c r="X9" s="74">
        <f t="shared" ref="X9:X15" si="20">+W9/$W$11</f>
        <v>0.70653226299283933</v>
      </c>
      <c r="Y9" s="76">
        <f>+'SP Previsionale'!P7+'SP Previsionale'!P5</f>
        <v>860008.55</v>
      </c>
      <c r="Z9" s="74">
        <f t="shared" ref="Z9:Z15" si="21">+Y9/$Y$11</f>
        <v>0.71529205604124468</v>
      </c>
    </row>
    <row r="10" spans="1:26" s="67" customFormat="1" x14ac:dyDescent="0.25">
      <c r="A10" s="69"/>
      <c r="B10" s="75" t="s">
        <v>94</v>
      </c>
      <c r="C10" s="76">
        <f>+'SP Previsionale'!E17+'SP Previsionale'!E25+'SP Previsionale'!E31</f>
        <v>207790.625</v>
      </c>
      <c r="D10" s="74">
        <f t="shared" si="10"/>
        <v>0.2603644368915693</v>
      </c>
      <c r="E10" s="76">
        <f>+'SP Previsionale'!F17+'SP Previsionale'!F25+'SP Previsionale'!F31</f>
        <v>206383.25</v>
      </c>
      <c r="F10" s="74">
        <f t="shared" si="11"/>
        <v>0.25136450331326216</v>
      </c>
      <c r="G10" s="76">
        <f>+'SP Previsionale'!G17+'SP Previsionale'!G25+'SP Previsionale'!G31</f>
        <v>204975.875</v>
      </c>
      <c r="H10" s="74">
        <f t="shared" si="12"/>
        <v>0.21820468363370643</v>
      </c>
      <c r="I10" s="76">
        <f>+'SP Previsionale'!H17+'SP Previsionale'!H25+'SP Previsionale'!H31</f>
        <v>203568.5</v>
      </c>
      <c r="J10" s="74">
        <f t="shared" si="13"/>
        <v>0.21231169739483169</v>
      </c>
      <c r="K10" s="76">
        <f>+'SP Previsionale'!I17+'SP Previsionale'!I25+'SP Previsionale'!I31</f>
        <v>202161.125</v>
      </c>
      <c r="L10" s="74">
        <f t="shared" si="14"/>
        <v>0.20530857213613285</v>
      </c>
      <c r="M10" s="76">
        <f>+'SP Previsionale'!J17+'SP Previsionale'!J25+'SP Previsionale'!J31</f>
        <v>200753.75</v>
      </c>
      <c r="N10" s="74">
        <f t="shared" si="15"/>
        <v>0.19763851247481817</v>
      </c>
      <c r="O10" s="76">
        <f>+'SP Previsionale'!K17+'SP Previsionale'!K25+'SP Previsionale'!K31</f>
        <v>199346.375</v>
      </c>
      <c r="P10" s="74">
        <f t="shared" si="16"/>
        <v>0.19042406950514179</v>
      </c>
      <c r="Q10" s="76">
        <f>+'SP Previsionale'!L17+'SP Previsionale'!L25+'SP Previsionale'!L31</f>
        <v>197939</v>
      </c>
      <c r="R10" s="74">
        <f t="shared" si="17"/>
        <v>0.18362581741569892</v>
      </c>
      <c r="S10" s="76">
        <f>+'SP Previsionale'!M17+'SP Previsionale'!M25+'SP Previsionale'!M31</f>
        <v>196531.625</v>
      </c>
      <c r="T10" s="74">
        <f t="shared" si="18"/>
        <v>0.1772087517027956</v>
      </c>
      <c r="U10" s="76">
        <f>+'SP Previsionale'!N17+'SP Previsionale'!N25+'SP Previsionale'!N31</f>
        <v>195124.25</v>
      </c>
      <c r="V10" s="74">
        <f t="shared" si="19"/>
        <v>0.17114168630180623</v>
      </c>
      <c r="W10" s="76">
        <f>+'SP Previsionale'!O17+'SP Previsionale'!O25+'SP Previsionale'!O31</f>
        <v>193716.875</v>
      </c>
      <c r="X10" s="74">
        <f t="shared" si="20"/>
        <v>0.1653967467449744</v>
      </c>
      <c r="Y10" s="76">
        <f>+'SP Previsionale'!P17+'SP Previsionale'!P25+'SP Previsionale'!P31</f>
        <v>192309.5</v>
      </c>
      <c r="Z10" s="74">
        <f t="shared" si="21"/>
        <v>0.1599489419625697</v>
      </c>
    </row>
    <row r="11" spans="1:26" s="67" customFormat="1" x14ac:dyDescent="0.25">
      <c r="A11" s="69"/>
      <c r="B11" s="117" t="s">
        <v>348</v>
      </c>
      <c r="C11" s="77">
        <f>SUM(C8:C10)</f>
        <v>798076.06400000001</v>
      </c>
      <c r="D11" s="103">
        <f>+C11/$C$11</f>
        <v>1</v>
      </c>
      <c r="E11" s="77">
        <f>SUM(E8:E10)</f>
        <v>821051.68900000001</v>
      </c>
      <c r="F11" s="103">
        <f t="shared" si="11"/>
        <v>1</v>
      </c>
      <c r="G11" s="77">
        <f>SUM(G8:G10)</f>
        <v>939374.31400000001</v>
      </c>
      <c r="H11" s="103">
        <f t="shared" si="12"/>
        <v>1</v>
      </c>
      <c r="I11" s="77">
        <f>SUM(I8:I10)</f>
        <v>958819.05</v>
      </c>
      <c r="J11" s="103">
        <f t="shared" si="13"/>
        <v>1</v>
      </c>
      <c r="K11" s="77">
        <f>SUM(K8:K10)</f>
        <v>984669.67500000005</v>
      </c>
      <c r="L11" s="103">
        <f t="shared" si="14"/>
        <v>1</v>
      </c>
      <c r="M11" s="77">
        <f>SUM(M8:M10)</f>
        <v>1015762.3</v>
      </c>
      <c r="N11" s="103">
        <f t="shared" si="15"/>
        <v>1</v>
      </c>
      <c r="O11" s="77">
        <f>SUM(O8:O10)</f>
        <v>1046854.925</v>
      </c>
      <c r="P11" s="103">
        <f t="shared" si="16"/>
        <v>1</v>
      </c>
      <c r="Q11" s="77">
        <f>SUM(Q8:Q10)</f>
        <v>1077947.55</v>
      </c>
      <c r="R11" s="103">
        <f t="shared" si="17"/>
        <v>1</v>
      </c>
      <c r="S11" s="77">
        <f>SUM(S8:S10)</f>
        <v>1109040.175</v>
      </c>
      <c r="T11" s="103">
        <f t="shared" si="18"/>
        <v>1</v>
      </c>
      <c r="U11" s="77">
        <f>SUM(U8:U10)</f>
        <v>1140132.8</v>
      </c>
      <c r="V11" s="103">
        <f t="shared" si="19"/>
        <v>1</v>
      </c>
      <c r="W11" s="77">
        <f>SUM(W8:W10)</f>
        <v>1171225.425</v>
      </c>
      <c r="X11" s="103">
        <f t="shared" si="20"/>
        <v>1</v>
      </c>
      <c r="Y11" s="77">
        <f>SUM(Y8:Y10)</f>
        <v>1202318.05</v>
      </c>
      <c r="Z11" s="103">
        <f t="shared" si="21"/>
        <v>1</v>
      </c>
    </row>
    <row r="12" spans="1:26" s="67" customFormat="1" x14ac:dyDescent="0.25">
      <c r="A12" s="69"/>
      <c r="B12" s="75" t="s">
        <v>770</v>
      </c>
      <c r="C12" s="76">
        <f>+'SP Previsionale'!E37+'SP Previsionale'!E40</f>
        <v>199466.88900000002</v>
      </c>
      <c r="D12" s="74">
        <f>+C12/$C$15</f>
        <v>0.24993468417065573</v>
      </c>
      <c r="E12" s="76">
        <f>+'SP Previsionale'!F37+'SP Previsionale'!F40</f>
        <v>191349.88900000002</v>
      </c>
      <c r="F12" s="74">
        <f>+E12/$E$15</f>
        <v>0.23305461953687062</v>
      </c>
      <c r="G12" s="76">
        <f>+'SP Previsionale'!G37+'SP Previsionale'!G40</f>
        <v>278579.88900000002</v>
      </c>
      <c r="H12" s="74">
        <f>+G12/$G$15</f>
        <v>0.29655898064080982</v>
      </c>
      <c r="I12" s="76">
        <f>+'SP Previsionale'!H37+'SP Previsionale'!H40</f>
        <v>266931.99999999994</v>
      </c>
      <c r="J12" s="74">
        <f>+I12/$I$15</f>
        <v>0.2783966380309193</v>
      </c>
      <c r="K12" s="76">
        <f>+'SP Previsionale'!I37+'SP Previsionale'!I40</f>
        <v>261689.99999999994</v>
      </c>
      <c r="L12" s="74">
        <f>+K12/$K$15</f>
        <v>0.26576425236209283</v>
      </c>
      <c r="M12" s="76">
        <f>+'SP Previsionale'!J37+'SP Previsionale'!J40</f>
        <v>261689.99999999994</v>
      </c>
      <c r="N12" s="74">
        <f>+M12/$M$15</f>
        <v>0.25762917170680577</v>
      </c>
      <c r="O12" s="76">
        <f>+'SP Previsionale'!K37+'SP Previsionale'!K40</f>
        <v>261689.99999999994</v>
      </c>
      <c r="P12" s="74">
        <f>+O12/$O$15</f>
        <v>0.24997733090857832</v>
      </c>
      <c r="Q12" s="76">
        <f>+'SP Previsionale'!L37+'SP Previsionale'!L40</f>
        <v>261689.99999999994</v>
      </c>
      <c r="R12" s="74">
        <f>+Q12/$Q$15</f>
        <v>0.24276691384474128</v>
      </c>
      <c r="S12" s="76">
        <f>+'SP Previsionale'!M37+'SP Previsionale'!M40</f>
        <v>261689.99999999994</v>
      </c>
      <c r="T12" s="74">
        <f>+S12/$S$15</f>
        <v>0.23596079375573561</v>
      </c>
      <c r="U12" s="76">
        <f>+'SP Previsionale'!N37+'SP Previsionale'!N40</f>
        <v>261689.99999999994</v>
      </c>
      <c r="V12" s="74">
        <f>+U12/$U$15</f>
        <v>0.22952589382570165</v>
      </c>
      <c r="W12" s="76">
        <f>+'SP Previsionale'!O37+'SP Previsionale'!O40</f>
        <v>261689.99999999994</v>
      </c>
      <c r="X12" s="74">
        <f t="shared" si="20"/>
        <v>0.22343264961141016</v>
      </c>
      <c r="Y12" s="76">
        <f>+'SP Previsionale'!P37+'SP Previsionale'!P40</f>
        <v>261689.99999999994</v>
      </c>
      <c r="Z12" s="74">
        <f t="shared" si="21"/>
        <v>0.21765455488254537</v>
      </c>
    </row>
    <row r="13" spans="1:26" s="67" customFormat="1" x14ac:dyDescent="0.25">
      <c r="A13" s="69"/>
      <c r="B13" s="75" t="s">
        <v>771</v>
      </c>
      <c r="C13" s="76">
        <f>+'SP Previsionale'!E47+'SP Previsionale'!E49</f>
        <v>208497</v>
      </c>
      <c r="D13" s="74">
        <f t="shared" ref="D13:D15" si="22">+C13/$C$15</f>
        <v>0.26124953422986008</v>
      </c>
      <c r="E13" s="76">
        <f>+'SP Previsionale'!F47+'SP Previsionale'!F49</f>
        <v>229997</v>
      </c>
      <c r="F13" s="74">
        <f t="shared" ref="F13:F15" si="23">+E13/$E$15</f>
        <v>0.28012487286899668</v>
      </c>
      <c r="G13" s="76">
        <f>+'SP Previsionale'!G47+'SP Previsionale'!G49</f>
        <v>251497</v>
      </c>
      <c r="H13" s="74">
        <f t="shared" ref="H13:H15" si="24">+G13/$G$15</f>
        <v>0.26772820615999937</v>
      </c>
      <c r="I13" s="76">
        <f>+'SP Previsionale'!H47+'SP Previsionale'!H49</f>
        <v>272997</v>
      </c>
      <c r="J13" s="74">
        <f t="shared" ref="J13:J15" si="25">+I13/$I$15</f>
        <v>0.28472212770490946</v>
      </c>
      <c r="K13" s="76">
        <f>+'SP Previsionale'!I47+'SP Previsionale'!I49</f>
        <v>294497</v>
      </c>
      <c r="L13" s="74">
        <f t="shared" ref="L13:L15" si="26">+K13/$K$15</f>
        <v>0.29908202463937966</v>
      </c>
      <c r="M13" s="76">
        <f>+'SP Previsionale'!J47+'SP Previsionale'!J49</f>
        <v>315997</v>
      </c>
      <c r="N13" s="74">
        <f t="shared" ref="N13:N15" si="27">+M13/$M$15</f>
        <v>0.31109345168648217</v>
      </c>
      <c r="O13" s="76">
        <f>+'SP Previsionale'!K47+'SP Previsionale'!K49</f>
        <v>337497</v>
      </c>
      <c r="P13" s="74">
        <f t="shared" ref="P13:P15" si="28">+O13/$O$15</f>
        <v>0.32239137624537612</v>
      </c>
      <c r="Q13" s="76">
        <f>+'SP Previsionale'!L47+'SP Previsionale'!L49</f>
        <v>358997</v>
      </c>
      <c r="R13" s="74">
        <f t="shared" ref="R13:R15" si="29">+Q13/$Q$15</f>
        <v>0.33303753972074057</v>
      </c>
      <c r="S13" s="76">
        <f>+'SP Previsionale'!M47+'SP Previsionale'!M49</f>
        <v>380497</v>
      </c>
      <c r="T13" s="74">
        <f t="shared" ref="T13:T15" si="30">+S13/$S$15</f>
        <v>0.34308675968388608</v>
      </c>
      <c r="U13" s="76">
        <f>+'SP Previsionale'!N47+'SP Previsionale'!N49</f>
        <v>401997</v>
      </c>
      <c r="V13" s="74">
        <f t="shared" ref="V13:V15" si="31">+U13/$U$15</f>
        <v>0.35258787397397917</v>
      </c>
      <c r="W13" s="76">
        <f>+'SP Previsionale'!O47+'SP Previsionale'!O49</f>
        <v>423497</v>
      </c>
      <c r="X13" s="74">
        <f t="shared" si="20"/>
        <v>0.36158453442043403</v>
      </c>
      <c r="Y13" s="76">
        <f>+'SP Previsionale'!P47+'SP Previsionale'!P49</f>
        <v>444997</v>
      </c>
      <c r="Z13" s="74">
        <f t="shared" si="21"/>
        <v>0.37011587740864405</v>
      </c>
    </row>
    <row r="14" spans="1:26" s="67" customFormat="1" x14ac:dyDescent="0.25">
      <c r="A14" s="69"/>
      <c r="B14" s="75" t="s">
        <v>772</v>
      </c>
      <c r="C14" s="76">
        <f>+'SP Previsionale'!E56</f>
        <v>390112.17499999999</v>
      </c>
      <c r="D14" s="74">
        <f t="shared" si="22"/>
        <v>0.48881578159948419</v>
      </c>
      <c r="E14" s="76">
        <f>+'SP Previsionale'!F56</f>
        <v>399704.8</v>
      </c>
      <c r="F14" s="74">
        <f t="shared" si="23"/>
        <v>0.4868205075941327</v>
      </c>
      <c r="G14" s="76">
        <f>+'SP Previsionale'!G56</f>
        <v>409297.42499999999</v>
      </c>
      <c r="H14" s="74">
        <f t="shared" si="24"/>
        <v>0.43571281319919075</v>
      </c>
      <c r="I14" s="76">
        <f>+'SP Previsionale'!H56</f>
        <v>418890.05</v>
      </c>
      <c r="J14" s="74">
        <f t="shared" si="25"/>
        <v>0.43688123426417108</v>
      </c>
      <c r="K14" s="76">
        <f>+'SP Previsionale'!I56</f>
        <v>428482.67499999999</v>
      </c>
      <c r="L14" s="74">
        <f t="shared" si="26"/>
        <v>0.43515372299852739</v>
      </c>
      <c r="M14" s="76">
        <f>+'SP Previsionale'!J56</f>
        <v>438075.3</v>
      </c>
      <c r="N14" s="74">
        <f t="shared" si="27"/>
        <v>0.431277376606712</v>
      </c>
      <c r="O14" s="76">
        <f>+'SP Previsionale'!K56</f>
        <v>447667.92499999999</v>
      </c>
      <c r="P14" s="74">
        <f t="shared" si="28"/>
        <v>0.42763129284604545</v>
      </c>
      <c r="Q14" s="76">
        <f>+'SP Previsionale'!L56</f>
        <v>457260.55</v>
      </c>
      <c r="R14" s="74">
        <f t="shared" si="29"/>
        <v>0.42419554643451807</v>
      </c>
      <c r="S14" s="76">
        <f>+'SP Previsionale'!M56</f>
        <v>466853.17499999999</v>
      </c>
      <c r="T14" s="74">
        <f t="shared" si="30"/>
        <v>0.42095244656037817</v>
      </c>
      <c r="U14" s="76">
        <f>+'SP Previsionale'!N56</f>
        <v>476445.8</v>
      </c>
      <c r="V14" s="74">
        <f t="shared" si="31"/>
        <v>0.41788623220031912</v>
      </c>
      <c r="W14" s="76">
        <f>+'SP Previsionale'!O56</f>
        <v>486038.42499999999</v>
      </c>
      <c r="X14" s="74">
        <f t="shared" si="20"/>
        <v>0.41498281596815573</v>
      </c>
      <c r="Y14" s="76">
        <f>+'SP Previsionale'!P56</f>
        <v>495631.05</v>
      </c>
      <c r="Z14" s="74">
        <f t="shared" si="21"/>
        <v>0.41222956770881047</v>
      </c>
    </row>
    <row r="15" spans="1:26" s="67" customFormat="1" x14ac:dyDescent="0.25">
      <c r="A15" s="69"/>
      <c r="B15" s="117" t="s">
        <v>610</v>
      </c>
      <c r="C15" s="77">
        <f>SUM(C12:C14)</f>
        <v>798076.06400000001</v>
      </c>
      <c r="D15" s="103">
        <f t="shared" si="22"/>
        <v>1</v>
      </c>
      <c r="E15" s="77">
        <f>SUM(E12:E14)</f>
        <v>821051.68900000001</v>
      </c>
      <c r="F15" s="103">
        <f t="shared" si="23"/>
        <v>1</v>
      </c>
      <c r="G15" s="77">
        <f>SUM(G12:G14)</f>
        <v>939374.31400000001</v>
      </c>
      <c r="H15" s="103">
        <f t="shared" si="24"/>
        <v>1</v>
      </c>
      <c r="I15" s="77">
        <f>SUM(I12:I14)</f>
        <v>958819.05</v>
      </c>
      <c r="J15" s="103">
        <f t="shared" si="25"/>
        <v>1</v>
      </c>
      <c r="K15" s="77">
        <f>SUM(K12:K14)</f>
        <v>984669.67500000005</v>
      </c>
      <c r="L15" s="103">
        <f t="shared" si="26"/>
        <v>1</v>
      </c>
      <c r="M15" s="77">
        <f>SUM(M12:M14)</f>
        <v>1015762.3</v>
      </c>
      <c r="N15" s="103">
        <f t="shared" si="27"/>
        <v>1</v>
      </c>
      <c r="O15" s="77">
        <f>SUM(O12:O14)</f>
        <v>1046854.925</v>
      </c>
      <c r="P15" s="103">
        <f t="shared" si="28"/>
        <v>1</v>
      </c>
      <c r="Q15" s="77">
        <f>SUM(Q12:Q14)</f>
        <v>1077947.55</v>
      </c>
      <c r="R15" s="103">
        <f t="shared" si="29"/>
        <v>1</v>
      </c>
      <c r="S15" s="77">
        <f>SUM(S12:S14)</f>
        <v>1109040.175</v>
      </c>
      <c r="T15" s="103">
        <f t="shared" si="30"/>
        <v>1</v>
      </c>
      <c r="U15" s="77">
        <f>SUM(U12:U14)</f>
        <v>1140132.8</v>
      </c>
      <c r="V15" s="103">
        <f t="shared" si="31"/>
        <v>1</v>
      </c>
      <c r="W15" s="77">
        <f>SUM(W12:W14)</f>
        <v>1171225.425</v>
      </c>
      <c r="X15" s="103">
        <f t="shared" si="20"/>
        <v>1</v>
      </c>
      <c r="Y15" s="77">
        <f>SUM(Y12:Y14)</f>
        <v>1202318.05</v>
      </c>
      <c r="Z15" s="103">
        <f t="shared" si="21"/>
        <v>1</v>
      </c>
    </row>
    <row r="16" spans="1:26" s="67" customFormat="1" x14ac:dyDescent="0.25">
      <c r="A16" s="69"/>
      <c r="B16" s="78"/>
      <c r="C16" s="79"/>
      <c r="D16" s="80"/>
      <c r="E16" s="79"/>
      <c r="F16" s="80"/>
      <c r="G16" s="79"/>
      <c r="H16" s="80"/>
      <c r="I16" s="79"/>
      <c r="J16" s="80"/>
      <c r="K16" s="79"/>
      <c r="L16" s="80"/>
      <c r="M16" s="79"/>
      <c r="N16" s="80"/>
      <c r="O16" s="79"/>
      <c r="P16" s="80"/>
      <c r="Q16" s="79"/>
      <c r="R16" s="80"/>
      <c r="S16" s="79"/>
      <c r="T16" s="80"/>
      <c r="U16" s="79"/>
      <c r="V16" s="80"/>
      <c r="W16" s="79"/>
      <c r="X16" s="80"/>
      <c r="Y16" s="79"/>
      <c r="Z16" s="80"/>
    </row>
    <row r="17" spans="1:26" s="67" customFormat="1" x14ac:dyDescent="0.25">
      <c r="A17" s="69"/>
      <c r="B17" s="81"/>
      <c r="C17" s="71"/>
      <c r="D17" s="82"/>
      <c r="E17" s="71"/>
      <c r="F17" s="82"/>
      <c r="G17" s="71"/>
      <c r="H17" s="82"/>
      <c r="I17" s="71"/>
      <c r="J17" s="82"/>
      <c r="K17" s="71"/>
      <c r="L17" s="82"/>
      <c r="M17" s="71"/>
      <c r="N17" s="82"/>
      <c r="O17" s="71"/>
      <c r="P17" s="82"/>
      <c r="Q17" s="71"/>
      <c r="R17" s="82"/>
      <c r="S17" s="71"/>
      <c r="T17" s="82"/>
      <c r="U17" s="71"/>
      <c r="V17" s="82"/>
      <c r="W17" s="71"/>
      <c r="X17" s="82"/>
      <c r="Y17" s="71"/>
      <c r="Z17" s="82"/>
    </row>
    <row r="18" spans="1:26" s="67" customFormat="1" ht="14.4" x14ac:dyDescent="0.3">
      <c r="A18" s="69"/>
      <c r="B18" s="117" t="s">
        <v>773</v>
      </c>
      <c r="C18" s="223">
        <f>+C5</f>
        <v>43159</v>
      </c>
      <c r="D18" s="225"/>
      <c r="E18" s="223">
        <f t="shared" ref="E18" si="32">+E5</f>
        <v>43190</v>
      </c>
      <c r="F18" s="225"/>
      <c r="G18" s="223">
        <f t="shared" ref="G18" si="33">+G5</f>
        <v>43220</v>
      </c>
      <c r="H18" s="225"/>
      <c r="I18" s="223">
        <f t="shared" ref="I18" si="34">+I5</f>
        <v>43251</v>
      </c>
      <c r="J18" s="225"/>
      <c r="K18" s="223">
        <f t="shared" ref="K18" si="35">+K5</f>
        <v>43281</v>
      </c>
      <c r="L18" s="225"/>
      <c r="M18" s="223">
        <f t="shared" ref="M18" si="36">+M5</f>
        <v>43312</v>
      </c>
      <c r="N18" s="225"/>
      <c r="O18" s="223">
        <f t="shared" ref="O18" si="37">+O5</f>
        <v>43343</v>
      </c>
      <c r="P18" s="225"/>
      <c r="Q18" s="223">
        <f t="shared" ref="Q18" si="38">+Q5</f>
        <v>43373</v>
      </c>
      <c r="R18" s="225"/>
      <c r="S18" s="223">
        <f t="shared" ref="S18" si="39">+S5</f>
        <v>43404</v>
      </c>
      <c r="T18" s="225"/>
      <c r="U18" s="223">
        <f t="shared" ref="U18:W18" si="40">+U5</f>
        <v>43434</v>
      </c>
      <c r="V18" s="225"/>
      <c r="W18" s="223">
        <f t="shared" si="40"/>
        <v>43465</v>
      </c>
      <c r="X18" s="225"/>
      <c r="Y18" s="223">
        <f t="shared" ref="Y18" si="41">+Y5</f>
        <v>43496</v>
      </c>
      <c r="Z18" s="225"/>
    </row>
    <row r="19" spans="1:26" s="67" customFormat="1" x14ac:dyDescent="0.25">
      <c r="A19" s="69"/>
      <c r="B19" s="84" t="s">
        <v>672</v>
      </c>
      <c r="C19" s="220">
        <f>+'CE Previsionale'!C5+'CE Previsionale'!C6</f>
        <v>130000</v>
      </c>
      <c r="D19" s="221"/>
      <c r="E19" s="220">
        <f>+'CE Previsionale'!D5+'CE Previsionale'!D6</f>
        <v>130000</v>
      </c>
      <c r="F19" s="221"/>
      <c r="G19" s="220">
        <f>+'CE Previsionale'!F5+'CE Previsionale'!F6</f>
        <v>130000</v>
      </c>
      <c r="H19" s="221"/>
      <c r="I19" s="220">
        <f>+'CE Previsionale'!G5+'CE Previsionale'!G6</f>
        <v>130000</v>
      </c>
      <c r="J19" s="221"/>
      <c r="K19" s="220">
        <f>+'CE Previsionale'!H5+'CE Previsionale'!H6</f>
        <v>130000</v>
      </c>
      <c r="L19" s="221"/>
      <c r="M19" s="220">
        <f>+'CE Previsionale'!I5+'CE Previsionale'!I6</f>
        <v>130000</v>
      </c>
      <c r="N19" s="221"/>
      <c r="O19" s="220">
        <f>+'CE Previsionale'!J5+'CE Previsionale'!J6</f>
        <v>130000</v>
      </c>
      <c r="P19" s="221"/>
      <c r="Q19" s="220">
        <f>+'CE Previsionale'!K5+'CE Previsionale'!K6</f>
        <v>130000</v>
      </c>
      <c r="R19" s="221"/>
      <c r="S19" s="220">
        <f>+'CE Previsionale'!L5+'CE Previsionale'!L6</f>
        <v>130000</v>
      </c>
      <c r="T19" s="221"/>
      <c r="U19" s="220">
        <f>+'CE Previsionale'!M5+'CE Previsionale'!M6</f>
        <v>130000</v>
      </c>
      <c r="V19" s="221"/>
      <c r="W19" s="220">
        <f>+'CE Previsionale'!N5+'CE Previsionale'!N6</f>
        <v>130000</v>
      </c>
      <c r="X19" s="221"/>
      <c r="Y19" s="220">
        <f>+'CE Previsionale'!O5+'CE Previsionale'!O6</f>
        <v>0</v>
      </c>
      <c r="Z19" s="221"/>
    </row>
    <row r="20" spans="1:26" s="67" customFormat="1" x14ac:dyDescent="0.25">
      <c r="A20" s="69"/>
      <c r="B20" s="84" t="s">
        <v>774</v>
      </c>
      <c r="C20" s="220">
        <f>+'CE Previsionale'!C23+'CE Previsionale'!C24</f>
        <v>1407.375</v>
      </c>
      <c r="D20" s="221"/>
      <c r="E20" s="220">
        <f>+'CE Previsionale'!D23+'CE Previsionale'!D24</f>
        <v>1407.375</v>
      </c>
      <c r="F20" s="221"/>
      <c r="G20" s="220">
        <f>+'CE Previsionale'!F23+'CE Previsionale'!F24</f>
        <v>1407.375</v>
      </c>
      <c r="H20" s="221"/>
      <c r="I20" s="220">
        <f>+'CE Previsionale'!G23+'CE Previsionale'!G24</f>
        <v>1407.375</v>
      </c>
      <c r="J20" s="221"/>
      <c r="K20" s="220">
        <f>+'CE Previsionale'!H23+'CE Previsionale'!H24</f>
        <v>1407.375</v>
      </c>
      <c r="L20" s="221"/>
      <c r="M20" s="220">
        <f>+'CE Previsionale'!I23+'CE Previsionale'!I24</f>
        <v>1407.375</v>
      </c>
      <c r="N20" s="221"/>
      <c r="O20" s="220">
        <f>+'CE Previsionale'!J23+'CE Previsionale'!J24</f>
        <v>1407.375</v>
      </c>
      <c r="P20" s="221"/>
      <c r="Q20" s="220">
        <f>+'CE Previsionale'!K23+'CE Previsionale'!K24</f>
        <v>1407.375</v>
      </c>
      <c r="R20" s="221"/>
      <c r="S20" s="220">
        <f>+'CE Previsionale'!L23+'CE Previsionale'!L24</f>
        <v>1407.375</v>
      </c>
      <c r="T20" s="221"/>
      <c r="U20" s="220">
        <f>+'CE Previsionale'!M23+'CE Previsionale'!M24</f>
        <v>1407.375</v>
      </c>
      <c r="V20" s="221"/>
      <c r="W20" s="220">
        <f>+'CE Previsionale'!N23+'CE Previsionale'!N24</f>
        <v>1407.375</v>
      </c>
      <c r="X20" s="221"/>
      <c r="Y20" s="220">
        <f>+'CE Previsionale'!O23+'CE Previsionale'!O24</f>
        <v>0</v>
      </c>
      <c r="Z20" s="221"/>
    </row>
    <row r="21" spans="1:26" s="67" customFormat="1" x14ac:dyDescent="0.25">
      <c r="A21" s="69"/>
      <c r="B21" s="84" t="s">
        <v>775</v>
      </c>
      <c r="C21" s="220">
        <f>+'CE Previsionale'!C30+'CE Previsionale'!C23+'CE Previsionale'!C24</f>
        <v>18811.549999999988</v>
      </c>
      <c r="D21" s="221"/>
      <c r="E21" s="220">
        <f>+'CE Previsionale'!D30+'CE Previsionale'!D23+'CE Previsionale'!D24</f>
        <v>11000</v>
      </c>
      <c r="F21" s="221"/>
      <c r="G21" s="220">
        <f>+'CE Previsionale'!F30+'CE Previsionale'!F23+'CE Previsionale'!F24</f>
        <v>11000</v>
      </c>
      <c r="H21" s="221"/>
      <c r="I21" s="220">
        <f>+'CE Previsionale'!G30+'CE Previsionale'!G23+'CE Previsionale'!G24</f>
        <v>11000</v>
      </c>
      <c r="J21" s="221"/>
      <c r="K21" s="220">
        <f>+'CE Previsionale'!H30+'CE Previsionale'!H23+'CE Previsionale'!H24</f>
        <v>11000</v>
      </c>
      <c r="L21" s="221"/>
      <c r="M21" s="220">
        <f>+'CE Previsionale'!I30+'CE Previsionale'!I23+'CE Previsionale'!I24</f>
        <v>11000</v>
      </c>
      <c r="N21" s="221"/>
      <c r="O21" s="220">
        <f>+'CE Previsionale'!J30+'CE Previsionale'!J23+'CE Previsionale'!J24</f>
        <v>11000</v>
      </c>
      <c r="P21" s="221"/>
      <c r="Q21" s="220">
        <f>+'CE Previsionale'!K30+'CE Previsionale'!K23+'CE Previsionale'!K24</f>
        <v>11000</v>
      </c>
      <c r="R21" s="221"/>
      <c r="S21" s="220">
        <f>+'CE Previsionale'!L30+'CE Previsionale'!L23+'CE Previsionale'!L24</f>
        <v>11000</v>
      </c>
      <c r="T21" s="221"/>
      <c r="U21" s="220">
        <f>+'CE Previsionale'!M30+'CE Previsionale'!M23+'CE Previsionale'!M24</f>
        <v>11000</v>
      </c>
      <c r="V21" s="221"/>
      <c r="W21" s="220">
        <f>+'CE Previsionale'!N30+'CE Previsionale'!N23+'CE Previsionale'!N24</f>
        <v>11000</v>
      </c>
      <c r="X21" s="221"/>
      <c r="Y21" s="220">
        <f>+'CE Previsionale'!O30+'CE Previsionale'!O23+'CE Previsionale'!O24</f>
        <v>0</v>
      </c>
      <c r="Z21" s="221"/>
    </row>
    <row r="22" spans="1:26" s="67" customFormat="1" x14ac:dyDescent="0.25">
      <c r="A22" s="69"/>
      <c r="B22" s="84" t="s">
        <v>776</v>
      </c>
      <c r="C22" s="220">
        <f>-'CE Previsionale'!C37</f>
        <v>0</v>
      </c>
      <c r="D22" s="221"/>
      <c r="E22" s="220">
        <f>-'CE Previsionale'!D37</f>
        <v>0</v>
      </c>
      <c r="F22" s="221"/>
      <c r="G22" s="220">
        <f>-'CE Previsionale'!F37</f>
        <v>0</v>
      </c>
      <c r="H22" s="221"/>
      <c r="I22" s="220">
        <f>-'CE Previsionale'!G37</f>
        <v>0</v>
      </c>
      <c r="J22" s="221"/>
      <c r="K22" s="220">
        <f>-'CE Previsionale'!H37</f>
        <v>0</v>
      </c>
      <c r="L22" s="221"/>
      <c r="M22" s="220">
        <f>-'CE Previsionale'!I37</f>
        <v>0</v>
      </c>
      <c r="N22" s="221"/>
      <c r="O22" s="220">
        <f>-'CE Previsionale'!J37</f>
        <v>0</v>
      </c>
      <c r="P22" s="221"/>
      <c r="Q22" s="220">
        <f>-'CE Previsionale'!K37</f>
        <v>0</v>
      </c>
      <c r="R22" s="221"/>
      <c r="S22" s="220">
        <f>-'CE Previsionale'!L37</f>
        <v>0</v>
      </c>
      <c r="T22" s="221"/>
      <c r="U22" s="220">
        <f>-'CE Previsionale'!M37</f>
        <v>0</v>
      </c>
      <c r="V22" s="221"/>
      <c r="W22" s="220">
        <f>-'CE Previsionale'!N37</f>
        <v>0</v>
      </c>
      <c r="X22" s="221"/>
      <c r="Y22" s="220">
        <f>-'CE Previsionale'!O37</f>
        <v>0</v>
      </c>
      <c r="Z22" s="221"/>
    </row>
    <row r="23" spans="1:26" s="67" customFormat="1" x14ac:dyDescent="0.25">
      <c r="A23" s="69"/>
      <c r="B23" s="84" t="s">
        <v>777</v>
      </c>
      <c r="C23" s="220">
        <f>+'CE Previsionale'!C44</f>
        <v>17404.174999999988</v>
      </c>
      <c r="D23" s="221"/>
      <c r="E23" s="220">
        <f>+'CE Previsionale'!D44</f>
        <v>9592.625</v>
      </c>
      <c r="F23" s="221"/>
      <c r="G23" s="220">
        <f>+'CE Previsionale'!F44</f>
        <v>9592.625</v>
      </c>
      <c r="H23" s="221"/>
      <c r="I23" s="220">
        <f>+'CE Previsionale'!G44</f>
        <v>9592.625</v>
      </c>
      <c r="J23" s="221"/>
      <c r="K23" s="220">
        <f>+'CE Previsionale'!H44</f>
        <v>9592.625</v>
      </c>
      <c r="L23" s="221"/>
      <c r="M23" s="220">
        <f>+'CE Previsionale'!I44</f>
        <v>9592.625</v>
      </c>
      <c r="N23" s="221"/>
      <c r="O23" s="220">
        <f>+'CE Previsionale'!J44</f>
        <v>9592.625</v>
      </c>
      <c r="P23" s="221"/>
      <c r="Q23" s="220">
        <f>+'CE Previsionale'!K44</f>
        <v>9592.625</v>
      </c>
      <c r="R23" s="221"/>
      <c r="S23" s="220">
        <f>+'CE Previsionale'!L44</f>
        <v>9592.625</v>
      </c>
      <c r="T23" s="221"/>
      <c r="U23" s="220">
        <f>+'CE Previsionale'!M44</f>
        <v>9592.625</v>
      </c>
      <c r="V23" s="221"/>
      <c r="W23" s="220">
        <f>+'CE Previsionale'!N44</f>
        <v>9592.625</v>
      </c>
      <c r="X23" s="221"/>
      <c r="Y23" s="220">
        <f>+'CE Previsionale'!O44</f>
        <v>0</v>
      </c>
      <c r="Z23" s="221"/>
    </row>
    <row r="24" spans="1:26" s="67" customFormat="1" x14ac:dyDescent="0.25">
      <c r="A24" s="69"/>
      <c r="B24" s="85"/>
      <c r="C24" s="83"/>
      <c r="D24" s="86"/>
      <c r="E24" s="83"/>
      <c r="F24" s="86"/>
      <c r="G24" s="83"/>
      <c r="H24" s="86"/>
      <c r="I24" s="83"/>
      <c r="J24" s="86"/>
      <c r="K24" s="83"/>
      <c r="L24" s="86"/>
      <c r="M24" s="83"/>
      <c r="N24" s="86"/>
      <c r="O24" s="83"/>
      <c r="P24" s="86"/>
      <c r="Q24" s="83"/>
      <c r="R24" s="86"/>
      <c r="S24" s="83"/>
      <c r="T24" s="86"/>
      <c r="U24" s="83"/>
      <c r="V24" s="86"/>
      <c r="W24" s="83"/>
      <c r="X24" s="86"/>
      <c r="Y24" s="83"/>
      <c r="Z24" s="86"/>
    </row>
    <row r="25" spans="1:26" s="67" customFormat="1" x14ac:dyDescent="0.25">
      <c r="A25" s="69"/>
      <c r="B25" s="117" t="s">
        <v>778</v>
      </c>
      <c r="C25" s="72" t="s">
        <v>779</v>
      </c>
      <c r="D25" s="74" t="s">
        <v>780</v>
      </c>
      <c r="E25" s="72" t="s">
        <v>779</v>
      </c>
      <c r="F25" s="74" t="s">
        <v>780</v>
      </c>
      <c r="G25" s="72" t="s">
        <v>779</v>
      </c>
      <c r="H25" s="74" t="s">
        <v>780</v>
      </c>
      <c r="I25" s="72" t="s">
        <v>779</v>
      </c>
      <c r="J25" s="74" t="s">
        <v>780</v>
      </c>
      <c r="K25" s="72" t="s">
        <v>779</v>
      </c>
      <c r="L25" s="74" t="s">
        <v>780</v>
      </c>
      <c r="M25" s="72" t="s">
        <v>779</v>
      </c>
      <c r="N25" s="74" t="s">
        <v>780</v>
      </c>
      <c r="O25" s="72" t="s">
        <v>779</v>
      </c>
      <c r="P25" s="74" t="s">
        <v>780</v>
      </c>
      <c r="Q25" s="72" t="s">
        <v>779</v>
      </c>
      <c r="R25" s="74" t="s">
        <v>780</v>
      </c>
      <c r="S25" s="72" t="s">
        <v>779</v>
      </c>
      <c r="T25" s="74" t="s">
        <v>780</v>
      </c>
      <c r="U25" s="72" t="s">
        <v>779</v>
      </c>
      <c r="V25" s="74" t="s">
        <v>780</v>
      </c>
      <c r="W25" s="72" t="s">
        <v>779</v>
      </c>
      <c r="X25" s="74" t="s">
        <v>780</v>
      </c>
      <c r="Y25" s="72" t="s">
        <v>779</v>
      </c>
      <c r="Z25" s="74" t="s">
        <v>780</v>
      </c>
    </row>
    <row r="26" spans="1:26" s="67" customFormat="1" x14ac:dyDescent="0.25">
      <c r="A26" s="69"/>
      <c r="B26" s="87" t="s">
        <v>781</v>
      </c>
      <c r="C26" s="88">
        <f>+(C14+C13)/C10</f>
        <v>2.8808285984990905</v>
      </c>
      <c r="D26" s="89">
        <f>IF(C26&gt;0,IF((C26&gt;=1),3,IF((C26&lt;=0.75),1,2)),"0")</f>
        <v>3</v>
      </c>
      <c r="E26" s="88">
        <f>+(E14+E13)/E10</f>
        <v>3.0511284224858368</v>
      </c>
      <c r="F26" s="89">
        <f>IF(E26&gt;0,IF((E26&gt;=1),3,IF((E26&lt;=0.75),1,2)),"0")</f>
        <v>3</v>
      </c>
      <c r="G26" s="88">
        <f>+(G14+G13)/G10</f>
        <v>3.2237668213393409</v>
      </c>
      <c r="H26" s="89">
        <f>IF(G26&gt;0,IF((G26&gt;=1),3,IF((G26&lt;=0.75),1,2)),"0")</f>
        <v>3</v>
      </c>
      <c r="I26" s="88">
        <f>+(I14+I13)/I10</f>
        <v>3.3987922984155214</v>
      </c>
      <c r="J26" s="89">
        <f>IF(I26&gt;0,IF((I26&gt;=1),3,IF((I26&lt;=0.75),1,2)),"0")</f>
        <v>3</v>
      </c>
      <c r="K26" s="88">
        <f>+(K14+K13)/K10</f>
        <v>3.5762547077238516</v>
      </c>
      <c r="L26" s="89">
        <f>IF(K26&gt;0,IF((K26&gt;=1),3,IF((K26&lt;=0.75),1,2)),"0")</f>
        <v>3</v>
      </c>
      <c r="M26" s="88">
        <f>+(M14+M13)/M10</f>
        <v>3.7562053012708359</v>
      </c>
      <c r="N26" s="89">
        <f>IF(M26&gt;0,IF((M26&gt;=1),3,IF((M26&lt;=0.75),1,2)),"0")</f>
        <v>3</v>
      </c>
      <c r="O26" s="88">
        <f>+(O14+O13)/O10</f>
        <v>3.9386967784089379</v>
      </c>
      <c r="P26" s="89">
        <f>IF(O26&gt;0,IF((O26&gt;=1),3,IF((O26&lt;=0.75),1,2)),"0")</f>
        <v>3</v>
      </c>
      <c r="Q26" s="88">
        <f>+(Q14+Q13)/Q10</f>
        <v>4.1237833372907815</v>
      </c>
      <c r="R26" s="89">
        <f>IF(Q26&gt;0,IF((Q26&gt;=1),3,IF((Q26&lt;=0.75),1,2)),"0")</f>
        <v>3</v>
      </c>
      <c r="S26" s="88">
        <f>+(S14+S13)/S10</f>
        <v>4.3115207285341484</v>
      </c>
      <c r="T26" s="89">
        <f>IF(S26&gt;0,IF((S26&gt;=1),3,IF((S26&lt;=0.75),1,2)),"0")</f>
        <v>3</v>
      </c>
      <c r="U26" s="88">
        <f>+(U14+U13)/U10</f>
        <v>4.5019663112093964</v>
      </c>
      <c r="V26" s="89">
        <f>IF(U26&gt;0,IF((U26&gt;=1),3,IF((U26&lt;=0.75),1,2)),"0")</f>
        <v>3</v>
      </c>
      <c r="W26" s="88">
        <f>+(W14+W13)/W10</f>
        <v>4.6951791112674108</v>
      </c>
      <c r="X26" s="89">
        <f>IF(W26&gt;0,IF((W26&gt;=1),3,IF((W26&lt;=0.75),1,2)),"0")</f>
        <v>3</v>
      </c>
      <c r="Y26" s="88">
        <f>+(Y14+Y13)/Y10</f>
        <v>4.8912198825331048</v>
      </c>
      <c r="Z26" s="89">
        <f>IF(Y26&gt;0,IF((Y26&gt;=1),3,IF((Y26&lt;=0.75),1,2)),"0")</f>
        <v>3</v>
      </c>
    </row>
    <row r="27" spans="1:26" s="67" customFormat="1" x14ac:dyDescent="0.25">
      <c r="A27" s="69"/>
      <c r="B27" s="87" t="s">
        <v>782</v>
      </c>
      <c r="C27" s="90">
        <f>+C14/C15</f>
        <v>0.48881578159948419</v>
      </c>
      <c r="D27" s="89">
        <f>IF(C27&gt;0,IF((C27&gt;=10%),3,IF((C27&lt;=6%),1,2)),"0")</f>
        <v>3</v>
      </c>
      <c r="E27" s="90">
        <f>+E14/E15</f>
        <v>0.4868205075941327</v>
      </c>
      <c r="F27" s="89">
        <f>IF(E27&gt;0,IF((E27&gt;=10%),3,IF((E27&lt;=6%),1,2)),"0")</f>
        <v>3</v>
      </c>
      <c r="G27" s="90">
        <f>+G14/G15</f>
        <v>0.43571281319919075</v>
      </c>
      <c r="H27" s="89">
        <f>IF(G27&gt;0,IF((G27&gt;=10%),3,IF((G27&lt;=6%),1,2)),"0")</f>
        <v>3</v>
      </c>
      <c r="I27" s="90">
        <f>+I14/I15</f>
        <v>0.43688123426417108</v>
      </c>
      <c r="J27" s="89">
        <f>IF(I27&gt;0,IF((I27&gt;=10%),3,IF((I27&lt;=6%),1,2)),"0")</f>
        <v>3</v>
      </c>
      <c r="K27" s="90">
        <f>+K14/K15</f>
        <v>0.43515372299852739</v>
      </c>
      <c r="L27" s="89">
        <f>IF(K27&gt;0,IF((K27&gt;=10%),3,IF((K27&lt;=6%),1,2)),"0")</f>
        <v>3</v>
      </c>
      <c r="M27" s="90">
        <f>+M14/M15</f>
        <v>0.431277376606712</v>
      </c>
      <c r="N27" s="89">
        <f>IF(M27&gt;0,IF((M27&gt;=10%),3,IF((M27&lt;=6%),1,2)),"0")</f>
        <v>3</v>
      </c>
      <c r="O27" s="90">
        <f>+O14/O15</f>
        <v>0.42763129284604545</v>
      </c>
      <c r="P27" s="89">
        <f>IF(O27&gt;0,IF((O27&gt;=10%),3,IF((O27&lt;=6%),1,2)),"0")</f>
        <v>3</v>
      </c>
      <c r="Q27" s="90">
        <f>+Q14/Q15</f>
        <v>0.42419554643451807</v>
      </c>
      <c r="R27" s="89">
        <f>IF(Q27&gt;0,IF((Q27&gt;=10%),3,IF((Q27&lt;=6%),1,2)),"0")</f>
        <v>3</v>
      </c>
      <c r="S27" s="90">
        <f>+S14/S15</f>
        <v>0.42095244656037817</v>
      </c>
      <c r="T27" s="89">
        <f>IF(S27&gt;0,IF((S27&gt;=10%),3,IF((S27&lt;=6%),1,2)),"0")</f>
        <v>3</v>
      </c>
      <c r="U27" s="90">
        <f>+U14/U15</f>
        <v>0.41788623220031912</v>
      </c>
      <c r="V27" s="89">
        <f>IF(U27&gt;0,IF((U27&gt;=10%),3,IF((U27&lt;=6%),1,2)),"0")</f>
        <v>3</v>
      </c>
      <c r="W27" s="90">
        <f>+W14/W15</f>
        <v>0.41498281596815573</v>
      </c>
      <c r="X27" s="89">
        <f>IF(W27&gt;0,IF((W27&gt;=10%),3,IF((W27&lt;=6%),1,2)),"0")</f>
        <v>3</v>
      </c>
      <c r="Y27" s="90">
        <f>+Y14/Y15</f>
        <v>0.41222956770881047</v>
      </c>
      <c r="Z27" s="89">
        <f>IF(Y27&gt;0,IF((Y27&gt;=10%),3,IF((Y27&lt;=6%),1,2)),"0")</f>
        <v>3</v>
      </c>
    </row>
    <row r="28" spans="1:26" s="67" customFormat="1" x14ac:dyDescent="0.25">
      <c r="A28" s="69"/>
      <c r="B28" s="87" t="s">
        <v>783</v>
      </c>
      <c r="C28" s="88" t="str">
        <f>+IF(C22=0,"na",C21/C22)</f>
        <v>na</v>
      </c>
      <c r="D28" s="91">
        <f>IF(C28="","",IF(C28&lt;1,0,IF(C28&lt;1.5,1,IF(C28&gt;=2,3,2))))</f>
        <v>3</v>
      </c>
      <c r="E28" s="88" t="str">
        <f>+IF(E22=0,"na",E21/E22)</f>
        <v>na</v>
      </c>
      <c r="F28" s="91">
        <f>IF(E28="","",IF(E28&lt;1,0,IF(E28&lt;1.5,1,IF(E28&gt;=2,3,2))))</f>
        <v>3</v>
      </c>
      <c r="G28" s="88" t="str">
        <f>+IF(G22=0,"na",G21/G22)</f>
        <v>na</v>
      </c>
      <c r="H28" s="91">
        <f>IF(G28="","",IF(G28&lt;1,0,IF(G28&lt;1.5,1,IF(G28&gt;=2,3,2))))</f>
        <v>3</v>
      </c>
      <c r="I28" s="88" t="str">
        <f>+IF(I22=0,"na",I21/I22)</f>
        <v>na</v>
      </c>
      <c r="J28" s="91">
        <f>IF(I28="","",IF(I28&lt;1,0,IF(I28&lt;1.5,1,IF(I28&gt;=2,3,2))))</f>
        <v>3</v>
      </c>
      <c r="K28" s="88" t="str">
        <f>+IF(K22=0,"na",K21/K22)</f>
        <v>na</v>
      </c>
      <c r="L28" s="91">
        <f>IF(K28="","",IF(K28&lt;1,0,IF(K28&lt;1.5,1,IF(K28&gt;=2,3,2))))</f>
        <v>3</v>
      </c>
      <c r="M28" s="88" t="str">
        <f>+IF(M22=0,"na",M21/M22)</f>
        <v>na</v>
      </c>
      <c r="N28" s="91">
        <f>IF(M28="","",IF(M28&lt;1,0,IF(M28&lt;1.5,1,IF(M28&gt;=2,3,2))))</f>
        <v>3</v>
      </c>
      <c r="O28" s="88" t="str">
        <f>+IF(O22=0,"na",O21/O22)</f>
        <v>na</v>
      </c>
      <c r="P28" s="91">
        <f>IF(O28="","",IF(O28&lt;1,0,IF(O28&lt;1.5,1,IF(O28&gt;=2,3,2))))</f>
        <v>3</v>
      </c>
      <c r="Q28" s="88" t="str">
        <f>+IF(Q22=0,"na",Q21/Q22)</f>
        <v>na</v>
      </c>
      <c r="R28" s="91">
        <f>IF(Q28="","",IF(Q28&lt;1,0,IF(Q28&lt;1.5,1,IF(Q28&gt;=2,3,2))))</f>
        <v>3</v>
      </c>
      <c r="S28" s="88" t="str">
        <f>+IF(S22=0,"na",S21/S22)</f>
        <v>na</v>
      </c>
      <c r="T28" s="91">
        <f>IF(S28="","",IF(S28&lt;1,0,IF(S28&lt;1.5,1,IF(S28&gt;=2,3,2))))</f>
        <v>3</v>
      </c>
      <c r="U28" s="88" t="str">
        <f>+IF(U22=0,"na",U21/U22)</f>
        <v>na</v>
      </c>
      <c r="V28" s="91">
        <f>IF(U28="","",IF(U28&lt;1,0,IF(U28&lt;1.5,1,IF(U28&gt;=2,3,2))))</f>
        <v>3</v>
      </c>
      <c r="W28" s="88" t="str">
        <f>+IF(W22=0,"na",W21/W22)</f>
        <v>na</v>
      </c>
      <c r="X28" s="91">
        <f>IF(W28="","",IF(W28&lt;1,0,IF(W28&lt;1.5,1,IF(W28&gt;=2,3,2))))</f>
        <v>3</v>
      </c>
      <c r="Y28" s="88" t="str">
        <f>+IF(Y22=0,"na",Y21/Y22)</f>
        <v>na</v>
      </c>
      <c r="Z28" s="91">
        <f>IF(Y28="","",IF(Y28&lt;1,0,IF(Y28&lt;1.5,1,IF(Y28&gt;=2,3,2))))</f>
        <v>3</v>
      </c>
    </row>
    <row r="29" spans="1:26" s="67" customFormat="1" x14ac:dyDescent="0.25">
      <c r="A29" s="69"/>
      <c r="B29" s="87" t="s">
        <v>784</v>
      </c>
      <c r="C29" s="92">
        <f>+C21/C19</f>
        <v>0.14470423076923067</v>
      </c>
      <c r="D29" s="93">
        <f>IF(C29="","",IF(C29&gt;=0.08,3,IF(C29&lt;0.03,0,IF(C29&gt;=0.05,2,1))))</f>
        <v>3</v>
      </c>
      <c r="E29" s="92">
        <f>+E21/E19</f>
        <v>8.461538461538462E-2</v>
      </c>
      <c r="F29" s="93">
        <f>IF(E29="","",IF(E29&gt;=0.08,3,IF(E29&lt;0.03,0,IF(E29&gt;=0.05,2,1))))</f>
        <v>3</v>
      </c>
      <c r="G29" s="92">
        <f>+G21/G19</f>
        <v>8.461538461538462E-2</v>
      </c>
      <c r="H29" s="93">
        <f>IF(G29="","",IF(G29&gt;=0.08,3,IF(G29&lt;0.03,0,IF(G29&gt;=0.05,2,1))))</f>
        <v>3</v>
      </c>
      <c r="I29" s="92">
        <f>+I21/I19</f>
        <v>8.461538461538462E-2</v>
      </c>
      <c r="J29" s="93">
        <f>IF(I29="","",IF(I29&gt;=0.08,3,IF(I29&lt;0.03,0,IF(I29&gt;=0.05,2,1))))</f>
        <v>3</v>
      </c>
      <c r="K29" s="92">
        <f>+K21/K19</f>
        <v>8.461538461538462E-2</v>
      </c>
      <c r="L29" s="93">
        <f>IF(K29="","",IF(K29&gt;=0.08,3,IF(K29&lt;0.03,0,IF(K29&gt;=0.05,2,1))))</f>
        <v>3</v>
      </c>
      <c r="M29" s="92">
        <f>+M21/M19</f>
        <v>8.461538461538462E-2</v>
      </c>
      <c r="N29" s="93">
        <f>IF(M29="","",IF(M29&gt;=0.08,3,IF(M29&lt;0.03,0,IF(M29&gt;=0.05,2,1))))</f>
        <v>3</v>
      </c>
      <c r="O29" s="92">
        <f>+O21/O19</f>
        <v>8.461538461538462E-2</v>
      </c>
      <c r="P29" s="93">
        <f>IF(O29="","",IF(O29&gt;=0.08,3,IF(O29&lt;0.03,0,IF(O29&gt;=0.05,2,1))))</f>
        <v>3</v>
      </c>
      <c r="Q29" s="92">
        <f>+Q21/Q19</f>
        <v>8.461538461538462E-2</v>
      </c>
      <c r="R29" s="93">
        <f>IF(Q29="","",IF(Q29&gt;=0.08,3,IF(Q29&lt;0.03,0,IF(Q29&gt;=0.05,2,1))))</f>
        <v>3</v>
      </c>
      <c r="S29" s="92">
        <f>+S21/S19</f>
        <v>8.461538461538462E-2</v>
      </c>
      <c r="T29" s="93">
        <f>IF(S29="","",IF(S29&gt;=0.08,3,IF(S29&lt;0.03,0,IF(S29&gt;=0.05,2,1))))</f>
        <v>3</v>
      </c>
      <c r="U29" s="92">
        <f>+U21/U19</f>
        <v>8.461538461538462E-2</v>
      </c>
      <c r="V29" s="93">
        <f>IF(U29="","",IF(U29&gt;=0.08,3,IF(U29&lt;0.03,0,IF(U29&gt;=0.05,2,1))))</f>
        <v>3</v>
      </c>
      <c r="W29" s="92">
        <f>+W21/W19</f>
        <v>8.461538461538462E-2</v>
      </c>
      <c r="X29" s="93">
        <f>IF(W29="","",IF(W29&gt;=0.08,3,IF(W29&lt;0.03,0,IF(W29&gt;=0.05,2,1))))</f>
        <v>3</v>
      </c>
      <c r="Y29" s="92" t="e">
        <f>+Y21/Y19</f>
        <v>#DIV/0!</v>
      </c>
      <c r="Z29" s="93" t="e">
        <f>IF(Y29="","",IF(Y29&gt;=0.08,3,IF(Y29&lt;0.03,0,IF(Y29&gt;=0.05,2,1))))</f>
        <v>#DIV/0!</v>
      </c>
    </row>
    <row r="30" spans="1:26" s="67" customFormat="1" x14ac:dyDescent="0.25">
      <c r="A30" s="69"/>
      <c r="B30" s="94" t="s">
        <v>785</v>
      </c>
      <c r="C30" s="97"/>
      <c r="D30" s="95">
        <f>SUM(D26:D29)</f>
        <v>12</v>
      </c>
      <c r="E30" s="97"/>
      <c r="F30" s="95">
        <f>SUM(F26:F29)</f>
        <v>12</v>
      </c>
      <c r="G30" s="97"/>
      <c r="H30" s="95">
        <f>SUM(H26:H29)</f>
        <v>12</v>
      </c>
      <c r="I30" s="97"/>
      <c r="J30" s="95">
        <f>SUM(J26:J29)</f>
        <v>12</v>
      </c>
      <c r="K30" s="97"/>
      <c r="L30" s="95">
        <f>SUM(L26:L29)</f>
        <v>12</v>
      </c>
      <c r="M30" s="97"/>
      <c r="N30" s="95">
        <f>SUM(N26:N29)</f>
        <v>12</v>
      </c>
      <c r="O30" s="97"/>
      <c r="P30" s="95">
        <f>SUM(P26:P29)</f>
        <v>12</v>
      </c>
      <c r="Q30" s="97"/>
      <c r="R30" s="95">
        <f>SUM(R26:R29)</f>
        <v>12</v>
      </c>
      <c r="S30" s="97"/>
      <c r="T30" s="95">
        <f>SUM(T26:T29)</f>
        <v>12</v>
      </c>
      <c r="U30" s="97"/>
      <c r="V30" s="95">
        <f>SUM(V26:V29)</f>
        <v>12</v>
      </c>
      <c r="W30" s="97"/>
      <c r="X30" s="95">
        <f>SUM(X26:X29)</f>
        <v>12</v>
      </c>
      <c r="Y30" s="97"/>
      <c r="Z30" s="95" t="e">
        <f>SUM(Z26:Z29)</f>
        <v>#DIV/0!</v>
      </c>
    </row>
    <row r="31" spans="1:26" s="67" customFormat="1" x14ac:dyDescent="0.25">
      <c r="A31" s="69"/>
      <c r="B31" s="94" t="s">
        <v>786</v>
      </c>
      <c r="C31" s="96"/>
      <c r="D31" s="98"/>
    </row>
    <row r="32" spans="1:26" s="67" customFormat="1" x14ac:dyDescent="0.25">
      <c r="A32" s="69"/>
      <c r="B32" s="94" t="s">
        <v>787</v>
      </c>
      <c r="C32" s="96"/>
      <c r="D32" s="99"/>
    </row>
    <row r="33" spans="1:4" s="67" customFormat="1" x14ac:dyDescent="0.25">
      <c r="A33" s="69"/>
      <c r="B33" s="94" t="s">
        <v>788</v>
      </c>
      <c r="C33" s="100"/>
      <c r="D33" s="101"/>
    </row>
    <row r="34" spans="1:4" s="67" customFormat="1" x14ac:dyDescent="0.25"/>
    <row r="35" spans="1:4" s="67" customFormat="1" x14ac:dyDescent="0.25"/>
    <row r="36" spans="1:4" s="67" customFormat="1" x14ac:dyDescent="0.25"/>
    <row r="37" spans="1:4" x14ac:dyDescent="0.25">
      <c r="B37" s="102" t="s">
        <v>789</v>
      </c>
    </row>
    <row r="38" spans="1:4" x14ac:dyDescent="0.25">
      <c r="B38" s="226" t="s">
        <v>790</v>
      </c>
    </row>
    <row r="39" spans="1:4" x14ac:dyDescent="0.25">
      <c r="B39" s="226"/>
    </row>
    <row r="40" spans="1:4" x14ac:dyDescent="0.25">
      <c r="B40" s="226"/>
    </row>
    <row r="41" spans="1:4" x14ac:dyDescent="0.25">
      <c r="B41" s="226"/>
    </row>
    <row r="42" spans="1:4" x14ac:dyDescent="0.25">
      <c r="B42" s="226" t="s">
        <v>791</v>
      </c>
    </row>
    <row r="43" spans="1:4" x14ac:dyDescent="0.25">
      <c r="B43" s="226"/>
    </row>
    <row r="44" spans="1:4" x14ac:dyDescent="0.25">
      <c r="B44" s="226"/>
    </row>
    <row r="45" spans="1:4" x14ac:dyDescent="0.25">
      <c r="B45" s="226"/>
    </row>
    <row r="46" spans="1:4" x14ac:dyDescent="0.25">
      <c r="B46" s="226" t="s">
        <v>792</v>
      </c>
    </row>
    <row r="47" spans="1:4" x14ac:dyDescent="0.25">
      <c r="B47" s="226"/>
    </row>
    <row r="48" spans="1:4" x14ac:dyDescent="0.25">
      <c r="B48" s="226"/>
    </row>
    <row r="49" spans="2:2" x14ac:dyDescent="0.25">
      <c r="B49" s="226"/>
    </row>
    <row r="50" spans="2:2" x14ac:dyDescent="0.25">
      <c r="B50" s="226" t="s">
        <v>793</v>
      </c>
    </row>
    <row r="51" spans="2:2" x14ac:dyDescent="0.25">
      <c r="B51" s="226"/>
    </row>
    <row r="52" spans="2:2" x14ac:dyDescent="0.25">
      <c r="B52" s="226"/>
    </row>
    <row r="53" spans="2:2" x14ac:dyDescent="0.25">
      <c r="B53" s="226"/>
    </row>
    <row r="54" spans="2:2" s="67" customFormat="1" x14ac:dyDescent="0.25"/>
    <row r="55" spans="2:2" s="67" customFormat="1" x14ac:dyDescent="0.25"/>
    <row r="56" spans="2:2" s="67" customFormat="1" x14ac:dyDescent="0.25"/>
    <row r="57" spans="2:2" s="67" customFormat="1" x14ac:dyDescent="0.25"/>
    <row r="58" spans="2:2" s="67" customFormat="1" x14ac:dyDescent="0.25"/>
    <row r="59" spans="2:2" s="67" customFormat="1" x14ac:dyDescent="0.25"/>
    <row r="60" spans="2:2" s="67" customFormat="1" x14ac:dyDescent="0.25"/>
    <row r="61" spans="2:2" s="67" customFormat="1" x14ac:dyDescent="0.25"/>
    <row r="62" spans="2:2" s="67" customFormat="1" x14ac:dyDescent="0.25"/>
    <row r="63" spans="2:2" s="67" customFormat="1" x14ac:dyDescent="0.25"/>
    <row r="64" spans="2:2" s="67" customFormat="1" x14ac:dyDescent="0.25"/>
    <row r="65" s="67" customFormat="1" x14ac:dyDescent="0.25"/>
    <row r="66" s="67" customFormat="1" x14ac:dyDescent="0.25"/>
    <row r="67" s="67" customFormat="1" x14ac:dyDescent="0.25"/>
    <row r="68" s="67" customFormat="1" x14ac:dyDescent="0.25"/>
    <row r="69" s="67" customFormat="1" x14ac:dyDescent="0.25"/>
    <row r="70" s="67" customFormat="1" x14ac:dyDescent="0.25"/>
    <row r="71" s="67" customFormat="1" x14ac:dyDescent="0.25"/>
    <row r="72" s="67" customFormat="1" x14ac:dyDescent="0.25"/>
    <row r="73" s="67" customFormat="1" x14ac:dyDescent="0.25"/>
    <row r="74" s="67" customFormat="1" x14ac:dyDescent="0.25"/>
  </sheetData>
  <mergeCells count="100">
    <mergeCell ref="C4:D4"/>
    <mergeCell ref="C5:D5"/>
    <mergeCell ref="C18:D18"/>
    <mergeCell ref="C19:D19"/>
    <mergeCell ref="C20:D20"/>
    <mergeCell ref="G22:H22"/>
    <mergeCell ref="E5:F5"/>
    <mergeCell ref="G5:H5"/>
    <mergeCell ref="G18:H18"/>
    <mergeCell ref="B50:B53"/>
    <mergeCell ref="B42:B45"/>
    <mergeCell ref="B38:B41"/>
    <mergeCell ref="B46:B49"/>
    <mergeCell ref="E21:F21"/>
    <mergeCell ref="E22:F22"/>
    <mergeCell ref="E23:F23"/>
    <mergeCell ref="G23:H23"/>
    <mergeCell ref="C21:D21"/>
    <mergeCell ref="C22:D22"/>
    <mergeCell ref="C23:D23"/>
    <mergeCell ref="E4:F4"/>
    <mergeCell ref="E18:F18"/>
    <mergeCell ref="E19:F19"/>
    <mergeCell ref="E20:F20"/>
    <mergeCell ref="I21:J21"/>
    <mergeCell ref="G4:H4"/>
    <mergeCell ref="G19:H19"/>
    <mergeCell ref="G20:H20"/>
    <mergeCell ref="G21:H21"/>
    <mergeCell ref="I22:J22"/>
    <mergeCell ref="I23:J23"/>
    <mergeCell ref="K4:L4"/>
    <mergeCell ref="K5:L5"/>
    <mergeCell ref="K18:L18"/>
    <mergeCell ref="K19:L19"/>
    <mergeCell ref="K20:L20"/>
    <mergeCell ref="K21:L21"/>
    <mergeCell ref="K22:L22"/>
    <mergeCell ref="K23:L23"/>
    <mergeCell ref="I4:J4"/>
    <mergeCell ref="I5:J5"/>
    <mergeCell ref="I18:J18"/>
    <mergeCell ref="I19:J19"/>
    <mergeCell ref="I20:J20"/>
    <mergeCell ref="M21:N21"/>
    <mergeCell ref="M22:N22"/>
    <mergeCell ref="M23:N23"/>
    <mergeCell ref="O4:P4"/>
    <mergeCell ref="O5:P5"/>
    <mergeCell ref="O18:P18"/>
    <mergeCell ref="O19:P19"/>
    <mergeCell ref="O20:P20"/>
    <mergeCell ref="O21:P21"/>
    <mergeCell ref="O22:P22"/>
    <mergeCell ref="O23:P23"/>
    <mergeCell ref="M4:N4"/>
    <mergeCell ref="M5:N5"/>
    <mergeCell ref="M18:N18"/>
    <mergeCell ref="M19:N19"/>
    <mergeCell ref="M20:N20"/>
    <mergeCell ref="U21:V21"/>
    <mergeCell ref="U22:V22"/>
    <mergeCell ref="U23:V23"/>
    <mergeCell ref="U4:V4"/>
    <mergeCell ref="U5:V5"/>
    <mergeCell ref="U18:V18"/>
    <mergeCell ref="U19:V19"/>
    <mergeCell ref="U20:V20"/>
    <mergeCell ref="Q21:R21"/>
    <mergeCell ref="Q22:R22"/>
    <mergeCell ref="Q23:R23"/>
    <mergeCell ref="S4:T4"/>
    <mergeCell ref="S5:T5"/>
    <mergeCell ref="S18:T18"/>
    <mergeCell ref="S19:T19"/>
    <mergeCell ref="S20:T20"/>
    <mergeCell ref="S21:T21"/>
    <mergeCell ref="S22:T22"/>
    <mergeCell ref="S23:T23"/>
    <mergeCell ref="Q4:R4"/>
    <mergeCell ref="Q5:R5"/>
    <mergeCell ref="Q18:R18"/>
    <mergeCell ref="Q19:R19"/>
    <mergeCell ref="Q20:R20"/>
    <mergeCell ref="W21:X21"/>
    <mergeCell ref="W22:X22"/>
    <mergeCell ref="W23:X23"/>
    <mergeCell ref="Y4:Z4"/>
    <mergeCell ref="Y5:Z5"/>
    <mergeCell ref="Y18:Z18"/>
    <mergeCell ref="Y19:Z19"/>
    <mergeCell ref="Y20:Z20"/>
    <mergeCell ref="Y21:Z21"/>
    <mergeCell ref="Y22:Z22"/>
    <mergeCell ref="Y23:Z23"/>
    <mergeCell ref="W4:X4"/>
    <mergeCell ref="W5:X5"/>
    <mergeCell ref="W18:X18"/>
    <mergeCell ref="W19:X19"/>
    <mergeCell ref="W20:X20"/>
  </mergeCells>
  <conditionalFormatting sqref="D28">
    <cfRule type="expression" dxfId="23" priority="24">
      <formula>+#REF!+#REF!+#REF!+#REF!+#REF!=0</formula>
    </cfRule>
  </conditionalFormatting>
  <conditionalFormatting sqref="D29">
    <cfRule type="expression" dxfId="22" priority="23">
      <formula>+#REF!+#REF!+#REF!+#REF!+#REF!=0</formula>
    </cfRule>
  </conditionalFormatting>
  <conditionalFormatting sqref="F28">
    <cfRule type="expression" dxfId="21" priority="22">
      <formula>+#REF!+#REF!+#REF!+#REF!+#REF!=0</formula>
    </cfRule>
  </conditionalFormatting>
  <conditionalFormatting sqref="F29">
    <cfRule type="expression" dxfId="20" priority="21">
      <formula>+#REF!+#REF!+#REF!+#REF!+#REF!=0</formula>
    </cfRule>
  </conditionalFormatting>
  <conditionalFormatting sqref="H28">
    <cfRule type="expression" dxfId="19" priority="20">
      <formula>+#REF!+#REF!+#REF!+#REF!+#REF!=0</formula>
    </cfRule>
  </conditionalFormatting>
  <conditionalFormatting sqref="H29">
    <cfRule type="expression" dxfId="18" priority="19">
      <formula>+#REF!+#REF!+#REF!+#REF!+#REF!=0</formula>
    </cfRule>
  </conditionalFormatting>
  <conditionalFormatting sqref="J28">
    <cfRule type="expression" dxfId="17" priority="18">
      <formula>+#REF!+#REF!+#REF!+#REF!+#REF!=0</formula>
    </cfRule>
  </conditionalFormatting>
  <conditionalFormatting sqref="J29">
    <cfRule type="expression" dxfId="16" priority="17">
      <formula>+#REF!+#REF!+#REF!+#REF!+#REF!=0</formula>
    </cfRule>
  </conditionalFormatting>
  <conditionalFormatting sqref="L28">
    <cfRule type="expression" dxfId="15" priority="16">
      <formula>+#REF!+#REF!+#REF!+#REF!+#REF!=0</formula>
    </cfRule>
  </conditionalFormatting>
  <conditionalFormatting sqref="L29">
    <cfRule type="expression" dxfId="14" priority="15">
      <formula>+#REF!+#REF!+#REF!+#REF!+#REF!=0</formula>
    </cfRule>
  </conditionalFormatting>
  <conditionalFormatting sqref="N28">
    <cfRule type="expression" dxfId="13" priority="14">
      <formula>+#REF!+#REF!+#REF!+#REF!+#REF!=0</formula>
    </cfRule>
  </conditionalFormatting>
  <conditionalFormatting sqref="N29">
    <cfRule type="expression" dxfId="12" priority="13">
      <formula>+#REF!+#REF!+#REF!+#REF!+#REF!=0</formula>
    </cfRule>
  </conditionalFormatting>
  <conditionalFormatting sqref="P28">
    <cfRule type="expression" dxfId="11" priority="12">
      <formula>+#REF!+#REF!+#REF!+#REF!+#REF!=0</formula>
    </cfRule>
  </conditionalFormatting>
  <conditionalFormatting sqref="P29">
    <cfRule type="expression" dxfId="10" priority="11">
      <formula>+#REF!+#REF!+#REF!+#REF!+#REF!=0</formula>
    </cfRule>
  </conditionalFormatting>
  <conditionalFormatting sqref="R28">
    <cfRule type="expression" dxfId="9" priority="10">
      <formula>+#REF!+#REF!+#REF!+#REF!+#REF!=0</formula>
    </cfRule>
  </conditionalFormatting>
  <conditionalFormatting sqref="R29">
    <cfRule type="expression" dxfId="8" priority="9">
      <formula>+#REF!+#REF!+#REF!+#REF!+#REF!=0</formula>
    </cfRule>
  </conditionalFormatting>
  <conditionalFormatting sqref="T28">
    <cfRule type="expression" dxfId="7" priority="8">
      <formula>+#REF!+#REF!+#REF!+#REF!+#REF!=0</formula>
    </cfRule>
  </conditionalFormatting>
  <conditionalFormatting sqref="T29">
    <cfRule type="expression" dxfId="6" priority="7">
      <formula>+#REF!+#REF!+#REF!+#REF!+#REF!=0</formula>
    </cfRule>
  </conditionalFormatting>
  <conditionalFormatting sqref="V28">
    <cfRule type="expression" dxfId="5" priority="6">
      <formula>+#REF!+#REF!+#REF!+#REF!+#REF!=0</formula>
    </cfRule>
  </conditionalFormatting>
  <conditionalFormatting sqref="V29">
    <cfRule type="expression" dxfId="4" priority="5">
      <formula>+#REF!+#REF!+#REF!+#REF!+#REF!=0</formula>
    </cfRule>
  </conditionalFormatting>
  <conditionalFormatting sqref="X28">
    <cfRule type="expression" dxfId="3" priority="4">
      <formula>+#REF!+#REF!+#REF!+#REF!+#REF!=0</formula>
    </cfRule>
  </conditionalFormatting>
  <conditionalFormatting sqref="X29">
    <cfRule type="expression" dxfId="2" priority="3">
      <formula>+#REF!+#REF!+#REF!+#REF!+#REF!=0</formula>
    </cfRule>
  </conditionalFormatting>
  <conditionalFormatting sqref="Z28">
    <cfRule type="expression" dxfId="1" priority="2">
      <formula>+#REF!+#REF!+#REF!+#REF!+#REF!=0</formula>
    </cfRule>
  </conditionalFormatting>
  <conditionalFormatting sqref="Z29">
    <cfRule type="expression" dxfId="0" priority="1">
      <formula>+#REF!+#REF!+#REF!+#REF!+#REF!=0</formula>
    </cfRule>
  </conditionalFormatting>
  <hyperlinks>
    <hyperlink ref="B4" location="Menu!A1" display="MENU" xr:uid="{00000000-0004-0000-0D00-000000000000}"/>
  </hyperlink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2"/>
  <sheetViews>
    <sheetView showGridLines="0" workbookViewId="0"/>
  </sheetViews>
  <sheetFormatPr defaultColWidth="8.88671875" defaultRowHeight="14.4" x14ac:dyDescent="0.3"/>
  <cols>
    <col min="2" max="2" width="39.109375" customWidth="1"/>
    <col min="3" max="3" width="13.109375" bestFit="1" customWidth="1"/>
    <col min="4" max="4" width="14.109375" bestFit="1" customWidth="1"/>
    <col min="5" max="7" width="12.44140625" bestFit="1" customWidth="1"/>
    <col min="8" max="13" width="13.109375" bestFit="1" customWidth="1"/>
    <col min="14" max="14" width="8.44140625" bestFit="1" customWidth="1"/>
  </cols>
  <sheetData>
    <row r="1" spans="1:18" x14ac:dyDescent="0.3">
      <c r="A1" s="9" t="s">
        <v>68</v>
      </c>
    </row>
    <row r="4" spans="1:18" x14ac:dyDescent="0.3">
      <c r="B4" s="117" t="s">
        <v>842</v>
      </c>
      <c r="C4" s="117" t="str">
        <f>+'SP Previsionale'!E2</f>
        <v>Previsionale</v>
      </c>
      <c r="D4" s="117" t="str">
        <f>+'SP Previsionale'!F2</f>
        <v>Previsionale</v>
      </c>
      <c r="E4" s="117" t="str">
        <f>+'SP Previsionale'!G2</f>
        <v>Previsionale</v>
      </c>
      <c r="F4" s="117" t="str">
        <f>+'SP Previsionale'!H2</f>
        <v>Previsionale</v>
      </c>
      <c r="G4" s="117" t="str">
        <f>+'SP Previsionale'!I2</f>
        <v>Previsionale</v>
      </c>
      <c r="H4" s="117" t="str">
        <f>+'SP Previsionale'!J2</f>
        <v>Previsionale</v>
      </c>
      <c r="I4" s="117" t="str">
        <f>+'SP Previsionale'!K2</f>
        <v>Previsionale</v>
      </c>
      <c r="J4" s="117" t="str">
        <f>+'SP Previsionale'!L2</f>
        <v>Previsionale</v>
      </c>
      <c r="K4" s="117" t="str">
        <f>+'SP Previsionale'!M2</f>
        <v>Previsionale</v>
      </c>
      <c r="L4" s="117" t="str">
        <f>+'SP Previsionale'!N2</f>
        <v>Previsionale</v>
      </c>
      <c r="M4" s="117" t="str">
        <f>+'SP Previsionale'!O2</f>
        <v>Previsionale</v>
      </c>
    </row>
    <row r="5" spans="1:18" ht="15" thickBot="1" x14ac:dyDescent="0.35">
      <c r="B5" s="117"/>
      <c r="C5" s="195">
        <f>+'SP Previsionale'!D3</f>
        <v>43101</v>
      </c>
      <c r="D5" s="195">
        <f>+'SP Previsionale'!E3</f>
        <v>43159</v>
      </c>
      <c r="E5" s="195">
        <f>+'SP Previsionale'!F3</f>
        <v>43190</v>
      </c>
      <c r="F5" s="195">
        <f>+'SP Previsionale'!G3</f>
        <v>43220</v>
      </c>
      <c r="G5" s="195">
        <f>+'SP Previsionale'!H3</f>
        <v>43251</v>
      </c>
      <c r="H5" s="195">
        <f>+'SP Previsionale'!I3</f>
        <v>43281</v>
      </c>
      <c r="I5" s="195">
        <f>+'SP Previsionale'!J3</f>
        <v>43312</v>
      </c>
      <c r="J5" s="195">
        <f>+'SP Previsionale'!K3</f>
        <v>43343</v>
      </c>
      <c r="K5" s="195">
        <f>+'SP Previsionale'!L3</f>
        <v>43373</v>
      </c>
      <c r="L5" s="195">
        <f>+'SP Previsionale'!M3</f>
        <v>43404</v>
      </c>
      <c r="M5" s="195">
        <f>+'SP Previsionale'!N3</f>
        <v>43434</v>
      </c>
      <c r="N5" s="195">
        <f>+'SP Previsionale'!O3</f>
        <v>43465</v>
      </c>
      <c r="O5" s="195">
        <f>+'SP Previsionale'!P3</f>
        <v>43496</v>
      </c>
    </row>
    <row r="6" spans="1:18" ht="22.2" thickBot="1" x14ac:dyDescent="0.35">
      <c r="B6" s="160" t="s">
        <v>843</v>
      </c>
      <c r="C6" s="49">
        <f>+'Flussi Cassa_Solvibilità'!D6-'Flussi Cassa_Solvibilità'!D13-'Flussi Cassa_Solvibilità'!D14-'Flussi Cassa_Solvibilità'!D15-'Flussi Cassa_Solvibilità'!D16-'Flussi Cassa_Solvibilità'!D20-'Flussi Cassa_Solvibilità'!D21</f>
        <v>46527.438999999998</v>
      </c>
      <c r="D6" s="49">
        <f>+'Flussi Cassa_Solvibilità'!E6-'Flussi Cassa_Solvibilità'!E13-'Flussi Cassa_Solvibilità'!E14-'Flussi Cassa_Solvibilità'!E15-'Flussi Cassa_Solvibilità'!E16-'Flussi Cassa_Solvibilità'!E20-'Flussi Cassa_Solvibilità'!E21</f>
        <v>24383</v>
      </c>
      <c r="E6" s="49">
        <f>+'Flussi Cassa_Solvibilità'!F6-'Flussi Cassa_Solvibilità'!F13-'Flussi Cassa_Solvibilità'!F14-'Flussi Cassa_Solvibilità'!F15-'Flussi Cassa_Solvibilità'!F16-'Flussi Cassa_Solvibilità'!F20-'Flussi Cassa_Solvibilità'!F21</f>
        <v>119730</v>
      </c>
      <c r="F6" s="49">
        <f>+'Flussi Cassa_Solvibilità'!G6-'Flussi Cassa_Solvibilità'!G13-'Flussi Cassa_Solvibilità'!G14-'Flussi Cassa_Solvibilità'!G15-'Flussi Cassa_Solvibilità'!G16-'Flussi Cassa_Solvibilità'!G20-'Flussi Cassa_Solvibilità'!G21</f>
        <v>20852.11099999999</v>
      </c>
      <c r="G6" s="49">
        <f>+'Flussi Cassa_Solvibilità'!H6-'Flussi Cassa_Solvibilità'!H13-'Flussi Cassa_Solvibilità'!H14-'Flussi Cassa_Solvibilità'!H15-'Flussi Cassa_Solvibilità'!H16-'Flussi Cassa_Solvibilità'!H20-'Flussi Cassa_Solvibilità'!H21</f>
        <v>27258</v>
      </c>
      <c r="H6" s="49">
        <f>+'Flussi Cassa_Solvibilità'!I6-'Flussi Cassa_Solvibilità'!I13-'Flussi Cassa_Solvibilità'!I14-'Flussi Cassa_Solvibilità'!I15-'Flussi Cassa_Solvibilità'!I16-'Flussi Cassa_Solvibilità'!I20-'Flussi Cassa_Solvibilità'!I21</f>
        <v>32500</v>
      </c>
      <c r="I6" s="49">
        <f>+'Flussi Cassa_Solvibilità'!J6-'Flussi Cassa_Solvibilità'!J13-'Flussi Cassa_Solvibilità'!J14-'Flussi Cassa_Solvibilità'!J15-'Flussi Cassa_Solvibilità'!J16-'Flussi Cassa_Solvibilità'!J20-'Flussi Cassa_Solvibilità'!J21</f>
        <v>32500</v>
      </c>
      <c r="J6" s="49">
        <f>+'Flussi Cassa_Solvibilità'!K6-'Flussi Cassa_Solvibilità'!K13-'Flussi Cassa_Solvibilità'!K14-'Flussi Cassa_Solvibilità'!K15-'Flussi Cassa_Solvibilità'!K16-'Flussi Cassa_Solvibilità'!K20-'Flussi Cassa_Solvibilità'!K21</f>
        <v>32500</v>
      </c>
      <c r="K6" s="49">
        <f>+'Flussi Cassa_Solvibilità'!L6-'Flussi Cassa_Solvibilità'!L13-'Flussi Cassa_Solvibilità'!L14-'Flussi Cassa_Solvibilità'!L15-'Flussi Cassa_Solvibilità'!L16-'Flussi Cassa_Solvibilità'!L20-'Flussi Cassa_Solvibilità'!L21</f>
        <v>32500</v>
      </c>
      <c r="L6" s="49">
        <f>+'Flussi Cassa_Solvibilità'!M6-'Flussi Cassa_Solvibilità'!M13-'Flussi Cassa_Solvibilità'!M14-'Flussi Cassa_Solvibilità'!M15-'Flussi Cassa_Solvibilità'!M16-'Flussi Cassa_Solvibilità'!M20-'Flussi Cassa_Solvibilità'!M21</f>
        <v>32500</v>
      </c>
      <c r="M6" s="49">
        <f>+'Flussi Cassa_Solvibilità'!N6-'Flussi Cassa_Solvibilità'!N13-'Flussi Cassa_Solvibilità'!N14-'Flussi Cassa_Solvibilità'!N15-'Flussi Cassa_Solvibilità'!N16-'Flussi Cassa_Solvibilità'!N20-'Flussi Cassa_Solvibilità'!N21</f>
        <v>32500</v>
      </c>
      <c r="N6" s="49">
        <f>+'Flussi Cassa_Solvibilità'!O6-'Flussi Cassa_Solvibilità'!O13-'Flussi Cassa_Solvibilità'!O14-'Flussi Cassa_Solvibilità'!O15-'Flussi Cassa_Solvibilità'!O16-'Flussi Cassa_Solvibilità'!O20-'Flussi Cassa_Solvibilità'!O21</f>
        <v>32500</v>
      </c>
      <c r="O6" s="49">
        <f>+'Flussi Cassa_Solvibilità'!P6-'Flussi Cassa_Solvibilità'!P13-'Flussi Cassa_Solvibilità'!P14-'Flussi Cassa_Solvibilità'!P15-'Flussi Cassa_Solvibilità'!P16-'Flussi Cassa_Solvibilità'!P20-'Flussi Cassa_Solvibilità'!P21</f>
        <v>0</v>
      </c>
    </row>
    <row r="7" spans="1:18" x14ac:dyDescent="0.3">
      <c r="B7" s="163" t="s">
        <v>844</v>
      </c>
    </row>
    <row r="8" spans="1:18" x14ac:dyDescent="0.3">
      <c r="B8" s="164" t="s">
        <v>845</v>
      </c>
      <c r="C8" s="162">
        <f>+'Scheda Debiti'!E5+'Input Previsionale'!E24</f>
        <v>0</v>
      </c>
      <c r="D8" s="162">
        <f>+'Scheda Debiti'!F5+'Input Previsionale'!F24</f>
        <v>0</v>
      </c>
      <c r="E8" s="162">
        <f>+'Scheda Debiti'!G5+'Input Previsionale'!G24</f>
        <v>0</v>
      </c>
      <c r="F8" s="162">
        <f>+'Scheda Debiti'!H5+'Input Previsionale'!H24</f>
        <v>0</v>
      </c>
      <c r="G8" s="162">
        <f>+'Scheda Debiti'!I5+'Input Previsionale'!I24</f>
        <v>0</v>
      </c>
      <c r="H8" s="162">
        <f>+'Scheda Debiti'!J5+'Input Previsionale'!J24</f>
        <v>0</v>
      </c>
      <c r="I8" s="162">
        <f>+'Scheda Debiti'!K5+'Input Previsionale'!K24</f>
        <v>0</v>
      </c>
      <c r="J8" s="162">
        <f>+'Scheda Debiti'!L5+'Input Previsionale'!L24</f>
        <v>0</v>
      </c>
      <c r="K8" s="162">
        <f>+'Scheda Debiti'!M5+'Input Previsionale'!M24</f>
        <v>0</v>
      </c>
      <c r="L8" s="162">
        <f>+'Scheda Debiti'!N5+'Input Previsionale'!N24</f>
        <v>0</v>
      </c>
      <c r="M8" s="162">
        <f>+'Scheda Debiti'!O5+'Input Previsionale'!O24</f>
        <v>0</v>
      </c>
      <c r="N8" s="162">
        <f>+'Scheda Debiti'!P5+'Input Previsionale'!P24</f>
        <v>0</v>
      </c>
      <c r="O8" s="162">
        <f>+'Scheda Debiti'!Q5+'Input Previsionale'!Q24</f>
        <v>0</v>
      </c>
    </row>
    <row r="9" spans="1:18" ht="15" thickBot="1" x14ac:dyDescent="0.35">
      <c r="B9" s="165" t="s">
        <v>846</v>
      </c>
      <c r="C9" s="162">
        <f>+'Scheda Debiti'!E6+'Input Previsionale'!E25</f>
        <v>0</v>
      </c>
      <c r="D9" s="162">
        <f>+'Scheda Debiti'!F6+'Input Previsionale'!F25</f>
        <v>0</v>
      </c>
      <c r="E9" s="162">
        <f>+'Scheda Debiti'!G6+'Input Previsionale'!G25</f>
        <v>0</v>
      </c>
      <c r="F9" s="162">
        <f>+'Scheda Debiti'!H6+'Input Previsionale'!H25</f>
        <v>0</v>
      </c>
      <c r="G9" s="162">
        <f>+'Scheda Debiti'!I6+'Input Previsionale'!I25</f>
        <v>0</v>
      </c>
      <c r="H9" s="162">
        <f>+'Scheda Debiti'!J6+'Input Previsionale'!J25</f>
        <v>0</v>
      </c>
      <c r="I9" s="162">
        <f>+'Scheda Debiti'!K6+'Input Previsionale'!K25</f>
        <v>0</v>
      </c>
      <c r="J9" s="162">
        <f>+'Scheda Debiti'!L6+'Input Previsionale'!L25</f>
        <v>0</v>
      </c>
      <c r="K9" s="162">
        <f>+'Scheda Debiti'!M6+'Input Previsionale'!M25</f>
        <v>0</v>
      </c>
      <c r="L9" s="162">
        <f>+'Scheda Debiti'!N6+'Input Previsionale'!N25</f>
        <v>0</v>
      </c>
      <c r="M9" s="162">
        <f>+'Scheda Debiti'!O6+'Input Previsionale'!O25</f>
        <v>0</v>
      </c>
      <c r="N9" s="162">
        <f>+'Scheda Debiti'!P6+'Input Previsionale'!P25</f>
        <v>0</v>
      </c>
      <c r="O9" s="162">
        <f>+'Scheda Debiti'!Q6+'Input Previsionale'!Q25</f>
        <v>0</v>
      </c>
    </row>
    <row r="10" spans="1:18" ht="15" x14ac:dyDescent="0.3">
      <c r="B10" s="166" t="s">
        <v>847</v>
      </c>
      <c r="C10" s="168">
        <f>+C8+C9</f>
        <v>0</v>
      </c>
      <c r="D10" s="168">
        <f t="shared" ref="D10" si="0">+D8+D9</f>
        <v>0</v>
      </c>
      <c r="E10" s="168">
        <f t="shared" ref="E10" si="1">+E8+E9</f>
        <v>0</v>
      </c>
      <c r="F10" s="168">
        <f t="shared" ref="F10" si="2">+F8+F9</f>
        <v>0</v>
      </c>
      <c r="G10" s="168">
        <f t="shared" ref="G10" si="3">+G8+G9</f>
        <v>0</v>
      </c>
      <c r="H10" s="168">
        <f t="shared" ref="H10" si="4">+H8+H9</f>
        <v>0</v>
      </c>
      <c r="I10" s="168">
        <f t="shared" ref="I10" si="5">+I8+I9</f>
        <v>0</v>
      </c>
      <c r="J10" s="168">
        <f t="shared" ref="J10" si="6">+J8+J9</f>
        <v>0</v>
      </c>
      <c r="K10" s="168">
        <f t="shared" ref="K10" si="7">+K8+K9</f>
        <v>0</v>
      </c>
      <c r="L10" s="168">
        <f t="shared" ref="L10" si="8">+L8+L9</f>
        <v>0</v>
      </c>
      <c r="M10" s="168">
        <f t="shared" ref="M10:O10" si="9">+M8+M9</f>
        <v>0</v>
      </c>
      <c r="N10" s="168">
        <f t="shared" si="9"/>
        <v>0</v>
      </c>
      <c r="O10" s="168">
        <f t="shared" si="9"/>
        <v>0</v>
      </c>
      <c r="P10" s="167"/>
      <c r="Q10" s="167"/>
      <c r="R10" s="167"/>
    </row>
    <row r="11" spans="1:18" ht="15" thickBot="1" x14ac:dyDescent="0.35">
      <c r="B11" s="161"/>
    </row>
    <row r="12" spans="1:18" x14ac:dyDescent="0.3">
      <c r="B12" s="117" t="s">
        <v>848</v>
      </c>
      <c r="C12" s="158" t="str">
        <f>+IFERROR(C6/C10,"")</f>
        <v/>
      </c>
      <c r="D12" s="158" t="str">
        <f t="shared" ref="D12:M12" si="10">+IFERROR(D6/D10,"")</f>
        <v/>
      </c>
      <c r="E12" s="158" t="str">
        <f t="shared" si="10"/>
        <v/>
      </c>
      <c r="F12" s="158" t="str">
        <f t="shared" si="10"/>
        <v/>
      </c>
      <c r="G12" s="158" t="str">
        <f t="shared" si="10"/>
        <v/>
      </c>
      <c r="H12" s="158" t="str">
        <f t="shared" si="10"/>
        <v/>
      </c>
      <c r="I12" s="158" t="str">
        <f t="shared" si="10"/>
        <v/>
      </c>
      <c r="J12" s="158" t="str">
        <f t="shared" si="10"/>
        <v/>
      </c>
      <c r="K12" s="158" t="str">
        <f t="shared" si="10"/>
        <v/>
      </c>
      <c r="L12" s="158" t="str">
        <f t="shared" si="10"/>
        <v/>
      </c>
      <c r="M12" s="158" t="str">
        <f t="shared" si="10"/>
        <v/>
      </c>
      <c r="N12" s="158" t="str">
        <f t="shared" ref="N12:O12" si="11">+IFERROR(N6/N10,"")</f>
        <v/>
      </c>
      <c r="O12" s="158" t="str">
        <f t="shared" si="11"/>
        <v/>
      </c>
    </row>
  </sheetData>
  <hyperlinks>
    <hyperlink ref="A1" location="Menu!A1" display="MENU" xr:uid="{00000000-0004-0000-0E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H238"/>
  <sheetViews>
    <sheetView showGridLines="0" topLeftCell="A3" workbookViewId="0">
      <pane xSplit="6" ySplit="3" topLeftCell="G217" activePane="bottomRight" state="frozen"/>
      <selection pane="topRight" activeCell="G1" sqref="G1"/>
      <selection pane="bottomLeft" activeCell="A4" sqref="A4"/>
      <selection pane="bottomRight" activeCell="I3" sqref="I1:L1048576"/>
    </sheetView>
  </sheetViews>
  <sheetFormatPr defaultColWidth="8.6640625" defaultRowHeight="14.4" x14ac:dyDescent="0.3"/>
  <cols>
    <col min="1" max="1" width="71.44140625" style="5" customWidth="1"/>
    <col min="2" max="2" width="10.33203125" style="5" hidden="1" customWidth="1"/>
    <col min="3" max="3" width="8.6640625" style="5" hidden="1" customWidth="1"/>
    <col min="4" max="4" width="6.6640625" style="5" hidden="1" customWidth="1"/>
    <col min="5" max="5" width="58.6640625" style="5" hidden="1" customWidth="1"/>
    <col min="6" max="6" width="33" style="6" hidden="1" customWidth="1"/>
    <col min="7" max="7" width="11.88671875" style="6" bestFit="1" customWidth="1"/>
    <col min="8" max="8" width="9" style="5" bestFit="1" customWidth="1"/>
    <col min="9" max="234" width="8.6640625" style="5"/>
    <col min="235" max="235" width="71.44140625" style="5" customWidth="1"/>
    <col min="236" max="240" width="0" style="5" hidden="1" customWidth="1"/>
    <col min="241" max="244" width="16.6640625" style="5" customWidth="1"/>
    <col min="245" max="245" width="50.6640625" style="5" customWidth="1"/>
    <col min="246" max="490" width="8.6640625" style="5"/>
    <col min="491" max="491" width="71.44140625" style="5" customWidth="1"/>
    <col min="492" max="496" width="0" style="5" hidden="1" customWidth="1"/>
    <col min="497" max="500" width="16.6640625" style="5" customWidth="1"/>
    <col min="501" max="501" width="50.6640625" style="5" customWidth="1"/>
    <col min="502" max="746" width="8.6640625" style="5"/>
    <col min="747" max="747" width="71.44140625" style="5" customWidth="1"/>
    <col min="748" max="752" width="0" style="5" hidden="1" customWidth="1"/>
    <col min="753" max="756" width="16.6640625" style="5" customWidth="1"/>
    <col min="757" max="757" width="50.6640625" style="5" customWidth="1"/>
    <col min="758" max="1002" width="8.6640625" style="5"/>
    <col min="1003" max="1003" width="71.44140625" style="5" customWidth="1"/>
    <col min="1004" max="1008" width="0" style="5" hidden="1" customWidth="1"/>
    <col min="1009" max="1012" width="16.6640625" style="5" customWidth="1"/>
    <col min="1013" max="1013" width="50.6640625" style="5" customWidth="1"/>
    <col min="1014" max="1258" width="8.6640625" style="5"/>
    <col min="1259" max="1259" width="71.44140625" style="5" customWidth="1"/>
    <col min="1260" max="1264" width="0" style="5" hidden="1" customWidth="1"/>
    <col min="1265" max="1268" width="16.6640625" style="5" customWidth="1"/>
    <col min="1269" max="1269" width="50.6640625" style="5" customWidth="1"/>
    <col min="1270" max="1514" width="8.6640625" style="5"/>
    <col min="1515" max="1515" width="71.44140625" style="5" customWidth="1"/>
    <col min="1516" max="1520" width="0" style="5" hidden="1" customWidth="1"/>
    <col min="1521" max="1524" width="16.6640625" style="5" customWidth="1"/>
    <col min="1525" max="1525" width="50.6640625" style="5" customWidth="1"/>
    <col min="1526" max="1770" width="8.6640625" style="5"/>
    <col min="1771" max="1771" width="71.44140625" style="5" customWidth="1"/>
    <col min="1772" max="1776" width="0" style="5" hidden="1" customWidth="1"/>
    <col min="1777" max="1780" width="16.6640625" style="5" customWidth="1"/>
    <col min="1781" max="1781" width="50.6640625" style="5" customWidth="1"/>
    <col min="1782" max="2026" width="8.6640625" style="5"/>
    <col min="2027" max="2027" width="71.44140625" style="5" customWidth="1"/>
    <col min="2028" max="2032" width="0" style="5" hidden="1" customWidth="1"/>
    <col min="2033" max="2036" width="16.6640625" style="5" customWidth="1"/>
    <col min="2037" max="2037" width="50.6640625" style="5" customWidth="1"/>
    <col min="2038" max="2282" width="8.6640625" style="5"/>
    <col min="2283" max="2283" width="71.44140625" style="5" customWidth="1"/>
    <col min="2284" max="2288" width="0" style="5" hidden="1" customWidth="1"/>
    <col min="2289" max="2292" width="16.6640625" style="5" customWidth="1"/>
    <col min="2293" max="2293" width="50.6640625" style="5" customWidth="1"/>
    <col min="2294" max="2538" width="8.6640625" style="5"/>
    <col min="2539" max="2539" width="71.44140625" style="5" customWidth="1"/>
    <col min="2540" max="2544" width="0" style="5" hidden="1" customWidth="1"/>
    <col min="2545" max="2548" width="16.6640625" style="5" customWidth="1"/>
    <col min="2549" max="2549" width="50.6640625" style="5" customWidth="1"/>
    <col min="2550" max="2794" width="8.6640625" style="5"/>
    <col min="2795" max="2795" width="71.44140625" style="5" customWidth="1"/>
    <col min="2796" max="2800" width="0" style="5" hidden="1" customWidth="1"/>
    <col min="2801" max="2804" width="16.6640625" style="5" customWidth="1"/>
    <col min="2805" max="2805" width="50.6640625" style="5" customWidth="1"/>
    <col min="2806" max="3050" width="8.6640625" style="5"/>
    <col min="3051" max="3051" width="71.44140625" style="5" customWidth="1"/>
    <col min="3052" max="3056" width="0" style="5" hidden="1" customWidth="1"/>
    <col min="3057" max="3060" width="16.6640625" style="5" customWidth="1"/>
    <col min="3061" max="3061" width="50.6640625" style="5" customWidth="1"/>
    <col min="3062" max="3306" width="8.6640625" style="5"/>
    <col min="3307" max="3307" width="71.44140625" style="5" customWidth="1"/>
    <col min="3308" max="3312" width="0" style="5" hidden="1" customWidth="1"/>
    <col min="3313" max="3316" width="16.6640625" style="5" customWidth="1"/>
    <col min="3317" max="3317" width="50.6640625" style="5" customWidth="1"/>
    <col min="3318" max="3562" width="8.6640625" style="5"/>
    <col min="3563" max="3563" width="71.44140625" style="5" customWidth="1"/>
    <col min="3564" max="3568" width="0" style="5" hidden="1" customWidth="1"/>
    <col min="3569" max="3572" width="16.6640625" style="5" customWidth="1"/>
    <col min="3573" max="3573" width="50.6640625" style="5" customWidth="1"/>
    <col min="3574" max="3818" width="8.6640625" style="5"/>
    <col min="3819" max="3819" width="71.44140625" style="5" customWidth="1"/>
    <col min="3820" max="3824" width="0" style="5" hidden="1" customWidth="1"/>
    <col min="3825" max="3828" width="16.6640625" style="5" customWidth="1"/>
    <col min="3829" max="3829" width="50.6640625" style="5" customWidth="1"/>
    <col min="3830" max="4074" width="8.6640625" style="5"/>
    <col min="4075" max="4075" width="71.44140625" style="5" customWidth="1"/>
    <col min="4076" max="4080" width="0" style="5" hidden="1" customWidth="1"/>
    <col min="4081" max="4084" width="16.6640625" style="5" customWidth="1"/>
    <col min="4085" max="4085" width="50.6640625" style="5" customWidth="1"/>
    <col min="4086" max="4330" width="8.6640625" style="5"/>
    <col min="4331" max="4331" width="71.44140625" style="5" customWidth="1"/>
    <col min="4332" max="4336" width="0" style="5" hidden="1" customWidth="1"/>
    <col min="4337" max="4340" width="16.6640625" style="5" customWidth="1"/>
    <col min="4341" max="4341" width="50.6640625" style="5" customWidth="1"/>
    <col min="4342" max="4586" width="8.6640625" style="5"/>
    <col min="4587" max="4587" width="71.44140625" style="5" customWidth="1"/>
    <col min="4588" max="4592" width="0" style="5" hidden="1" customWidth="1"/>
    <col min="4593" max="4596" width="16.6640625" style="5" customWidth="1"/>
    <col min="4597" max="4597" width="50.6640625" style="5" customWidth="1"/>
    <col min="4598" max="4842" width="8.6640625" style="5"/>
    <col min="4843" max="4843" width="71.44140625" style="5" customWidth="1"/>
    <col min="4844" max="4848" width="0" style="5" hidden="1" customWidth="1"/>
    <col min="4849" max="4852" width="16.6640625" style="5" customWidth="1"/>
    <col min="4853" max="4853" width="50.6640625" style="5" customWidth="1"/>
    <col min="4854" max="5098" width="8.6640625" style="5"/>
    <col min="5099" max="5099" width="71.44140625" style="5" customWidth="1"/>
    <col min="5100" max="5104" width="0" style="5" hidden="1" customWidth="1"/>
    <col min="5105" max="5108" width="16.6640625" style="5" customWidth="1"/>
    <col min="5109" max="5109" width="50.6640625" style="5" customWidth="1"/>
    <col min="5110" max="5354" width="8.6640625" style="5"/>
    <col min="5355" max="5355" width="71.44140625" style="5" customWidth="1"/>
    <col min="5356" max="5360" width="0" style="5" hidden="1" customWidth="1"/>
    <col min="5361" max="5364" width="16.6640625" style="5" customWidth="1"/>
    <col min="5365" max="5365" width="50.6640625" style="5" customWidth="1"/>
    <col min="5366" max="5610" width="8.6640625" style="5"/>
    <col min="5611" max="5611" width="71.44140625" style="5" customWidth="1"/>
    <col min="5612" max="5616" width="0" style="5" hidden="1" customWidth="1"/>
    <col min="5617" max="5620" width="16.6640625" style="5" customWidth="1"/>
    <col min="5621" max="5621" width="50.6640625" style="5" customWidth="1"/>
    <col min="5622" max="5866" width="8.6640625" style="5"/>
    <col min="5867" max="5867" width="71.44140625" style="5" customWidth="1"/>
    <col min="5868" max="5872" width="0" style="5" hidden="1" customWidth="1"/>
    <col min="5873" max="5876" width="16.6640625" style="5" customWidth="1"/>
    <col min="5877" max="5877" width="50.6640625" style="5" customWidth="1"/>
    <col min="5878" max="6122" width="8.6640625" style="5"/>
    <col min="6123" max="6123" width="71.44140625" style="5" customWidth="1"/>
    <col min="6124" max="6128" width="0" style="5" hidden="1" customWidth="1"/>
    <col min="6129" max="6132" width="16.6640625" style="5" customWidth="1"/>
    <col min="6133" max="6133" width="50.6640625" style="5" customWidth="1"/>
    <col min="6134" max="6378" width="8.6640625" style="5"/>
    <col min="6379" max="6379" width="71.44140625" style="5" customWidth="1"/>
    <col min="6380" max="6384" width="0" style="5" hidden="1" customWidth="1"/>
    <col min="6385" max="6388" width="16.6640625" style="5" customWidth="1"/>
    <col min="6389" max="6389" width="50.6640625" style="5" customWidth="1"/>
    <col min="6390" max="6634" width="8.6640625" style="5"/>
    <col min="6635" max="6635" width="71.44140625" style="5" customWidth="1"/>
    <col min="6636" max="6640" width="0" style="5" hidden="1" customWidth="1"/>
    <col min="6641" max="6644" width="16.6640625" style="5" customWidth="1"/>
    <col min="6645" max="6645" width="50.6640625" style="5" customWidth="1"/>
    <col min="6646" max="6890" width="8.6640625" style="5"/>
    <col min="6891" max="6891" width="71.44140625" style="5" customWidth="1"/>
    <col min="6892" max="6896" width="0" style="5" hidden="1" customWidth="1"/>
    <col min="6897" max="6900" width="16.6640625" style="5" customWidth="1"/>
    <col min="6901" max="6901" width="50.6640625" style="5" customWidth="1"/>
    <col min="6902" max="7146" width="8.6640625" style="5"/>
    <col min="7147" max="7147" width="71.44140625" style="5" customWidth="1"/>
    <col min="7148" max="7152" width="0" style="5" hidden="1" customWidth="1"/>
    <col min="7153" max="7156" width="16.6640625" style="5" customWidth="1"/>
    <col min="7157" max="7157" width="50.6640625" style="5" customWidth="1"/>
    <col min="7158" max="7402" width="8.6640625" style="5"/>
    <col min="7403" max="7403" width="71.44140625" style="5" customWidth="1"/>
    <col min="7404" max="7408" width="0" style="5" hidden="1" customWidth="1"/>
    <col min="7409" max="7412" width="16.6640625" style="5" customWidth="1"/>
    <col min="7413" max="7413" width="50.6640625" style="5" customWidth="1"/>
    <col min="7414" max="7658" width="8.6640625" style="5"/>
    <col min="7659" max="7659" width="71.44140625" style="5" customWidth="1"/>
    <col min="7660" max="7664" width="0" style="5" hidden="1" customWidth="1"/>
    <col min="7665" max="7668" width="16.6640625" style="5" customWidth="1"/>
    <col min="7669" max="7669" width="50.6640625" style="5" customWidth="1"/>
    <col min="7670" max="7914" width="8.6640625" style="5"/>
    <col min="7915" max="7915" width="71.44140625" style="5" customWidth="1"/>
    <col min="7916" max="7920" width="0" style="5" hidden="1" customWidth="1"/>
    <col min="7921" max="7924" width="16.6640625" style="5" customWidth="1"/>
    <col min="7925" max="7925" width="50.6640625" style="5" customWidth="1"/>
    <col min="7926" max="8170" width="8.6640625" style="5"/>
    <col min="8171" max="8171" width="71.44140625" style="5" customWidth="1"/>
    <col min="8172" max="8176" width="0" style="5" hidden="1" customWidth="1"/>
    <col min="8177" max="8180" width="16.6640625" style="5" customWidth="1"/>
    <col min="8181" max="8181" width="50.6640625" style="5" customWidth="1"/>
    <col min="8182" max="8426" width="8.6640625" style="5"/>
    <col min="8427" max="8427" width="71.44140625" style="5" customWidth="1"/>
    <col min="8428" max="8432" width="0" style="5" hidden="1" customWidth="1"/>
    <col min="8433" max="8436" width="16.6640625" style="5" customWidth="1"/>
    <col min="8437" max="8437" width="50.6640625" style="5" customWidth="1"/>
    <col min="8438" max="8682" width="8.6640625" style="5"/>
    <col min="8683" max="8683" width="71.44140625" style="5" customWidth="1"/>
    <col min="8684" max="8688" width="0" style="5" hidden="1" customWidth="1"/>
    <col min="8689" max="8692" width="16.6640625" style="5" customWidth="1"/>
    <col min="8693" max="8693" width="50.6640625" style="5" customWidth="1"/>
    <col min="8694" max="8938" width="8.6640625" style="5"/>
    <col min="8939" max="8939" width="71.44140625" style="5" customWidth="1"/>
    <col min="8940" max="8944" width="0" style="5" hidden="1" customWidth="1"/>
    <col min="8945" max="8948" width="16.6640625" style="5" customWidth="1"/>
    <col min="8949" max="8949" width="50.6640625" style="5" customWidth="1"/>
    <col min="8950" max="9194" width="8.6640625" style="5"/>
    <col min="9195" max="9195" width="71.44140625" style="5" customWidth="1"/>
    <col min="9196" max="9200" width="0" style="5" hidden="1" customWidth="1"/>
    <col min="9201" max="9204" width="16.6640625" style="5" customWidth="1"/>
    <col min="9205" max="9205" width="50.6640625" style="5" customWidth="1"/>
    <col min="9206" max="9450" width="8.6640625" style="5"/>
    <col min="9451" max="9451" width="71.44140625" style="5" customWidth="1"/>
    <col min="9452" max="9456" width="0" style="5" hidden="1" customWidth="1"/>
    <col min="9457" max="9460" width="16.6640625" style="5" customWidth="1"/>
    <col min="9461" max="9461" width="50.6640625" style="5" customWidth="1"/>
    <col min="9462" max="9706" width="8.6640625" style="5"/>
    <col min="9707" max="9707" width="71.44140625" style="5" customWidth="1"/>
    <col min="9708" max="9712" width="0" style="5" hidden="1" customWidth="1"/>
    <col min="9713" max="9716" width="16.6640625" style="5" customWidth="1"/>
    <col min="9717" max="9717" width="50.6640625" style="5" customWidth="1"/>
    <col min="9718" max="9962" width="8.6640625" style="5"/>
    <col min="9963" max="9963" width="71.44140625" style="5" customWidth="1"/>
    <col min="9964" max="9968" width="0" style="5" hidden="1" customWidth="1"/>
    <col min="9969" max="9972" width="16.6640625" style="5" customWidth="1"/>
    <col min="9973" max="9973" width="50.6640625" style="5" customWidth="1"/>
    <col min="9974" max="10218" width="8.6640625" style="5"/>
    <col min="10219" max="10219" width="71.44140625" style="5" customWidth="1"/>
    <col min="10220" max="10224" width="0" style="5" hidden="1" customWidth="1"/>
    <col min="10225" max="10228" width="16.6640625" style="5" customWidth="1"/>
    <col min="10229" max="10229" width="50.6640625" style="5" customWidth="1"/>
    <col min="10230" max="10474" width="8.6640625" style="5"/>
    <col min="10475" max="10475" width="71.44140625" style="5" customWidth="1"/>
    <col min="10476" max="10480" width="0" style="5" hidden="1" customWidth="1"/>
    <col min="10481" max="10484" width="16.6640625" style="5" customWidth="1"/>
    <col min="10485" max="10485" width="50.6640625" style="5" customWidth="1"/>
    <col min="10486" max="10730" width="8.6640625" style="5"/>
    <col min="10731" max="10731" width="71.44140625" style="5" customWidth="1"/>
    <col min="10732" max="10736" width="0" style="5" hidden="1" customWidth="1"/>
    <col min="10737" max="10740" width="16.6640625" style="5" customWidth="1"/>
    <col min="10741" max="10741" width="50.6640625" style="5" customWidth="1"/>
    <col min="10742" max="10986" width="8.6640625" style="5"/>
    <col min="10987" max="10987" width="71.44140625" style="5" customWidth="1"/>
    <col min="10988" max="10992" width="0" style="5" hidden="1" customWidth="1"/>
    <col min="10993" max="10996" width="16.6640625" style="5" customWidth="1"/>
    <col min="10997" max="10997" width="50.6640625" style="5" customWidth="1"/>
    <col min="10998" max="11242" width="8.6640625" style="5"/>
    <col min="11243" max="11243" width="71.44140625" style="5" customWidth="1"/>
    <col min="11244" max="11248" width="0" style="5" hidden="1" customWidth="1"/>
    <col min="11249" max="11252" width="16.6640625" style="5" customWidth="1"/>
    <col min="11253" max="11253" width="50.6640625" style="5" customWidth="1"/>
    <col min="11254" max="11498" width="8.6640625" style="5"/>
    <col min="11499" max="11499" width="71.44140625" style="5" customWidth="1"/>
    <col min="11500" max="11504" width="0" style="5" hidden="1" customWidth="1"/>
    <col min="11505" max="11508" width="16.6640625" style="5" customWidth="1"/>
    <col min="11509" max="11509" width="50.6640625" style="5" customWidth="1"/>
    <col min="11510" max="11754" width="8.6640625" style="5"/>
    <col min="11755" max="11755" width="71.44140625" style="5" customWidth="1"/>
    <col min="11756" max="11760" width="0" style="5" hidden="1" customWidth="1"/>
    <col min="11761" max="11764" width="16.6640625" style="5" customWidth="1"/>
    <col min="11765" max="11765" width="50.6640625" style="5" customWidth="1"/>
    <col min="11766" max="12010" width="8.6640625" style="5"/>
    <col min="12011" max="12011" width="71.44140625" style="5" customWidth="1"/>
    <col min="12012" max="12016" width="0" style="5" hidden="1" customWidth="1"/>
    <col min="12017" max="12020" width="16.6640625" style="5" customWidth="1"/>
    <col min="12021" max="12021" width="50.6640625" style="5" customWidth="1"/>
    <col min="12022" max="12266" width="8.6640625" style="5"/>
    <col min="12267" max="12267" width="71.44140625" style="5" customWidth="1"/>
    <col min="12268" max="12272" width="0" style="5" hidden="1" customWidth="1"/>
    <col min="12273" max="12276" width="16.6640625" style="5" customWidth="1"/>
    <col min="12277" max="12277" width="50.6640625" style="5" customWidth="1"/>
    <col min="12278" max="12522" width="8.6640625" style="5"/>
    <col min="12523" max="12523" width="71.44140625" style="5" customWidth="1"/>
    <col min="12524" max="12528" width="0" style="5" hidden="1" customWidth="1"/>
    <col min="12529" max="12532" width="16.6640625" style="5" customWidth="1"/>
    <col min="12533" max="12533" width="50.6640625" style="5" customWidth="1"/>
    <col min="12534" max="12778" width="8.6640625" style="5"/>
    <col min="12779" max="12779" width="71.44140625" style="5" customWidth="1"/>
    <col min="12780" max="12784" width="0" style="5" hidden="1" customWidth="1"/>
    <col min="12785" max="12788" width="16.6640625" style="5" customWidth="1"/>
    <col min="12789" max="12789" width="50.6640625" style="5" customWidth="1"/>
    <col min="12790" max="13034" width="8.6640625" style="5"/>
    <col min="13035" max="13035" width="71.44140625" style="5" customWidth="1"/>
    <col min="13036" max="13040" width="0" style="5" hidden="1" customWidth="1"/>
    <col min="13041" max="13044" width="16.6640625" style="5" customWidth="1"/>
    <col min="13045" max="13045" width="50.6640625" style="5" customWidth="1"/>
    <col min="13046" max="13290" width="8.6640625" style="5"/>
    <col min="13291" max="13291" width="71.44140625" style="5" customWidth="1"/>
    <col min="13292" max="13296" width="0" style="5" hidden="1" customWidth="1"/>
    <col min="13297" max="13300" width="16.6640625" style="5" customWidth="1"/>
    <col min="13301" max="13301" width="50.6640625" style="5" customWidth="1"/>
    <col min="13302" max="13546" width="8.6640625" style="5"/>
    <col min="13547" max="13547" width="71.44140625" style="5" customWidth="1"/>
    <col min="13548" max="13552" width="0" style="5" hidden="1" customWidth="1"/>
    <col min="13553" max="13556" width="16.6640625" style="5" customWidth="1"/>
    <col min="13557" max="13557" width="50.6640625" style="5" customWidth="1"/>
    <col min="13558" max="13802" width="8.6640625" style="5"/>
    <col min="13803" max="13803" width="71.44140625" style="5" customWidth="1"/>
    <col min="13804" max="13808" width="0" style="5" hidden="1" customWidth="1"/>
    <col min="13809" max="13812" width="16.6640625" style="5" customWidth="1"/>
    <col min="13813" max="13813" width="50.6640625" style="5" customWidth="1"/>
    <col min="13814" max="14058" width="8.6640625" style="5"/>
    <col min="14059" max="14059" width="71.44140625" style="5" customWidth="1"/>
    <col min="14060" max="14064" width="0" style="5" hidden="1" customWidth="1"/>
    <col min="14065" max="14068" width="16.6640625" style="5" customWidth="1"/>
    <col min="14069" max="14069" width="50.6640625" style="5" customWidth="1"/>
    <col min="14070" max="14314" width="8.6640625" style="5"/>
    <col min="14315" max="14315" width="71.44140625" style="5" customWidth="1"/>
    <col min="14316" max="14320" width="0" style="5" hidden="1" customWidth="1"/>
    <col min="14321" max="14324" width="16.6640625" style="5" customWidth="1"/>
    <col min="14325" max="14325" width="50.6640625" style="5" customWidth="1"/>
    <col min="14326" max="14570" width="8.6640625" style="5"/>
    <col min="14571" max="14571" width="71.44140625" style="5" customWidth="1"/>
    <col min="14572" max="14576" width="0" style="5" hidden="1" customWidth="1"/>
    <col min="14577" max="14580" width="16.6640625" style="5" customWidth="1"/>
    <col min="14581" max="14581" width="50.6640625" style="5" customWidth="1"/>
    <col min="14582" max="14826" width="8.6640625" style="5"/>
    <col min="14827" max="14827" width="71.44140625" style="5" customWidth="1"/>
    <col min="14828" max="14832" width="0" style="5" hidden="1" customWidth="1"/>
    <col min="14833" max="14836" width="16.6640625" style="5" customWidth="1"/>
    <col min="14837" max="14837" width="50.6640625" style="5" customWidth="1"/>
    <col min="14838" max="15082" width="8.6640625" style="5"/>
    <col min="15083" max="15083" width="71.44140625" style="5" customWidth="1"/>
    <col min="15084" max="15088" width="0" style="5" hidden="1" customWidth="1"/>
    <col min="15089" max="15092" width="16.6640625" style="5" customWidth="1"/>
    <col min="15093" max="15093" width="50.6640625" style="5" customWidth="1"/>
    <col min="15094" max="15338" width="8.6640625" style="5"/>
    <col min="15339" max="15339" width="71.44140625" style="5" customWidth="1"/>
    <col min="15340" max="15344" width="0" style="5" hidden="1" customWidth="1"/>
    <col min="15345" max="15348" width="16.6640625" style="5" customWidth="1"/>
    <col min="15349" max="15349" width="50.6640625" style="5" customWidth="1"/>
    <col min="15350" max="15594" width="8.6640625" style="5"/>
    <col min="15595" max="15595" width="71.44140625" style="5" customWidth="1"/>
    <col min="15596" max="15600" width="0" style="5" hidden="1" customWidth="1"/>
    <col min="15601" max="15604" width="16.6640625" style="5" customWidth="1"/>
    <col min="15605" max="15605" width="50.6640625" style="5" customWidth="1"/>
    <col min="15606" max="15850" width="8.6640625" style="5"/>
    <col min="15851" max="15851" width="71.44140625" style="5" customWidth="1"/>
    <col min="15852" max="15856" width="0" style="5" hidden="1" customWidth="1"/>
    <col min="15857" max="15860" width="16.6640625" style="5" customWidth="1"/>
    <col min="15861" max="15861" width="50.6640625" style="5" customWidth="1"/>
    <col min="15862" max="16106" width="8.6640625" style="5"/>
    <col min="16107" max="16107" width="71.44140625" style="5" customWidth="1"/>
    <col min="16108" max="16112" width="0" style="5" hidden="1" customWidth="1"/>
    <col min="16113" max="16116" width="16.6640625" style="5" customWidth="1"/>
    <col min="16117" max="16117" width="50.6640625" style="5" customWidth="1"/>
    <col min="16118" max="16384" width="8.6640625" style="5"/>
  </cols>
  <sheetData>
    <row r="1" spans="1:7" ht="13.35" hidden="1" customHeight="1" x14ac:dyDescent="0.3">
      <c r="A1" s="7" t="s">
        <v>58</v>
      </c>
      <c r="B1" s="7" t="s">
        <v>59</v>
      </c>
      <c r="C1" s="6" t="s">
        <v>60</v>
      </c>
      <c r="D1" s="6" t="s">
        <v>61</v>
      </c>
      <c r="E1" s="6" t="s">
        <v>62</v>
      </c>
      <c r="F1" s="8" t="s">
        <v>63</v>
      </c>
      <c r="G1" s="8"/>
    </row>
    <row r="2" spans="1:7" ht="13.35" hidden="1" customHeight="1" x14ac:dyDescent="0.3">
      <c r="A2" s="1" t="s">
        <v>64</v>
      </c>
      <c r="B2" s="1" t="s">
        <v>65</v>
      </c>
      <c r="C2" s="6">
        <v>6</v>
      </c>
      <c r="D2" s="6">
        <v>224</v>
      </c>
      <c r="E2" s="6" t="s">
        <v>66</v>
      </c>
      <c r="F2" s="5" t="s">
        <v>67</v>
      </c>
      <c r="G2" s="5"/>
    </row>
    <row r="3" spans="1:7" ht="18" customHeight="1" x14ac:dyDescent="0.3">
      <c r="A3" s="9" t="s">
        <v>68</v>
      </c>
    </row>
    <row r="4" spans="1:7" ht="23.25" customHeight="1" x14ac:dyDescent="0.3">
      <c r="A4" s="10" t="s">
        <v>69</v>
      </c>
      <c r="F4" s="11"/>
      <c r="G4" s="196">
        <f>+Menu!C4</f>
        <v>43101</v>
      </c>
    </row>
    <row r="5" spans="1:7" s="1" customFormat="1" ht="13.2" x14ac:dyDescent="0.25">
      <c r="A5" s="12"/>
      <c r="B5" s="1" t="s">
        <v>70</v>
      </c>
      <c r="C5" s="13" t="s">
        <v>71</v>
      </c>
      <c r="D5" s="1" t="s">
        <v>72</v>
      </c>
      <c r="E5" s="1" t="s">
        <v>73</v>
      </c>
      <c r="F5" s="1" t="s">
        <v>62</v>
      </c>
      <c r="G5" s="121" t="str">
        <f t="shared" ref="G5" si="0">+IF(G4="","","input")</f>
        <v>input</v>
      </c>
    </row>
    <row r="6" spans="1:7" ht="18" customHeight="1" x14ac:dyDescent="0.3">
      <c r="A6" s="14" t="s">
        <v>74</v>
      </c>
      <c r="D6" s="5">
        <v>0</v>
      </c>
      <c r="E6" s="14" t="s">
        <v>75</v>
      </c>
      <c r="F6" s="6" t="s">
        <v>76</v>
      </c>
    </row>
    <row r="7" spans="1:7" ht="18" customHeight="1" x14ac:dyDescent="0.3">
      <c r="A7" s="16" t="s">
        <v>78</v>
      </c>
      <c r="D7" s="5">
        <v>1</v>
      </c>
      <c r="E7" s="17" t="s">
        <v>79</v>
      </c>
      <c r="F7" s="6" t="s">
        <v>78</v>
      </c>
    </row>
    <row r="8" spans="1:7" ht="18" customHeight="1" x14ac:dyDescent="0.3">
      <c r="A8" s="18" t="s">
        <v>80</v>
      </c>
      <c r="D8" s="5">
        <v>2</v>
      </c>
      <c r="E8" s="19" t="s">
        <v>81</v>
      </c>
      <c r="F8" s="6" t="s">
        <v>82</v>
      </c>
    </row>
    <row r="9" spans="1:7" x14ac:dyDescent="0.3">
      <c r="A9" s="20" t="s">
        <v>83</v>
      </c>
      <c r="B9" s="5">
        <v>23</v>
      </c>
      <c r="D9" s="5">
        <v>3</v>
      </c>
      <c r="E9" s="21" t="s">
        <v>84</v>
      </c>
      <c r="F9" s="6" t="s">
        <v>85</v>
      </c>
      <c r="G9" s="119">
        <v>75</v>
      </c>
    </row>
    <row r="10" spans="1:7" x14ac:dyDescent="0.3">
      <c r="A10" s="20" t="s">
        <v>86</v>
      </c>
      <c r="B10" s="5">
        <v>33</v>
      </c>
      <c r="D10" s="5">
        <v>3</v>
      </c>
      <c r="E10" s="21" t="s">
        <v>87</v>
      </c>
      <c r="F10" s="6" t="s">
        <v>88</v>
      </c>
      <c r="G10" s="120">
        <v>0</v>
      </c>
    </row>
    <row r="11" spans="1:7" x14ac:dyDescent="0.3">
      <c r="A11" s="22" t="s">
        <v>89</v>
      </c>
      <c r="B11" s="5">
        <v>56</v>
      </c>
      <c r="D11" s="5">
        <v>3</v>
      </c>
      <c r="E11" s="23" t="s">
        <v>90</v>
      </c>
      <c r="F11" s="6" t="s">
        <v>91</v>
      </c>
      <c r="G11" s="24">
        <f t="shared" ref="G11" si="1">+IF(G$4="","",SUM(G9:G10))</f>
        <v>75</v>
      </c>
    </row>
    <row r="12" spans="1:7" ht="18" customHeight="1" x14ac:dyDescent="0.3">
      <c r="A12" s="18" t="s">
        <v>92</v>
      </c>
      <c r="D12" s="5">
        <v>2</v>
      </c>
      <c r="E12" s="19" t="s">
        <v>93</v>
      </c>
      <c r="F12" s="6" t="s">
        <v>94</v>
      </c>
      <c r="G12" s="15" t="s">
        <v>77</v>
      </c>
    </row>
    <row r="13" spans="1:7" ht="18" customHeight="1" x14ac:dyDescent="0.3">
      <c r="A13" s="25" t="s">
        <v>95</v>
      </c>
      <c r="D13" s="5">
        <v>3</v>
      </c>
      <c r="E13" s="25" t="s">
        <v>96</v>
      </c>
      <c r="F13" s="6" t="s">
        <v>97</v>
      </c>
      <c r="G13" s="26" t="s">
        <v>77</v>
      </c>
    </row>
    <row r="14" spans="1:7" x14ac:dyDescent="0.3">
      <c r="A14" s="27" t="s">
        <v>98</v>
      </c>
      <c r="B14" s="5">
        <v>5</v>
      </c>
      <c r="D14" s="5">
        <v>4</v>
      </c>
      <c r="E14" s="28" t="s">
        <v>99</v>
      </c>
      <c r="F14" s="6" t="s">
        <v>100</v>
      </c>
      <c r="G14" s="119">
        <v>3840</v>
      </c>
    </row>
    <row r="15" spans="1:7" x14ac:dyDescent="0.3">
      <c r="A15" s="54" t="s">
        <v>101</v>
      </c>
      <c r="B15" s="5">
        <v>5</v>
      </c>
      <c r="D15" s="5">
        <v>4</v>
      </c>
      <c r="E15" s="28" t="s">
        <v>102</v>
      </c>
      <c r="F15" s="6" t="s">
        <v>103</v>
      </c>
      <c r="G15" s="119"/>
    </row>
    <row r="16" spans="1:7" x14ac:dyDescent="0.3">
      <c r="A16" s="27" t="s">
        <v>104</v>
      </c>
      <c r="B16" s="5">
        <v>5</v>
      </c>
      <c r="D16" s="5">
        <v>4</v>
      </c>
      <c r="E16" s="28" t="s">
        <v>105</v>
      </c>
      <c r="F16" s="6" t="s">
        <v>106</v>
      </c>
      <c r="G16" s="119"/>
    </row>
    <row r="17" spans="1:7" x14ac:dyDescent="0.3">
      <c r="A17" s="27" t="s">
        <v>107</v>
      </c>
      <c r="B17" s="5">
        <v>5</v>
      </c>
      <c r="D17" s="5">
        <v>4</v>
      </c>
      <c r="E17" s="28" t="s">
        <v>108</v>
      </c>
      <c r="F17" s="6" t="s">
        <v>109</v>
      </c>
      <c r="G17" s="119"/>
    </row>
    <row r="18" spans="1:7" x14ac:dyDescent="0.3">
      <c r="A18" s="27" t="s">
        <v>110</v>
      </c>
      <c r="B18" s="5">
        <v>5</v>
      </c>
      <c r="D18" s="5">
        <v>4</v>
      </c>
      <c r="E18" s="28" t="s">
        <v>111</v>
      </c>
      <c r="F18" s="6" t="s">
        <v>112</v>
      </c>
      <c r="G18" s="119">
        <v>20000</v>
      </c>
    </row>
    <row r="19" spans="1:7" x14ac:dyDescent="0.3">
      <c r="A19" s="27" t="s">
        <v>113</v>
      </c>
      <c r="B19" s="5">
        <v>5</v>
      </c>
      <c r="D19" s="5">
        <v>4</v>
      </c>
      <c r="E19" s="28" t="s">
        <v>114</v>
      </c>
      <c r="F19" s="6" t="s">
        <v>115</v>
      </c>
      <c r="G19" s="119"/>
    </row>
    <row r="20" spans="1:7" x14ac:dyDescent="0.3">
      <c r="A20" s="27" t="s">
        <v>116</v>
      </c>
      <c r="B20" s="5">
        <v>5</v>
      </c>
      <c r="D20" s="5">
        <v>4</v>
      </c>
      <c r="E20" s="28" t="s">
        <v>117</v>
      </c>
      <c r="F20" s="6" t="s">
        <v>118</v>
      </c>
      <c r="G20" s="119">
        <v>44125</v>
      </c>
    </row>
    <row r="21" spans="1:7" x14ac:dyDescent="0.3">
      <c r="A21" s="29" t="s">
        <v>119</v>
      </c>
      <c r="B21" s="30">
        <v>35</v>
      </c>
      <c r="C21" s="30"/>
      <c r="D21" s="30">
        <v>4</v>
      </c>
      <c r="E21" s="28" t="s">
        <v>120</v>
      </c>
      <c r="F21" s="6" t="s">
        <v>121</v>
      </c>
      <c r="G21" s="24">
        <f t="shared" ref="G21" si="2">+IF(G$4="","",SUM(G14:G20))</f>
        <v>67965</v>
      </c>
    </row>
    <row r="22" spans="1:7" ht="18" customHeight="1" x14ac:dyDescent="0.3">
      <c r="A22" s="25" t="s">
        <v>122</v>
      </c>
      <c r="D22" s="5">
        <v>3</v>
      </c>
      <c r="E22" s="25" t="s">
        <v>123</v>
      </c>
      <c r="F22" s="6" t="s">
        <v>124</v>
      </c>
      <c r="G22" s="26"/>
    </row>
    <row r="23" spans="1:7" x14ac:dyDescent="0.3">
      <c r="A23" s="27" t="s">
        <v>125</v>
      </c>
      <c r="B23" s="5">
        <v>12</v>
      </c>
      <c r="D23" s="5">
        <v>4</v>
      </c>
      <c r="E23" s="28" t="s">
        <v>126</v>
      </c>
      <c r="F23" s="6" t="s">
        <v>127</v>
      </c>
      <c r="G23" s="119">
        <v>60920</v>
      </c>
    </row>
    <row r="24" spans="1:7" x14ac:dyDescent="0.3">
      <c r="A24" s="27" t="s">
        <v>128</v>
      </c>
      <c r="B24" s="5">
        <v>12</v>
      </c>
      <c r="D24" s="5">
        <v>4</v>
      </c>
      <c r="E24" s="28" t="s">
        <v>129</v>
      </c>
      <c r="F24" s="6" t="s">
        <v>130</v>
      </c>
      <c r="G24" s="119"/>
    </row>
    <row r="25" spans="1:7" x14ac:dyDescent="0.3">
      <c r="A25" s="27" t="s">
        <v>131</v>
      </c>
      <c r="B25" s="5">
        <v>12</v>
      </c>
      <c r="D25" s="5">
        <v>4</v>
      </c>
      <c r="E25" s="28" t="s">
        <v>132</v>
      </c>
      <c r="F25" s="6" t="s">
        <v>133</v>
      </c>
      <c r="G25" s="119">
        <v>24000</v>
      </c>
    </row>
    <row r="26" spans="1:7" x14ac:dyDescent="0.3">
      <c r="A26" s="27" t="s">
        <v>134</v>
      </c>
      <c r="B26" s="5">
        <v>12</v>
      </c>
      <c r="D26" s="5">
        <v>4</v>
      </c>
      <c r="E26" s="28" t="s">
        <v>135</v>
      </c>
      <c r="F26" s="6" t="s">
        <v>136</v>
      </c>
      <c r="G26" s="119"/>
    </row>
    <row r="27" spans="1:7" x14ac:dyDescent="0.3">
      <c r="A27" s="27" t="s">
        <v>137</v>
      </c>
      <c r="B27" s="5">
        <v>12</v>
      </c>
      <c r="D27" s="5">
        <v>4</v>
      </c>
      <c r="E27" s="28" t="s">
        <v>138</v>
      </c>
      <c r="F27" s="6" t="s">
        <v>139</v>
      </c>
      <c r="G27" s="119"/>
    </row>
    <row r="28" spans="1:7" x14ac:dyDescent="0.3">
      <c r="A28" s="29" t="s">
        <v>140</v>
      </c>
      <c r="B28" s="5">
        <v>60</v>
      </c>
      <c r="D28" s="5">
        <v>4</v>
      </c>
      <c r="E28" s="31" t="s">
        <v>141</v>
      </c>
      <c r="F28" s="6" t="s">
        <v>142</v>
      </c>
      <c r="G28" s="24">
        <f t="shared" ref="G28" si="3">+IF(G$4="","",SUM(G23:G27))</f>
        <v>84920</v>
      </c>
    </row>
    <row r="29" spans="1:7" ht="18" customHeight="1" x14ac:dyDescent="0.3">
      <c r="A29" s="25" t="s">
        <v>143</v>
      </c>
      <c r="D29" s="5">
        <v>3</v>
      </c>
      <c r="E29" s="25" t="s">
        <v>144</v>
      </c>
      <c r="F29" s="6" t="s">
        <v>145</v>
      </c>
      <c r="G29" s="26" t="s">
        <v>77</v>
      </c>
    </row>
    <row r="30" spans="1:7" ht="12.75" customHeight="1" x14ac:dyDescent="0.3">
      <c r="A30" s="27" t="s">
        <v>146</v>
      </c>
      <c r="D30" s="5">
        <v>4</v>
      </c>
      <c r="E30" s="28" t="s">
        <v>147</v>
      </c>
      <c r="F30" s="6" t="s">
        <v>148</v>
      </c>
      <c r="G30" s="26" t="s">
        <v>77</v>
      </c>
    </row>
    <row r="31" spans="1:7" x14ac:dyDescent="0.3">
      <c r="A31" s="32" t="s">
        <v>149</v>
      </c>
      <c r="B31" s="5">
        <v>1</v>
      </c>
      <c r="D31" s="5">
        <v>5</v>
      </c>
      <c r="E31" s="33" t="s">
        <v>150</v>
      </c>
      <c r="F31" s="6" t="s">
        <v>151</v>
      </c>
      <c r="G31" s="119"/>
    </row>
    <row r="32" spans="1:7" x14ac:dyDescent="0.3">
      <c r="A32" s="32" t="s">
        <v>152</v>
      </c>
      <c r="B32" s="5">
        <v>1</v>
      </c>
      <c r="D32" s="5">
        <v>5</v>
      </c>
      <c r="E32" s="33" t="s">
        <v>153</v>
      </c>
      <c r="F32" s="6" t="s">
        <v>154</v>
      </c>
      <c r="G32" s="119"/>
    </row>
    <row r="33" spans="1:7" x14ac:dyDescent="0.3">
      <c r="A33" s="32" t="s">
        <v>155</v>
      </c>
      <c r="B33" s="5">
        <v>1</v>
      </c>
      <c r="D33" s="5">
        <v>5</v>
      </c>
      <c r="E33" s="33" t="s">
        <v>156</v>
      </c>
      <c r="F33" s="6" t="s">
        <v>157</v>
      </c>
      <c r="G33" s="119">
        <v>20255</v>
      </c>
    </row>
    <row r="34" spans="1:7" x14ac:dyDescent="0.3">
      <c r="A34" s="32" t="s">
        <v>158</v>
      </c>
      <c r="E34" s="33"/>
      <c r="G34" s="119"/>
    </row>
    <row r="35" spans="1:7" x14ac:dyDescent="0.3">
      <c r="A35" s="55" t="s">
        <v>159</v>
      </c>
      <c r="B35" s="5">
        <v>1</v>
      </c>
      <c r="D35" s="5">
        <v>5</v>
      </c>
      <c r="E35" s="33" t="s">
        <v>160</v>
      </c>
      <c r="F35" s="6" t="s">
        <v>161</v>
      </c>
      <c r="G35" s="119"/>
    </row>
    <row r="36" spans="1:7" x14ac:dyDescent="0.3">
      <c r="A36" s="29" t="s">
        <v>162</v>
      </c>
      <c r="B36" s="5">
        <v>4</v>
      </c>
      <c r="D36" s="5">
        <v>5</v>
      </c>
      <c r="E36" s="33" t="s">
        <v>163</v>
      </c>
      <c r="F36" s="6" t="s">
        <v>164</v>
      </c>
      <c r="G36" s="24">
        <f t="shared" ref="G36" si="4">+IF(G$4="","",SUM(G31:G35))</f>
        <v>20255</v>
      </c>
    </row>
    <row r="37" spans="1:7" ht="18" customHeight="1" x14ac:dyDescent="0.3">
      <c r="A37" s="27" t="s">
        <v>165</v>
      </c>
      <c r="D37" s="5">
        <v>4</v>
      </c>
      <c r="E37" s="28" t="s">
        <v>166</v>
      </c>
      <c r="F37" s="6" t="s">
        <v>167</v>
      </c>
      <c r="G37" s="26" t="s">
        <v>77</v>
      </c>
    </row>
    <row r="38" spans="1:7" x14ac:dyDescent="0.3">
      <c r="A38" s="32" t="s">
        <v>168</v>
      </c>
      <c r="D38" s="5">
        <v>5</v>
      </c>
      <c r="E38" s="33" t="s">
        <v>150</v>
      </c>
      <c r="F38" s="6" t="s">
        <v>169</v>
      </c>
      <c r="G38" s="26" t="s">
        <v>77</v>
      </c>
    </row>
    <row r="39" spans="1:7" x14ac:dyDescent="0.3">
      <c r="A39" s="34" t="s">
        <v>170</v>
      </c>
      <c r="B39" s="5">
        <v>1</v>
      </c>
      <c r="D39" s="5">
        <v>6</v>
      </c>
      <c r="E39" s="35" t="s">
        <v>171</v>
      </c>
      <c r="F39" s="6" t="s">
        <v>172</v>
      </c>
      <c r="G39" s="119"/>
    </row>
    <row r="40" spans="1:7" x14ac:dyDescent="0.3">
      <c r="A40" s="34" t="s">
        <v>173</v>
      </c>
      <c r="B40" s="5">
        <v>1</v>
      </c>
      <c r="D40" s="5">
        <v>6</v>
      </c>
      <c r="E40" s="35" t="s">
        <v>174</v>
      </c>
      <c r="F40" s="6" t="s">
        <v>175</v>
      </c>
      <c r="G40" s="119">
        <v>0</v>
      </c>
    </row>
    <row r="41" spans="1:7" x14ac:dyDescent="0.3">
      <c r="A41" s="29" t="s">
        <v>176</v>
      </c>
      <c r="B41" s="5">
        <v>2</v>
      </c>
      <c r="D41" s="5">
        <v>6</v>
      </c>
      <c r="E41" s="35" t="s">
        <v>177</v>
      </c>
      <c r="F41" s="6" t="s">
        <v>178</v>
      </c>
      <c r="G41" s="24">
        <f t="shared" ref="G41" si="5">+IF(G$4="","",SUM(G39:G40))</f>
        <v>0</v>
      </c>
    </row>
    <row r="42" spans="1:7" x14ac:dyDescent="0.3">
      <c r="A42" s="32" t="s">
        <v>179</v>
      </c>
      <c r="D42" s="5">
        <v>5</v>
      </c>
      <c r="E42" s="33" t="s">
        <v>153</v>
      </c>
      <c r="F42" s="6" t="s">
        <v>180</v>
      </c>
      <c r="G42" s="26" t="s">
        <v>77</v>
      </c>
    </row>
    <row r="43" spans="1:7" x14ac:dyDescent="0.3">
      <c r="A43" s="34" t="s">
        <v>170</v>
      </c>
      <c r="B43" s="5">
        <v>1</v>
      </c>
      <c r="D43" s="5">
        <v>6</v>
      </c>
      <c r="E43" s="35" t="s">
        <v>171</v>
      </c>
      <c r="F43" s="6" t="s">
        <v>181</v>
      </c>
      <c r="G43" s="119"/>
    </row>
    <row r="44" spans="1:7" x14ac:dyDescent="0.3">
      <c r="A44" s="34" t="s">
        <v>173</v>
      </c>
      <c r="B44" s="5">
        <v>1</v>
      </c>
      <c r="D44" s="5">
        <v>6</v>
      </c>
      <c r="E44" s="35" t="s">
        <v>174</v>
      </c>
      <c r="F44" s="6" t="s">
        <v>182</v>
      </c>
      <c r="G44" s="119"/>
    </row>
    <row r="45" spans="1:7" x14ac:dyDescent="0.3">
      <c r="A45" s="29" t="s">
        <v>183</v>
      </c>
      <c r="B45" s="5">
        <v>2</v>
      </c>
      <c r="D45" s="5">
        <v>6</v>
      </c>
      <c r="E45" s="35" t="s">
        <v>184</v>
      </c>
      <c r="F45" s="6" t="s">
        <v>185</v>
      </c>
      <c r="G45" s="24">
        <f t="shared" ref="G45" si="6">+IF(G$4="","",SUM(G43:G44))</f>
        <v>0</v>
      </c>
    </row>
    <row r="46" spans="1:7" x14ac:dyDescent="0.3">
      <c r="A46" s="32" t="s">
        <v>186</v>
      </c>
      <c r="D46" s="5">
        <v>5</v>
      </c>
      <c r="E46" s="33" t="s">
        <v>156</v>
      </c>
      <c r="F46" s="6" t="s">
        <v>187</v>
      </c>
      <c r="G46" s="26" t="s">
        <v>77</v>
      </c>
    </row>
    <row r="47" spans="1:7" x14ac:dyDescent="0.3">
      <c r="A47" s="34" t="s">
        <v>170</v>
      </c>
      <c r="B47" s="5">
        <v>1</v>
      </c>
      <c r="D47" s="5">
        <v>6</v>
      </c>
      <c r="E47" s="35" t="s">
        <v>171</v>
      </c>
      <c r="F47" s="6" t="s">
        <v>188</v>
      </c>
      <c r="G47" s="119"/>
    </row>
    <row r="48" spans="1:7" x14ac:dyDescent="0.3">
      <c r="A48" s="34" t="s">
        <v>173</v>
      </c>
      <c r="B48" s="5">
        <v>1</v>
      </c>
      <c r="D48" s="5">
        <v>6</v>
      </c>
      <c r="E48" s="35" t="s">
        <v>174</v>
      </c>
      <c r="F48" s="6" t="s">
        <v>189</v>
      </c>
      <c r="G48" s="119">
        <v>0</v>
      </c>
    </row>
    <row r="49" spans="1:7" x14ac:dyDescent="0.3">
      <c r="A49" s="29" t="s">
        <v>190</v>
      </c>
      <c r="B49" s="5">
        <v>2</v>
      </c>
      <c r="D49" s="5">
        <v>6</v>
      </c>
      <c r="E49" s="35" t="s">
        <v>191</v>
      </c>
      <c r="F49" s="6" t="s">
        <v>192</v>
      </c>
      <c r="G49" s="24">
        <f t="shared" ref="G49" si="7">+IF(G$4="","",SUM(G47:G48))</f>
        <v>0</v>
      </c>
    </row>
    <row r="50" spans="1:7" x14ac:dyDescent="0.3">
      <c r="A50" s="32" t="s">
        <v>158</v>
      </c>
      <c r="D50" s="5">
        <v>5</v>
      </c>
      <c r="E50" s="33" t="s">
        <v>160</v>
      </c>
      <c r="F50" s="6" t="s">
        <v>193</v>
      </c>
      <c r="G50" s="26" t="s">
        <v>77</v>
      </c>
    </row>
    <row r="51" spans="1:7" x14ac:dyDescent="0.3">
      <c r="A51" s="34" t="s">
        <v>170</v>
      </c>
      <c r="B51" s="5">
        <v>1</v>
      </c>
      <c r="D51" s="5">
        <v>6</v>
      </c>
      <c r="E51" s="35" t="s">
        <v>171</v>
      </c>
      <c r="F51" s="6" t="s">
        <v>194</v>
      </c>
      <c r="G51" s="119">
        <v>0</v>
      </c>
    </row>
    <row r="52" spans="1:7" x14ac:dyDescent="0.3">
      <c r="A52" s="34" t="s">
        <v>173</v>
      </c>
      <c r="B52" s="5">
        <v>1</v>
      </c>
      <c r="D52" s="5">
        <v>6</v>
      </c>
      <c r="E52" s="35" t="s">
        <v>174</v>
      </c>
      <c r="F52" s="6" t="s">
        <v>195</v>
      </c>
      <c r="G52" s="119">
        <v>0</v>
      </c>
    </row>
    <row r="53" spans="1:7" x14ac:dyDescent="0.3">
      <c r="A53" s="56" t="s">
        <v>196</v>
      </c>
      <c r="B53" s="5">
        <v>2</v>
      </c>
      <c r="D53" s="5">
        <v>6</v>
      </c>
      <c r="E53" s="35" t="s">
        <v>197</v>
      </c>
      <c r="F53" s="6" t="s">
        <v>198</v>
      </c>
      <c r="G53" s="24">
        <f t="shared" ref="G53" si="8">+IF(G$4="","",SUM(G51:G52))</f>
        <v>0</v>
      </c>
    </row>
    <row r="54" spans="1:7" x14ac:dyDescent="0.3">
      <c r="A54" s="32" t="s">
        <v>199</v>
      </c>
      <c r="E54" s="35"/>
      <c r="G54" s="24"/>
    </row>
    <row r="55" spans="1:7" x14ac:dyDescent="0.3">
      <c r="A55" s="34" t="s">
        <v>170</v>
      </c>
      <c r="B55" s="5">
        <v>1</v>
      </c>
      <c r="D55" s="5">
        <v>6</v>
      </c>
      <c r="E55" s="35" t="s">
        <v>171</v>
      </c>
      <c r="F55" s="6" t="s">
        <v>194</v>
      </c>
      <c r="G55" s="119">
        <v>2835</v>
      </c>
    </row>
    <row r="56" spans="1:7" x14ac:dyDescent="0.3">
      <c r="A56" s="34" t="s">
        <v>173</v>
      </c>
      <c r="B56" s="5">
        <v>1</v>
      </c>
      <c r="D56" s="5">
        <v>6</v>
      </c>
      <c r="E56" s="35" t="s">
        <v>174</v>
      </c>
      <c r="F56" s="6" t="s">
        <v>195</v>
      </c>
      <c r="G56" s="119">
        <v>13148</v>
      </c>
    </row>
    <row r="57" spans="1:7" x14ac:dyDescent="0.3">
      <c r="A57" s="56" t="s">
        <v>200</v>
      </c>
      <c r="B57" s="5">
        <v>2</v>
      </c>
      <c r="D57" s="5">
        <v>6</v>
      </c>
      <c r="E57" s="35" t="s">
        <v>197</v>
      </c>
      <c r="F57" s="6" t="s">
        <v>198</v>
      </c>
      <c r="G57" s="24">
        <f t="shared" ref="G57" si="9">+IF(G$4="","",SUM(G55:G56))</f>
        <v>15983</v>
      </c>
    </row>
    <row r="58" spans="1:7" x14ac:dyDescent="0.3">
      <c r="A58" s="29" t="s">
        <v>201</v>
      </c>
      <c r="B58" s="5">
        <v>8</v>
      </c>
      <c r="D58" s="5">
        <v>5</v>
      </c>
      <c r="E58" s="33" t="s">
        <v>202</v>
      </c>
      <c r="F58" s="6" t="s">
        <v>203</v>
      </c>
      <c r="G58" s="36">
        <f t="shared" ref="G58" si="10">+IF(G4="","",(+G53+G49+G45+G41+G57))</f>
        <v>15983</v>
      </c>
    </row>
    <row r="59" spans="1:7" ht="18" customHeight="1" x14ac:dyDescent="0.3">
      <c r="A59" s="27" t="s">
        <v>204</v>
      </c>
      <c r="B59" s="5">
        <v>12</v>
      </c>
      <c r="D59" s="5">
        <v>4</v>
      </c>
      <c r="E59" s="28" t="s">
        <v>205</v>
      </c>
      <c r="F59" s="6" t="s">
        <v>206</v>
      </c>
      <c r="G59" s="119">
        <v>20000</v>
      </c>
    </row>
    <row r="60" spans="1:7" ht="18" customHeight="1" x14ac:dyDescent="0.3">
      <c r="A60" s="27" t="s">
        <v>207</v>
      </c>
      <c r="B60" s="5">
        <v>25</v>
      </c>
      <c r="D60" s="5">
        <v>4</v>
      </c>
      <c r="E60" s="28" t="s">
        <v>208</v>
      </c>
      <c r="F60" s="6" t="s">
        <v>209</v>
      </c>
      <c r="G60" s="119"/>
    </row>
    <row r="61" spans="1:7" x14ac:dyDescent="0.3">
      <c r="A61" s="29" t="s">
        <v>210</v>
      </c>
      <c r="B61" s="5">
        <v>49</v>
      </c>
      <c r="D61" s="5">
        <v>4</v>
      </c>
      <c r="E61" s="31" t="s">
        <v>211</v>
      </c>
      <c r="F61" s="6" t="s">
        <v>212</v>
      </c>
      <c r="G61" s="24">
        <f t="shared" ref="G61" si="11">+IF(G$4="","",G60+G59+G58+G36)</f>
        <v>56238</v>
      </c>
    </row>
    <row r="62" spans="1:7" x14ac:dyDescent="0.3">
      <c r="A62" s="22" t="s">
        <v>213</v>
      </c>
      <c r="B62" s="5">
        <v>144</v>
      </c>
      <c r="D62" s="5">
        <v>3</v>
      </c>
      <c r="E62" s="23" t="s">
        <v>214</v>
      </c>
      <c r="F62" s="6" t="s">
        <v>215</v>
      </c>
      <c r="G62" s="24">
        <f t="shared" ref="G62" si="12">+G61+G28+G21</f>
        <v>209123</v>
      </c>
    </row>
    <row r="63" spans="1:7" ht="18" customHeight="1" x14ac:dyDescent="0.3">
      <c r="A63" s="18" t="s">
        <v>216</v>
      </c>
      <c r="D63" s="5">
        <v>2</v>
      </c>
      <c r="E63" s="19" t="s">
        <v>217</v>
      </c>
      <c r="F63" s="6" t="s">
        <v>218</v>
      </c>
      <c r="G63" s="26" t="s">
        <v>77</v>
      </c>
    </row>
    <row r="64" spans="1:7" ht="18" customHeight="1" x14ac:dyDescent="0.3">
      <c r="A64" s="25" t="s">
        <v>219</v>
      </c>
      <c r="D64" s="5">
        <v>3</v>
      </c>
      <c r="E64" s="25" t="s">
        <v>220</v>
      </c>
      <c r="F64" s="6" t="s">
        <v>221</v>
      </c>
      <c r="G64" s="26" t="s">
        <v>77</v>
      </c>
    </row>
    <row r="65" spans="1:8" x14ac:dyDescent="0.3">
      <c r="A65" s="27" t="s">
        <v>222</v>
      </c>
      <c r="B65" s="5">
        <v>8</v>
      </c>
      <c r="D65" s="5">
        <v>4</v>
      </c>
      <c r="E65" s="28" t="s">
        <v>223</v>
      </c>
      <c r="F65" s="6" t="s">
        <v>224</v>
      </c>
      <c r="G65" s="119"/>
    </row>
    <row r="66" spans="1:8" x14ac:dyDescent="0.3">
      <c r="A66" s="27" t="s">
        <v>225</v>
      </c>
      <c r="B66" s="5">
        <v>8</v>
      </c>
      <c r="D66" s="5">
        <v>4</v>
      </c>
      <c r="E66" s="28" t="s">
        <v>226</v>
      </c>
      <c r="F66" s="6" t="s">
        <v>227</v>
      </c>
      <c r="G66" s="119"/>
    </row>
    <row r="67" spans="1:8" x14ac:dyDescent="0.3">
      <c r="A67" s="27" t="s">
        <v>228</v>
      </c>
      <c r="B67" s="5">
        <v>8</v>
      </c>
      <c r="D67" s="5">
        <v>4</v>
      </c>
      <c r="E67" s="28" t="s">
        <v>229</v>
      </c>
      <c r="F67" s="6" t="s">
        <v>230</v>
      </c>
      <c r="G67" s="119"/>
    </row>
    <row r="68" spans="1:8" x14ac:dyDescent="0.3">
      <c r="A68" s="27" t="s">
        <v>231</v>
      </c>
      <c r="B68" s="5">
        <v>8</v>
      </c>
      <c r="D68" s="5">
        <v>4</v>
      </c>
      <c r="E68" s="28" t="s">
        <v>232</v>
      </c>
      <c r="F68" s="6" t="s">
        <v>233</v>
      </c>
      <c r="G68" s="119">
        <v>132641</v>
      </c>
      <c r="H68" s="159"/>
    </row>
    <row r="69" spans="1:8" x14ac:dyDescent="0.3">
      <c r="A69" s="27" t="s">
        <v>234</v>
      </c>
      <c r="B69" s="5">
        <v>8</v>
      </c>
      <c r="D69" s="5">
        <v>4</v>
      </c>
      <c r="E69" s="28" t="s">
        <v>235</v>
      </c>
      <c r="F69" s="6" t="s">
        <v>236</v>
      </c>
      <c r="G69" s="119"/>
    </row>
    <row r="70" spans="1:8" x14ac:dyDescent="0.3">
      <c r="A70" s="29" t="s">
        <v>237</v>
      </c>
      <c r="B70" s="5">
        <v>40</v>
      </c>
      <c r="D70" s="5">
        <v>4</v>
      </c>
      <c r="E70" s="31" t="s">
        <v>238</v>
      </c>
      <c r="F70" s="6" t="s">
        <v>239</v>
      </c>
      <c r="G70" s="24">
        <f t="shared" ref="G70" si="13">SUM(G65:G69)</f>
        <v>132641</v>
      </c>
    </row>
    <row r="71" spans="1:8" ht="18" customHeight="1" x14ac:dyDescent="0.3">
      <c r="A71" s="25" t="s">
        <v>240</v>
      </c>
      <c r="D71" s="5">
        <v>3</v>
      </c>
      <c r="E71" s="25" t="s">
        <v>241</v>
      </c>
      <c r="F71" s="6" t="s">
        <v>242</v>
      </c>
      <c r="G71" s="26" t="s">
        <v>77</v>
      </c>
    </row>
    <row r="72" spans="1:8" ht="18" customHeight="1" x14ac:dyDescent="0.3">
      <c r="A72" s="27" t="s">
        <v>243</v>
      </c>
      <c r="D72" s="5">
        <v>4</v>
      </c>
      <c r="E72" s="28" t="s">
        <v>244</v>
      </c>
      <c r="F72" s="6" t="s">
        <v>245</v>
      </c>
      <c r="G72" s="26"/>
    </row>
    <row r="73" spans="1:8" x14ac:dyDescent="0.3">
      <c r="A73" s="37" t="s">
        <v>170</v>
      </c>
      <c r="B73" s="5">
        <v>2</v>
      </c>
      <c r="D73" s="5">
        <v>5</v>
      </c>
      <c r="E73" s="33" t="s">
        <v>171</v>
      </c>
      <c r="F73" s="6" t="s">
        <v>246</v>
      </c>
      <c r="G73" s="119">
        <v>36943</v>
      </c>
    </row>
    <row r="74" spans="1:8" x14ac:dyDescent="0.3">
      <c r="A74" s="37" t="s">
        <v>173</v>
      </c>
      <c r="B74" s="5">
        <v>3</v>
      </c>
      <c r="D74" s="5">
        <v>5</v>
      </c>
      <c r="E74" s="33" t="s">
        <v>174</v>
      </c>
      <c r="F74" s="6" t="s">
        <v>247</v>
      </c>
      <c r="G74" s="119"/>
    </row>
    <row r="75" spans="1:8" x14ac:dyDescent="0.3">
      <c r="A75" s="29" t="s">
        <v>248</v>
      </c>
      <c r="B75" s="5">
        <v>5</v>
      </c>
      <c r="D75" s="5">
        <v>5</v>
      </c>
      <c r="E75" s="33" t="s">
        <v>249</v>
      </c>
      <c r="F75" s="6" t="s">
        <v>250</v>
      </c>
      <c r="G75" s="24">
        <f t="shared" ref="G75" si="14">SUM(G73:G74)</f>
        <v>36943</v>
      </c>
    </row>
    <row r="76" spans="1:8" ht="18" customHeight="1" x14ac:dyDescent="0.3">
      <c r="A76" s="27" t="s">
        <v>251</v>
      </c>
      <c r="D76" s="5">
        <v>4</v>
      </c>
      <c r="E76" s="28" t="s">
        <v>252</v>
      </c>
      <c r="F76" s="6" t="s">
        <v>253</v>
      </c>
      <c r="G76" s="26" t="s">
        <v>77</v>
      </c>
    </row>
    <row r="77" spans="1:8" x14ac:dyDescent="0.3">
      <c r="A77" s="37" t="s">
        <v>170</v>
      </c>
      <c r="B77" s="5">
        <v>2</v>
      </c>
      <c r="D77" s="5">
        <v>5</v>
      </c>
      <c r="E77" s="33" t="s">
        <v>171</v>
      </c>
      <c r="F77" s="6" t="s">
        <v>254</v>
      </c>
      <c r="G77" s="119"/>
    </row>
    <row r="78" spans="1:8" x14ac:dyDescent="0.3">
      <c r="A78" s="37" t="s">
        <v>173</v>
      </c>
      <c r="B78" s="5">
        <v>3</v>
      </c>
      <c r="D78" s="5">
        <v>5</v>
      </c>
      <c r="E78" s="33" t="s">
        <v>174</v>
      </c>
      <c r="F78" s="6" t="s">
        <v>255</v>
      </c>
      <c r="G78" s="119"/>
    </row>
    <row r="79" spans="1:8" x14ac:dyDescent="0.3">
      <c r="A79" s="29" t="s">
        <v>176</v>
      </c>
      <c r="B79" s="5">
        <v>5</v>
      </c>
      <c r="D79" s="5">
        <v>5</v>
      </c>
      <c r="E79" s="33" t="s">
        <v>177</v>
      </c>
      <c r="F79" s="6" t="s">
        <v>256</v>
      </c>
      <c r="G79" s="24">
        <f t="shared" ref="G79" si="15">SUM(G77:G78)</f>
        <v>0</v>
      </c>
    </row>
    <row r="80" spans="1:8" ht="18" customHeight="1" x14ac:dyDescent="0.3">
      <c r="A80" s="27" t="s">
        <v>257</v>
      </c>
      <c r="D80" s="5">
        <v>4</v>
      </c>
      <c r="E80" s="28" t="s">
        <v>258</v>
      </c>
      <c r="F80" s="6" t="s">
        <v>259</v>
      </c>
      <c r="G80" s="26" t="s">
        <v>77</v>
      </c>
    </row>
    <row r="81" spans="1:7" x14ac:dyDescent="0.3">
      <c r="A81" s="37" t="s">
        <v>170</v>
      </c>
      <c r="B81" s="5">
        <v>2</v>
      </c>
      <c r="D81" s="5">
        <v>5</v>
      </c>
      <c r="E81" s="33" t="s">
        <v>171</v>
      </c>
      <c r="F81" s="6" t="s">
        <v>260</v>
      </c>
      <c r="G81" s="119">
        <v>0</v>
      </c>
    </row>
    <row r="82" spans="1:7" x14ac:dyDescent="0.3">
      <c r="A82" s="37" t="s">
        <v>173</v>
      </c>
      <c r="B82" s="5">
        <v>3</v>
      </c>
      <c r="D82" s="5">
        <v>5</v>
      </c>
      <c r="E82" s="33" t="s">
        <v>174</v>
      </c>
      <c r="F82" s="6" t="s">
        <v>261</v>
      </c>
      <c r="G82" s="119"/>
    </row>
    <row r="83" spans="1:7" x14ac:dyDescent="0.3">
      <c r="A83" s="29" t="s">
        <v>183</v>
      </c>
      <c r="B83" s="5">
        <v>5</v>
      </c>
      <c r="D83" s="5">
        <v>5</v>
      </c>
      <c r="E83" s="33" t="s">
        <v>184</v>
      </c>
      <c r="F83" s="6" t="s">
        <v>262</v>
      </c>
      <c r="G83" s="24">
        <f t="shared" ref="G83" si="16">SUM(G81:G82)</f>
        <v>0</v>
      </c>
    </row>
    <row r="84" spans="1:7" ht="18" customHeight="1" x14ac:dyDescent="0.3">
      <c r="A84" s="27" t="s">
        <v>263</v>
      </c>
      <c r="D84" s="5">
        <v>4</v>
      </c>
      <c r="E84" s="28" t="s">
        <v>264</v>
      </c>
      <c r="F84" s="6" t="s">
        <v>265</v>
      </c>
      <c r="G84" s="26" t="s">
        <v>77</v>
      </c>
    </row>
    <row r="85" spans="1:7" x14ac:dyDescent="0.3">
      <c r="A85" s="37" t="s">
        <v>170</v>
      </c>
      <c r="B85" s="5">
        <v>2</v>
      </c>
      <c r="D85" s="5">
        <v>5</v>
      </c>
      <c r="E85" s="33" t="s">
        <v>171</v>
      </c>
      <c r="F85" s="6" t="s">
        <v>266</v>
      </c>
      <c r="G85" s="119">
        <v>0</v>
      </c>
    </row>
    <row r="86" spans="1:7" x14ac:dyDescent="0.3">
      <c r="A86" s="37" t="s">
        <v>173</v>
      </c>
      <c r="B86" s="5">
        <v>3</v>
      </c>
      <c r="D86" s="5">
        <v>5</v>
      </c>
      <c r="E86" s="33" t="s">
        <v>174</v>
      </c>
      <c r="F86" s="6" t="s">
        <v>267</v>
      </c>
      <c r="G86" s="119"/>
    </row>
    <row r="87" spans="1:7" x14ac:dyDescent="0.3">
      <c r="A87" s="29" t="s">
        <v>190</v>
      </c>
      <c r="B87" s="5">
        <v>5</v>
      </c>
      <c r="D87" s="5">
        <v>5</v>
      </c>
      <c r="E87" s="33" t="s">
        <v>191</v>
      </c>
      <c r="F87" s="6" t="s">
        <v>268</v>
      </c>
      <c r="G87" s="24">
        <f t="shared" ref="G87" si="17">SUM(G85:G86)</f>
        <v>0</v>
      </c>
    </row>
    <row r="88" spans="1:7" x14ac:dyDescent="0.3">
      <c r="A88" s="54" t="s">
        <v>269</v>
      </c>
      <c r="D88" s="5">
        <v>4</v>
      </c>
      <c r="E88" s="28" t="s">
        <v>264</v>
      </c>
      <c r="F88" s="6" t="s">
        <v>265</v>
      </c>
      <c r="G88" s="26" t="s">
        <v>77</v>
      </c>
    </row>
    <row r="89" spans="1:7" x14ac:dyDescent="0.3">
      <c r="A89" s="37" t="s">
        <v>170</v>
      </c>
      <c r="B89" s="5">
        <v>2</v>
      </c>
      <c r="D89" s="5">
        <v>5</v>
      </c>
      <c r="E89" s="33" t="s">
        <v>171</v>
      </c>
      <c r="F89" s="6" t="s">
        <v>266</v>
      </c>
      <c r="G89" s="119"/>
    </row>
    <row r="90" spans="1:7" x14ac:dyDescent="0.3">
      <c r="A90" s="37" t="s">
        <v>173</v>
      </c>
      <c r="B90" s="5">
        <v>3</v>
      </c>
      <c r="D90" s="5">
        <v>5</v>
      </c>
      <c r="E90" s="33" t="s">
        <v>174</v>
      </c>
      <c r="F90" s="6" t="s">
        <v>267</v>
      </c>
      <c r="G90" s="119">
        <v>0</v>
      </c>
    </row>
    <row r="91" spans="1:7" x14ac:dyDescent="0.3">
      <c r="A91" s="56" t="s">
        <v>196</v>
      </c>
      <c r="B91" s="5">
        <v>5</v>
      </c>
      <c r="D91" s="5">
        <v>5</v>
      </c>
      <c r="E91" s="33" t="s">
        <v>191</v>
      </c>
      <c r="F91" s="6" t="s">
        <v>268</v>
      </c>
      <c r="G91" s="24">
        <f t="shared" ref="G91" si="18">SUM(G89:G90)</f>
        <v>0</v>
      </c>
    </row>
    <row r="92" spans="1:7" ht="18" customHeight="1" x14ac:dyDescent="0.3">
      <c r="A92" s="27" t="s">
        <v>270</v>
      </c>
      <c r="D92" s="5">
        <v>4</v>
      </c>
      <c r="E92" s="28" t="s">
        <v>271</v>
      </c>
      <c r="F92" s="6" t="s">
        <v>272</v>
      </c>
      <c r="G92" s="26" t="s">
        <v>77</v>
      </c>
    </row>
    <row r="93" spans="1:7" x14ac:dyDescent="0.3">
      <c r="A93" s="37" t="s">
        <v>170</v>
      </c>
      <c r="B93" s="5">
        <v>2</v>
      </c>
      <c r="D93" s="5">
        <v>5</v>
      </c>
      <c r="E93" s="33" t="s">
        <v>171</v>
      </c>
      <c r="F93" s="6" t="s">
        <v>273</v>
      </c>
      <c r="G93" s="119">
        <v>10975</v>
      </c>
    </row>
    <row r="94" spans="1:7" x14ac:dyDescent="0.3">
      <c r="A94" s="37" t="s">
        <v>173</v>
      </c>
      <c r="B94" s="5">
        <v>3</v>
      </c>
      <c r="D94" s="5">
        <v>5</v>
      </c>
      <c r="E94" s="33" t="s">
        <v>174</v>
      </c>
      <c r="F94" s="6" t="s">
        <v>274</v>
      </c>
      <c r="G94" s="119"/>
    </row>
    <row r="95" spans="1:7" x14ac:dyDescent="0.3">
      <c r="A95" s="29" t="s">
        <v>275</v>
      </c>
      <c r="B95" s="5">
        <v>5</v>
      </c>
      <c r="D95" s="5">
        <v>5</v>
      </c>
      <c r="E95" s="33" t="s">
        <v>276</v>
      </c>
      <c r="F95" s="6" t="s">
        <v>277</v>
      </c>
      <c r="G95" s="24">
        <f t="shared" ref="G95" si="19">SUM(G93:G94)</f>
        <v>10975</v>
      </c>
    </row>
    <row r="96" spans="1:7" ht="18" customHeight="1" x14ac:dyDescent="0.3">
      <c r="A96" s="27" t="s">
        <v>278</v>
      </c>
      <c r="D96" s="5">
        <v>4</v>
      </c>
      <c r="E96" s="28" t="s">
        <v>279</v>
      </c>
      <c r="F96" s="6" t="s">
        <v>280</v>
      </c>
      <c r="G96" s="26" t="s">
        <v>77</v>
      </c>
    </row>
    <row r="97" spans="1:8" x14ac:dyDescent="0.3">
      <c r="A97" s="37" t="s">
        <v>170</v>
      </c>
      <c r="B97" s="5">
        <v>2</v>
      </c>
      <c r="D97" s="5">
        <v>5</v>
      </c>
      <c r="E97" s="33" t="s">
        <v>171</v>
      </c>
      <c r="F97" s="6" t="s">
        <v>281</v>
      </c>
      <c r="G97" s="119"/>
    </row>
    <row r="98" spans="1:8" x14ac:dyDescent="0.3">
      <c r="A98" s="37" t="s">
        <v>173</v>
      </c>
      <c r="B98" s="5">
        <v>3</v>
      </c>
      <c r="D98" s="5">
        <v>5</v>
      </c>
      <c r="E98" s="33" t="s">
        <v>174</v>
      </c>
      <c r="F98" s="6" t="s">
        <v>282</v>
      </c>
      <c r="G98" s="119"/>
    </row>
    <row r="99" spans="1:8" x14ac:dyDescent="0.3">
      <c r="A99" s="29" t="s">
        <v>283</v>
      </c>
      <c r="B99" s="5">
        <v>5</v>
      </c>
      <c r="D99" s="5">
        <v>5</v>
      </c>
      <c r="E99" s="33" t="s">
        <v>284</v>
      </c>
      <c r="F99" s="6" t="s">
        <v>285</v>
      </c>
      <c r="G99" s="24">
        <f t="shared" ref="G99" si="20">SUM(G97:G98)</f>
        <v>0</v>
      </c>
      <c r="H99" s="172"/>
    </row>
    <row r="100" spans="1:8" ht="18.75" customHeight="1" x14ac:dyDescent="0.3">
      <c r="A100" s="27" t="s">
        <v>286</v>
      </c>
      <c r="D100" s="5">
        <v>4</v>
      </c>
      <c r="E100" s="28" t="s">
        <v>287</v>
      </c>
      <c r="F100" s="6" t="s">
        <v>288</v>
      </c>
      <c r="G100" s="26" t="s">
        <v>77</v>
      </c>
      <c r="H100" s="172"/>
    </row>
    <row r="101" spans="1:8" x14ac:dyDescent="0.3">
      <c r="A101" s="37" t="s">
        <v>170</v>
      </c>
      <c r="B101" s="5">
        <v>2</v>
      </c>
      <c r="D101" s="5">
        <v>5</v>
      </c>
      <c r="E101" s="33" t="s">
        <v>171</v>
      </c>
      <c r="F101" s="6" t="s">
        <v>289</v>
      </c>
      <c r="G101" s="119">
        <v>23649</v>
      </c>
      <c r="H101" s="172"/>
    </row>
    <row r="102" spans="1:8" x14ac:dyDescent="0.3">
      <c r="A102" s="37" t="s">
        <v>173</v>
      </c>
      <c r="B102" s="5">
        <v>3</v>
      </c>
      <c r="D102" s="5">
        <v>5</v>
      </c>
      <c r="E102" s="33" t="s">
        <v>174</v>
      </c>
      <c r="F102" s="6" t="s">
        <v>290</v>
      </c>
      <c r="G102" s="119"/>
      <c r="H102" s="172"/>
    </row>
    <row r="103" spans="1:8" x14ac:dyDescent="0.3">
      <c r="A103" s="29" t="s">
        <v>200</v>
      </c>
      <c r="B103" s="5">
        <v>5</v>
      </c>
      <c r="D103" s="5">
        <v>5</v>
      </c>
      <c r="E103" s="33" t="s">
        <v>197</v>
      </c>
      <c r="F103" s="6" t="s">
        <v>291</v>
      </c>
      <c r="G103" s="24">
        <f t="shared" ref="G103" si="21">SUM(G101:G102)</f>
        <v>23649</v>
      </c>
      <c r="H103" s="172"/>
    </row>
    <row r="104" spans="1:8" x14ac:dyDescent="0.3">
      <c r="A104" s="29" t="s">
        <v>201</v>
      </c>
      <c r="B104" s="5">
        <v>35</v>
      </c>
      <c r="D104" s="5">
        <v>4</v>
      </c>
      <c r="E104" s="31" t="s">
        <v>202</v>
      </c>
      <c r="F104" s="6" t="s">
        <v>292</v>
      </c>
      <c r="G104" s="24">
        <f t="shared" ref="G104" si="22">+G103+G99+G95+G87+G83+G79+G75+G91</f>
        <v>71567</v>
      </c>
    </row>
    <row r="105" spans="1:8" ht="18" customHeight="1" x14ac:dyDescent="0.3">
      <c r="A105" s="25" t="s">
        <v>293</v>
      </c>
      <c r="D105" s="5">
        <v>3</v>
      </c>
      <c r="E105" s="25" t="s">
        <v>294</v>
      </c>
      <c r="F105" s="6" t="s">
        <v>295</v>
      </c>
      <c r="G105" s="26"/>
    </row>
    <row r="106" spans="1:8" x14ac:dyDescent="0.3">
      <c r="A106" s="27" t="s">
        <v>296</v>
      </c>
      <c r="B106" s="5">
        <v>3</v>
      </c>
      <c r="D106" s="5">
        <v>4</v>
      </c>
      <c r="E106" s="28" t="s">
        <v>297</v>
      </c>
      <c r="F106" s="6" t="s">
        <v>298</v>
      </c>
      <c r="G106" s="119"/>
    </row>
    <row r="107" spans="1:8" x14ac:dyDescent="0.3">
      <c r="A107" s="27" t="s">
        <v>299</v>
      </c>
      <c r="B107" s="5">
        <v>3</v>
      </c>
      <c r="D107" s="5">
        <v>4</v>
      </c>
      <c r="E107" s="28" t="s">
        <v>300</v>
      </c>
      <c r="F107" s="6" t="s">
        <v>301</v>
      </c>
      <c r="G107" s="119"/>
    </row>
    <row r="108" spans="1:8" x14ac:dyDescent="0.3">
      <c r="A108" s="27" t="s">
        <v>302</v>
      </c>
      <c r="B108" s="5">
        <v>3</v>
      </c>
      <c r="D108" s="5">
        <v>4</v>
      </c>
      <c r="E108" s="28" t="s">
        <v>303</v>
      </c>
      <c r="F108" s="6" t="s">
        <v>304</v>
      </c>
      <c r="G108" s="119">
        <v>0</v>
      </c>
    </row>
    <row r="109" spans="1:8" x14ac:dyDescent="0.3">
      <c r="A109" s="54" t="s">
        <v>305</v>
      </c>
      <c r="E109" s="28"/>
      <c r="G109" s="119">
        <v>0</v>
      </c>
    </row>
    <row r="110" spans="1:8" x14ac:dyDescent="0.3">
      <c r="A110" s="27" t="s">
        <v>306</v>
      </c>
      <c r="B110" s="5">
        <v>3</v>
      </c>
      <c r="D110" s="5">
        <v>4</v>
      </c>
      <c r="E110" s="28" t="s">
        <v>307</v>
      </c>
      <c r="F110" s="6" t="s">
        <v>308</v>
      </c>
      <c r="G110" s="119">
        <v>0</v>
      </c>
    </row>
    <row r="111" spans="1:8" x14ac:dyDescent="0.3">
      <c r="A111" s="27" t="s">
        <v>309</v>
      </c>
      <c r="B111" s="5">
        <v>5</v>
      </c>
      <c r="D111" s="5">
        <v>4</v>
      </c>
      <c r="E111" s="28" t="s">
        <v>310</v>
      </c>
      <c r="F111" s="6" t="s">
        <v>311</v>
      </c>
      <c r="G111" s="119">
        <v>0</v>
      </c>
    </row>
    <row r="112" spans="1:8" x14ac:dyDescent="0.3">
      <c r="A112" s="27" t="s">
        <v>312</v>
      </c>
      <c r="B112" s="5">
        <v>3</v>
      </c>
      <c r="D112" s="5">
        <v>4</v>
      </c>
      <c r="E112" s="28" t="s">
        <v>313</v>
      </c>
      <c r="F112" s="6" t="s">
        <v>314</v>
      </c>
      <c r="G112" s="119"/>
    </row>
    <row r="113" spans="1:8" x14ac:dyDescent="0.3">
      <c r="A113" s="29" t="s">
        <v>315</v>
      </c>
      <c r="B113" s="5">
        <v>24</v>
      </c>
      <c r="D113" s="5">
        <v>4</v>
      </c>
      <c r="E113" s="31" t="s">
        <v>316</v>
      </c>
      <c r="F113" s="6" t="s">
        <v>317</v>
      </c>
      <c r="G113" s="24">
        <f t="shared" ref="G113" si="23">SUM(G106:G112)</f>
        <v>0</v>
      </c>
    </row>
    <row r="114" spans="1:8" ht="18" customHeight="1" x14ac:dyDescent="0.3">
      <c r="A114" s="25" t="s">
        <v>318</v>
      </c>
      <c r="D114" s="5">
        <v>3</v>
      </c>
      <c r="E114" s="25" t="s">
        <v>319</v>
      </c>
      <c r="F114" s="6" t="s">
        <v>320</v>
      </c>
      <c r="G114" s="26" t="s">
        <v>77</v>
      </c>
    </row>
    <row r="115" spans="1:8" x14ac:dyDescent="0.3">
      <c r="A115" s="27" t="s">
        <v>321</v>
      </c>
      <c r="B115" s="5">
        <v>4</v>
      </c>
      <c r="D115" s="5">
        <v>4</v>
      </c>
      <c r="E115" s="28" t="s">
        <v>322</v>
      </c>
      <c r="F115" s="6" t="s">
        <v>323</v>
      </c>
      <c r="G115" s="119">
        <v>358252</v>
      </c>
    </row>
    <row r="116" spans="1:8" x14ac:dyDescent="0.3">
      <c r="A116" s="27" t="s">
        <v>324</v>
      </c>
      <c r="B116" s="5">
        <v>4</v>
      </c>
      <c r="D116" s="5">
        <v>4</v>
      </c>
      <c r="E116" s="28" t="s">
        <v>325</v>
      </c>
      <c r="F116" s="6" t="s">
        <v>326</v>
      </c>
      <c r="G116" s="119"/>
    </row>
    <row r="117" spans="1:8" x14ac:dyDescent="0.3">
      <c r="A117" s="27" t="s">
        <v>327</v>
      </c>
      <c r="B117" s="5">
        <v>4</v>
      </c>
      <c r="D117" s="5">
        <v>4</v>
      </c>
      <c r="E117" s="28" t="s">
        <v>328</v>
      </c>
      <c r="F117" s="6" t="s">
        <v>329</v>
      </c>
      <c r="G117" s="119">
        <v>11907</v>
      </c>
    </row>
    <row r="118" spans="1:8" x14ac:dyDescent="0.3">
      <c r="A118" s="29" t="s">
        <v>330</v>
      </c>
      <c r="B118" s="5">
        <v>12</v>
      </c>
      <c r="D118" s="5">
        <v>4</v>
      </c>
      <c r="E118" s="31" t="s">
        <v>331</v>
      </c>
      <c r="F118" s="6" t="s">
        <v>332</v>
      </c>
      <c r="G118" s="24">
        <f t="shared" ref="G118" si="24">SUM(G115:G117)</f>
        <v>370159</v>
      </c>
    </row>
    <row r="119" spans="1:8" x14ac:dyDescent="0.3">
      <c r="A119" s="22" t="s">
        <v>333</v>
      </c>
      <c r="B119" s="5">
        <v>111</v>
      </c>
      <c r="D119" s="5">
        <v>3</v>
      </c>
      <c r="E119" s="23" t="s">
        <v>334</v>
      </c>
      <c r="F119" s="6" t="s">
        <v>335</v>
      </c>
      <c r="G119" s="36">
        <f t="shared" ref="G119" si="25">+G118+G113+G104+G70</f>
        <v>574367</v>
      </c>
    </row>
    <row r="120" spans="1:8" ht="18" customHeight="1" x14ac:dyDescent="0.3">
      <c r="A120" s="18" t="s">
        <v>336</v>
      </c>
      <c r="D120" s="5">
        <v>2</v>
      </c>
      <c r="E120" s="19" t="s">
        <v>337</v>
      </c>
      <c r="F120" s="6" t="s">
        <v>338</v>
      </c>
      <c r="G120" s="26" t="s">
        <v>77</v>
      </c>
    </row>
    <row r="121" spans="1:8" ht="18" customHeight="1" x14ac:dyDescent="0.3">
      <c r="A121" s="20" t="s">
        <v>339</v>
      </c>
      <c r="B121" s="5">
        <v>43</v>
      </c>
      <c r="D121" s="5">
        <v>3</v>
      </c>
      <c r="E121" s="21" t="s">
        <v>340</v>
      </c>
      <c r="F121" s="6" t="s">
        <v>341</v>
      </c>
      <c r="G121" s="119">
        <v>12624</v>
      </c>
    </row>
    <row r="122" spans="1:8" x14ac:dyDescent="0.3">
      <c r="A122" s="20" t="s">
        <v>342</v>
      </c>
      <c r="B122" s="5">
        <v>65</v>
      </c>
      <c r="D122" s="5">
        <v>3</v>
      </c>
      <c r="E122" s="21" t="s">
        <v>343</v>
      </c>
      <c r="F122" s="6" t="s">
        <v>344</v>
      </c>
      <c r="G122" s="119"/>
    </row>
    <row r="123" spans="1:8" x14ac:dyDescent="0.3">
      <c r="A123" s="22" t="s">
        <v>345</v>
      </c>
      <c r="B123" s="5">
        <v>108</v>
      </c>
      <c r="D123" s="5">
        <v>3</v>
      </c>
      <c r="E123" s="23" t="s">
        <v>346</v>
      </c>
      <c r="F123" s="6" t="s">
        <v>347</v>
      </c>
      <c r="G123" s="36">
        <f t="shared" ref="G123" si="26">SUM(G121:G122)</f>
        <v>12624</v>
      </c>
      <c r="H123" s="43"/>
    </row>
    <row r="124" spans="1:8" ht="18" customHeight="1" x14ac:dyDescent="0.3">
      <c r="A124" s="17" t="s">
        <v>348</v>
      </c>
      <c r="B124" s="38">
        <v>419</v>
      </c>
      <c r="C124" s="38"/>
      <c r="D124" s="38">
        <v>2</v>
      </c>
      <c r="E124" s="39" t="s">
        <v>349</v>
      </c>
      <c r="F124" s="38" t="s">
        <v>350</v>
      </c>
      <c r="G124" s="40">
        <f t="shared" ref="G124" si="27">+G123+G119+G62+G11</f>
        <v>796189</v>
      </c>
    </row>
    <row r="125" spans="1:8" ht="18" customHeight="1" x14ac:dyDescent="0.3">
      <c r="A125" s="16" t="s">
        <v>351</v>
      </c>
      <c r="D125" s="5">
        <v>1</v>
      </c>
      <c r="E125" s="17" t="s">
        <v>352</v>
      </c>
      <c r="F125" s="6" t="s">
        <v>351</v>
      </c>
      <c r="G125" s="26" t="s">
        <v>77</v>
      </c>
    </row>
    <row r="126" spans="1:8" ht="18" customHeight="1" x14ac:dyDescent="0.3">
      <c r="A126" s="18" t="s">
        <v>353</v>
      </c>
      <c r="D126" s="5">
        <v>2</v>
      </c>
      <c r="E126" s="19" t="s">
        <v>354</v>
      </c>
      <c r="F126" s="6" t="s">
        <v>355</v>
      </c>
      <c r="G126" s="26" t="s">
        <v>77</v>
      </c>
    </row>
    <row r="127" spans="1:8" ht="18" customHeight="1" x14ac:dyDescent="0.3">
      <c r="A127" s="21" t="s">
        <v>356</v>
      </c>
      <c r="B127" s="5">
        <v>12</v>
      </c>
      <c r="D127" s="5">
        <v>3</v>
      </c>
      <c r="E127" s="21" t="s">
        <v>357</v>
      </c>
      <c r="F127" s="6" t="s">
        <v>358</v>
      </c>
      <c r="G127" s="119">
        <v>106932</v>
      </c>
    </row>
    <row r="128" spans="1:8" x14ac:dyDescent="0.3">
      <c r="A128" s="21" t="s">
        <v>359</v>
      </c>
      <c r="B128" s="5">
        <v>21</v>
      </c>
      <c r="D128" s="5">
        <v>3</v>
      </c>
      <c r="E128" s="21" t="s">
        <v>360</v>
      </c>
      <c r="F128" s="6" t="s">
        <v>361</v>
      </c>
      <c r="G128" s="119"/>
      <c r="H128" s="43"/>
    </row>
    <row r="129" spans="1:7" x14ac:dyDescent="0.3">
      <c r="A129" s="21" t="s">
        <v>362</v>
      </c>
      <c r="B129" s="5">
        <v>32</v>
      </c>
      <c r="D129" s="5">
        <v>3</v>
      </c>
      <c r="E129" s="21" t="s">
        <v>363</v>
      </c>
      <c r="F129" s="6" t="s">
        <v>364</v>
      </c>
      <c r="G129" s="119"/>
    </row>
    <row r="130" spans="1:7" x14ac:dyDescent="0.3">
      <c r="A130" s="21" t="s">
        <v>365</v>
      </c>
      <c r="B130" s="5">
        <v>43</v>
      </c>
      <c r="D130" s="5">
        <v>3</v>
      </c>
      <c r="E130" s="21" t="s">
        <v>366</v>
      </c>
      <c r="F130" s="6" t="s">
        <v>367</v>
      </c>
      <c r="G130" s="119">
        <v>108798</v>
      </c>
    </row>
    <row r="131" spans="1:7" x14ac:dyDescent="0.3">
      <c r="A131" s="21" t="s">
        <v>368</v>
      </c>
      <c r="B131" s="5">
        <v>45</v>
      </c>
      <c r="D131" s="5">
        <v>3</v>
      </c>
      <c r="E131" s="21" t="s">
        <v>369</v>
      </c>
      <c r="F131" s="6" t="s">
        <v>370</v>
      </c>
      <c r="G131" s="119"/>
    </row>
    <row r="132" spans="1:7" ht="18" customHeight="1" x14ac:dyDescent="0.3">
      <c r="A132" s="21" t="s">
        <v>371</v>
      </c>
      <c r="D132" s="5">
        <v>3</v>
      </c>
      <c r="E132" s="21" t="s">
        <v>372</v>
      </c>
      <c r="F132" s="6" t="s">
        <v>373</v>
      </c>
      <c r="G132" s="40">
        <f t="shared" ref="G132" si="28">SUM(G133:G147)</f>
        <v>0</v>
      </c>
    </row>
    <row r="133" spans="1:7" x14ac:dyDescent="0.3">
      <c r="A133" s="41" t="s">
        <v>374</v>
      </c>
      <c r="B133" s="5">
        <v>1</v>
      </c>
      <c r="D133" s="5">
        <v>4</v>
      </c>
      <c r="E133" s="28" t="s">
        <v>375</v>
      </c>
      <c r="F133" s="6" t="s">
        <v>376</v>
      </c>
      <c r="G133" s="119"/>
    </row>
    <row r="134" spans="1:7" x14ac:dyDescent="0.3">
      <c r="A134" s="41" t="s">
        <v>377</v>
      </c>
      <c r="B134" s="5">
        <v>1</v>
      </c>
      <c r="D134" s="5">
        <v>4</v>
      </c>
      <c r="E134" s="28" t="s">
        <v>378</v>
      </c>
      <c r="F134" s="6" t="s">
        <v>379</v>
      </c>
      <c r="G134" s="119"/>
    </row>
    <row r="135" spans="1:7" x14ac:dyDescent="0.3">
      <c r="A135" s="41" t="s">
        <v>380</v>
      </c>
      <c r="B135" s="5">
        <v>1</v>
      </c>
      <c r="D135" s="5">
        <v>4</v>
      </c>
      <c r="E135" s="28" t="s">
        <v>381</v>
      </c>
      <c r="F135" s="6" t="s">
        <v>382</v>
      </c>
      <c r="G135" s="119"/>
    </row>
    <row r="136" spans="1:7" x14ac:dyDescent="0.3">
      <c r="A136" s="41" t="s">
        <v>383</v>
      </c>
      <c r="B136" s="5">
        <v>1</v>
      </c>
      <c r="D136" s="5">
        <v>4</v>
      </c>
      <c r="E136" s="28" t="s">
        <v>384</v>
      </c>
      <c r="F136" s="6" t="s">
        <v>385</v>
      </c>
      <c r="G136" s="119"/>
    </row>
    <row r="137" spans="1:7" x14ac:dyDescent="0.3">
      <c r="A137" s="41" t="s">
        <v>386</v>
      </c>
      <c r="B137" s="5">
        <v>1</v>
      </c>
      <c r="D137" s="5">
        <v>4</v>
      </c>
      <c r="E137" s="28" t="s">
        <v>387</v>
      </c>
      <c r="F137" s="6" t="s">
        <v>388</v>
      </c>
      <c r="G137" s="119">
        <v>0</v>
      </c>
    </row>
    <row r="138" spans="1:7" x14ac:dyDescent="0.3">
      <c r="A138" s="41" t="s">
        <v>389</v>
      </c>
      <c r="B138" s="5">
        <v>1</v>
      </c>
      <c r="D138" s="5">
        <v>4</v>
      </c>
      <c r="E138" s="28" t="s">
        <v>390</v>
      </c>
      <c r="F138" s="6" t="s">
        <v>391</v>
      </c>
      <c r="G138" s="119">
        <v>0</v>
      </c>
    </row>
    <row r="139" spans="1:7" x14ac:dyDescent="0.3">
      <c r="A139" s="41" t="s">
        <v>392</v>
      </c>
      <c r="B139" s="5">
        <v>1</v>
      </c>
      <c r="D139" s="5">
        <v>4</v>
      </c>
      <c r="E139" s="28" t="s">
        <v>393</v>
      </c>
      <c r="F139" s="6" t="s">
        <v>394</v>
      </c>
      <c r="G139" s="119">
        <v>0</v>
      </c>
    </row>
    <row r="140" spans="1:7" x14ac:dyDescent="0.3">
      <c r="A140" s="41" t="s">
        <v>395</v>
      </c>
      <c r="B140" s="5">
        <v>1</v>
      </c>
      <c r="D140" s="5">
        <v>4</v>
      </c>
      <c r="E140" s="28" t="s">
        <v>396</v>
      </c>
      <c r="F140" s="6" t="s">
        <v>397</v>
      </c>
      <c r="G140" s="119">
        <v>0</v>
      </c>
    </row>
    <row r="141" spans="1:7" x14ac:dyDescent="0.3">
      <c r="A141" s="41" t="s">
        <v>398</v>
      </c>
      <c r="B141" s="5">
        <v>1</v>
      </c>
      <c r="D141" s="5">
        <v>4</v>
      </c>
      <c r="E141" s="28" t="s">
        <v>399</v>
      </c>
      <c r="F141" s="6" t="s">
        <v>400</v>
      </c>
      <c r="G141" s="119">
        <v>0</v>
      </c>
    </row>
    <row r="142" spans="1:7" x14ac:dyDescent="0.3">
      <c r="A142" s="41" t="s">
        <v>401</v>
      </c>
      <c r="B142" s="5">
        <v>1</v>
      </c>
      <c r="D142" s="5">
        <v>4</v>
      </c>
      <c r="E142" s="28"/>
      <c r="F142" s="6" t="s">
        <v>402</v>
      </c>
      <c r="G142" s="119">
        <v>0</v>
      </c>
    </row>
    <row r="143" spans="1:7" x14ac:dyDescent="0.3">
      <c r="A143" s="41" t="s">
        <v>403</v>
      </c>
      <c r="B143" s="5">
        <v>1</v>
      </c>
      <c r="D143" s="5">
        <v>4</v>
      </c>
      <c r="E143" s="28"/>
      <c r="F143" s="6" t="s">
        <v>404</v>
      </c>
      <c r="G143" s="119">
        <v>0</v>
      </c>
    </row>
    <row r="144" spans="1:7" x14ac:dyDescent="0.3">
      <c r="A144" s="41" t="s">
        <v>405</v>
      </c>
      <c r="B144" s="5">
        <v>1</v>
      </c>
      <c r="D144" s="5">
        <v>4</v>
      </c>
      <c r="E144" s="28" t="s">
        <v>406</v>
      </c>
      <c r="F144" s="6" t="s">
        <v>407</v>
      </c>
      <c r="G144" s="119">
        <v>0</v>
      </c>
    </row>
    <row r="145" spans="1:7" x14ac:dyDescent="0.3">
      <c r="A145" s="41" t="s">
        <v>408</v>
      </c>
      <c r="B145" s="5">
        <v>1</v>
      </c>
      <c r="D145" s="5">
        <v>4</v>
      </c>
      <c r="E145" s="28" t="s">
        <v>409</v>
      </c>
      <c r="F145" s="6" t="s">
        <v>410</v>
      </c>
      <c r="G145" s="119">
        <v>0</v>
      </c>
    </row>
    <row r="146" spans="1:7" x14ac:dyDescent="0.3">
      <c r="A146" s="41" t="s">
        <v>411</v>
      </c>
      <c r="B146" s="5">
        <v>1</v>
      </c>
      <c r="D146" s="5">
        <v>4</v>
      </c>
      <c r="E146" s="28" t="s">
        <v>412</v>
      </c>
      <c r="F146" s="6" t="s">
        <v>413</v>
      </c>
      <c r="G146" s="119">
        <v>0</v>
      </c>
    </row>
    <row r="147" spans="1:7" x14ac:dyDescent="0.3">
      <c r="A147" s="41" t="s">
        <v>753</v>
      </c>
      <c r="B147" s="5">
        <v>1</v>
      </c>
      <c r="D147" s="5">
        <v>4</v>
      </c>
      <c r="E147" s="28" t="s">
        <v>414</v>
      </c>
      <c r="F147" s="6" t="s">
        <v>415</v>
      </c>
      <c r="G147" s="119"/>
    </row>
    <row r="148" spans="1:7" ht="18" customHeight="1" x14ac:dyDescent="0.3">
      <c r="A148" s="41" t="s">
        <v>416</v>
      </c>
      <c r="D148" s="5">
        <v>4</v>
      </c>
      <c r="E148" s="28" t="s">
        <v>417</v>
      </c>
      <c r="F148" s="6" t="s">
        <v>418</v>
      </c>
      <c r="G148" s="26"/>
    </row>
    <row r="149" spans="1:7" x14ac:dyDescent="0.3">
      <c r="A149" s="32" t="s">
        <v>419</v>
      </c>
      <c r="B149" s="5">
        <v>1</v>
      </c>
      <c r="D149" s="5">
        <v>5</v>
      </c>
      <c r="E149" s="33" t="s">
        <v>420</v>
      </c>
      <c r="F149" s="6" t="s">
        <v>421</v>
      </c>
      <c r="G149" s="119">
        <v>0</v>
      </c>
    </row>
    <row r="150" spans="1:7" x14ac:dyDescent="0.3">
      <c r="A150" s="32" t="s">
        <v>422</v>
      </c>
      <c r="B150" s="5">
        <v>1</v>
      </c>
      <c r="D150" s="5">
        <v>5</v>
      </c>
      <c r="E150" s="33" t="s">
        <v>423</v>
      </c>
      <c r="F150" s="6" t="s">
        <v>424</v>
      </c>
      <c r="G150" s="119">
        <v>0</v>
      </c>
    </row>
    <row r="151" spans="1:7" x14ac:dyDescent="0.3">
      <c r="A151" s="32" t="s">
        <v>425</v>
      </c>
      <c r="B151" s="5">
        <v>1</v>
      </c>
      <c r="D151" s="5">
        <v>5</v>
      </c>
      <c r="E151" s="33" t="s">
        <v>426</v>
      </c>
      <c r="F151" s="6" t="s">
        <v>427</v>
      </c>
      <c r="G151" s="119">
        <v>251438</v>
      </c>
    </row>
    <row r="152" spans="1:7" x14ac:dyDescent="0.3">
      <c r="A152" s="32" t="s">
        <v>428</v>
      </c>
      <c r="B152" s="5">
        <v>1</v>
      </c>
      <c r="D152" s="5">
        <v>5</v>
      </c>
      <c r="E152" s="33"/>
      <c r="F152" s="6" t="s">
        <v>429</v>
      </c>
      <c r="G152" s="119">
        <v>0</v>
      </c>
    </row>
    <row r="153" spans="1:7" x14ac:dyDescent="0.3">
      <c r="A153" s="29" t="s">
        <v>430</v>
      </c>
      <c r="B153" s="5">
        <v>4</v>
      </c>
      <c r="D153" s="5">
        <v>5</v>
      </c>
      <c r="E153" s="33" t="s">
        <v>431</v>
      </c>
      <c r="F153" s="6" t="s">
        <v>432</v>
      </c>
      <c r="G153" s="40">
        <f t="shared" ref="G153" si="29">SUM(G149:G152)</f>
        <v>251438</v>
      </c>
    </row>
    <row r="154" spans="1:7" ht="12.75" customHeight="1" x14ac:dyDescent="0.3">
      <c r="A154" s="57" t="s">
        <v>433</v>
      </c>
      <c r="B154" s="5">
        <v>1</v>
      </c>
      <c r="D154" s="5">
        <v>4</v>
      </c>
      <c r="E154" s="28" t="s">
        <v>434</v>
      </c>
      <c r="F154" s="6" t="s">
        <v>435</v>
      </c>
      <c r="G154" s="10">
        <v>0</v>
      </c>
    </row>
    <row r="155" spans="1:7" x14ac:dyDescent="0.3">
      <c r="A155" s="29" t="s">
        <v>436</v>
      </c>
      <c r="B155" s="5">
        <v>20</v>
      </c>
      <c r="D155" s="5">
        <v>4</v>
      </c>
      <c r="E155" s="28" t="s">
        <v>437</v>
      </c>
      <c r="F155" s="6" t="s">
        <v>438</v>
      </c>
      <c r="G155" s="40">
        <f t="shared" ref="G155" si="30">+G153+G132+G154</f>
        <v>251438</v>
      </c>
    </row>
    <row r="156" spans="1:7" ht="18" customHeight="1" x14ac:dyDescent="0.3">
      <c r="A156" s="21" t="s">
        <v>439</v>
      </c>
      <c r="B156" s="5">
        <v>23</v>
      </c>
      <c r="D156" s="5">
        <v>3</v>
      </c>
      <c r="E156" s="21" t="s">
        <v>440</v>
      </c>
      <c r="F156" s="6" t="s">
        <v>441</v>
      </c>
      <c r="G156" s="119"/>
    </row>
    <row r="157" spans="1:7" ht="18" customHeight="1" x14ac:dyDescent="0.3">
      <c r="A157" s="21" t="s">
        <v>442</v>
      </c>
      <c r="D157" s="5">
        <v>3</v>
      </c>
      <c r="E157" s="21" t="s">
        <v>443</v>
      </c>
      <c r="F157" s="6" t="s">
        <v>444</v>
      </c>
      <c r="G157" s="40"/>
    </row>
    <row r="158" spans="1:7" x14ac:dyDescent="0.3">
      <c r="A158" s="41" t="s">
        <v>445</v>
      </c>
      <c r="B158" s="5">
        <v>10</v>
      </c>
      <c r="D158" s="5">
        <v>4</v>
      </c>
      <c r="E158" s="28" t="s">
        <v>446</v>
      </c>
      <c r="F158" s="6" t="s">
        <v>447</v>
      </c>
      <c r="G158" s="119">
        <v>-94460</v>
      </c>
    </row>
    <row r="159" spans="1:7" x14ac:dyDescent="0.3">
      <c r="A159" s="41" t="s">
        <v>448</v>
      </c>
      <c r="B159" s="5">
        <v>3</v>
      </c>
      <c r="D159" s="5">
        <v>4</v>
      </c>
      <c r="E159" s="28" t="s">
        <v>449</v>
      </c>
      <c r="F159" s="6" t="s">
        <v>450</v>
      </c>
      <c r="G159" s="119"/>
    </row>
    <row r="160" spans="1:7" x14ac:dyDescent="0.3">
      <c r="A160" s="41" t="s">
        <v>451</v>
      </c>
      <c r="B160" s="5">
        <v>6</v>
      </c>
      <c r="D160" s="5">
        <v>4</v>
      </c>
      <c r="E160" s="28" t="s">
        <v>452</v>
      </c>
      <c r="F160" s="6" t="s">
        <v>453</v>
      </c>
      <c r="G160" s="119"/>
    </row>
    <row r="161" spans="1:7" x14ac:dyDescent="0.3">
      <c r="A161" s="29" t="s">
        <v>454</v>
      </c>
      <c r="B161" s="5">
        <v>13</v>
      </c>
      <c r="D161" s="5">
        <v>4</v>
      </c>
      <c r="E161" s="28" t="s">
        <v>455</v>
      </c>
      <c r="F161" s="6" t="s">
        <v>456</v>
      </c>
      <c r="G161" s="40">
        <f t="shared" ref="G161" si="31">SUM(G158:G160)</f>
        <v>-94460</v>
      </c>
    </row>
    <row r="162" spans="1:7" x14ac:dyDescent="0.3">
      <c r="A162" s="57" t="s">
        <v>457</v>
      </c>
      <c r="E162" s="28"/>
      <c r="G162" s="119">
        <v>0</v>
      </c>
    </row>
    <row r="163" spans="1:7" ht="18" customHeight="1" x14ac:dyDescent="0.3">
      <c r="A163" s="22" t="s">
        <v>458</v>
      </c>
      <c r="B163" s="5">
        <v>242</v>
      </c>
      <c r="D163" s="5">
        <v>3</v>
      </c>
      <c r="E163" s="23" t="s">
        <v>459</v>
      </c>
      <c r="F163" s="6" t="s">
        <v>460</v>
      </c>
      <c r="G163" s="36">
        <f t="shared" ref="G163" si="32">+G161+G156+G155+G131+G130+G129+G128+G127+G162</f>
        <v>372708</v>
      </c>
    </row>
    <row r="164" spans="1:7" ht="18" customHeight="1" x14ac:dyDescent="0.3">
      <c r="A164" s="18" t="s">
        <v>461</v>
      </c>
      <c r="D164" s="5">
        <v>2</v>
      </c>
      <c r="E164" s="19" t="s">
        <v>462</v>
      </c>
      <c r="F164" s="6" t="s">
        <v>463</v>
      </c>
      <c r="G164" s="26" t="s">
        <v>77</v>
      </c>
    </row>
    <row r="165" spans="1:7" x14ac:dyDescent="0.3">
      <c r="A165" s="21" t="s">
        <v>464</v>
      </c>
      <c r="B165" s="5">
        <v>1</v>
      </c>
      <c r="D165" s="5">
        <v>3</v>
      </c>
      <c r="E165" s="21" t="s">
        <v>465</v>
      </c>
      <c r="F165" s="6" t="s">
        <v>466</v>
      </c>
      <c r="G165" s="119"/>
    </row>
    <row r="166" spans="1:7" x14ac:dyDescent="0.3">
      <c r="A166" s="21" t="s">
        <v>467</v>
      </c>
      <c r="B166" s="5">
        <v>1</v>
      </c>
      <c r="D166" s="5">
        <v>3</v>
      </c>
      <c r="E166" s="21" t="s">
        <v>468</v>
      </c>
      <c r="F166" s="6" t="s">
        <v>469</v>
      </c>
      <c r="G166" s="119"/>
    </row>
    <row r="167" spans="1:7" x14ac:dyDescent="0.3">
      <c r="A167" s="57" t="s">
        <v>470</v>
      </c>
      <c r="E167" s="21"/>
      <c r="G167" s="119"/>
    </row>
    <row r="168" spans="1:7" x14ac:dyDescent="0.3">
      <c r="A168" s="21" t="s">
        <v>471</v>
      </c>
      <c r="B168" s="5">
        <v>1</v>
      </c>
      <c r="D168" s="5">
        <v>3</v>
      </c>
      <c r="E168" s="21" t="s">
        <v>472</v>
      </c>
      <c r="F168" s="6" t="s">
        <v>473</v>
      </c>
      <c r="G168" s="119"/>
    </row>
    <row r="169" spans="1:7" x14ac:dyDescent="0.3">
      <c r="A169" s="22" t="s">
        <v>474</v>
      </c>
      <c r="B169" s="5">
        <v>3</v>
      </c>
      <c r="D169" s="5">
        <v>3</v>
      </c>
      <c r="E169" s="23" t="s">
        <v>475</v>
      </c>
      <c r="F169" s="6" t="s">
        <v>476</v>
      </c>
      <c r="G169" s="40">
        <f t="shared" ref="G169" si="33">SUM(G165:G168)</f>
        <v>0</v>
      </c>
    </row>
    <row r="170" spans="1:7" ht="18" customHeight="1" x14ac:dyDescent="0.3">
      <c r="A170" s="18" t="s">
        <v>477</v>
      </c>
      <c r="B170" s="5">
        <v>34</v>
      </c>
      <c r="D170" s="5">
        <v>2</v>
      </c>
      <c r="E170" s="19" t="s">
        <v>478</v>
      </c>
      <c r="F170" s="6" t="s">
        <v>479</v>
      </c>
      <c r="G170" s="119">
        <v>121229</v>
      </c>
    </row>
    <row r="171" spans="1:7" ht="18" customHeight="1" x14ac:dyDescent="0.3">
      <c r="A171" s="18" t="s">
        <v>480</v>
      </c>
      <c r="D171" s="5">
        <v>2</v>
      </c>
      <c r="E171" s="19" t="s">
        <v>481</v>
      </c>
      <c r="F171" s="6" t="s">
        <v>482</v>
      </c>
      <c r="G171" s="26"/>
    </row>
    <row r="172" spans="1:7" ht="18" customHeight="1" x14ac:dyDescent="0.3">
      <c r="A172" s="21" t="s">
        <v>483</v>
      </c>
      <c r="D172" s="5">
        <v>3</v>
      </c>
      <c r="E172" s="21" t="s">
        <v>484</v>
      </c>
      <c r="F172" s="6" t="s">
        <v>485</v>
      </c>
      <c r="G172" s="26" t="s">
        <v>77</v>
      </c>
    </row>
    <row r="173" spans="1:7" x14ac:dyDescent="0.3">
      <c r="A173" s="27" t="s">
        <v>170</v>
      </c>
      <c r="B173" s="5">
        <v>1</v>
      </c>
      <c r="D173" s="5">
        <v>4</v>
      </c>
      <c r="E173" s="28" t="s">
        <v>171</v>
      </c>
      <c r="F173" s="6" t="s">
        <v>486</v>
      </c>
      <c r="G173" s="119">
        <v>0</v>
      </c>
    </row>
    <row r="174" spans="1:7" x14ac:dyDescent="0.3">
      <c r="A174" s="27" t="s">
        <v>173</v>
      </c>
      <c r="B174" s="5">
        <v>1</v>
      </c>
      <c r="D174" s="5">
        <v>4</v>
      </c>
      <c r="E174" s="28" t="s">
        <v>174</v>
      </c>
      <c r="F174" s="6" t="s">
        <v>487</v>
      </c>
      <c r="G174" s="119"/>
    </row>
    <row r="175" spans="1:7" x14ac:dyDescent="0.3">
      <c r="A175" s="29" t="s">
        <v>488</v>
      </c>
      <c r="B175" s="5">
        <v>2</v>
      </c>
      <c r="D175" s="5">
        <v>4</v>
      </c>
      <c r="E175" s="28" t="s">
        <v>489</v>
      </c>
      <c r="F175" s="6" t="s">
        <v>490</v>
      </c>
      <c r="G175" s="40">
        <f t="shared" ref="G175" si="34">SUM(G173:G174)</f>
        <v>0</v>
      </c>
    </row>
    <row r="176" spans="1:7" ht="17.25" customHeight="1" x14ac:dyDescent="0.3">
      <c r="A176" s="21" t="s">
        <v>491</v>
      </c>
      <c r="D176" s="5">
        <v>3</v>
      </c>
      <c r="E176" s="21" t="s">
        <v>492</v>
      </c>
      <c r="F176" s="6" t="s">
        <v>493</v>
      </c>
      <c r="G176" s="26" t="s">
        <v>77</v>
      </c>
    </row>
    <row r="177" spans="1:7" x14ac:dyDescent="0.3">
      <c r="A177" s="27" t="s">
        <v>170</v>
      </c>
      <c r="B177" s="5">
        <v>1</v>
      </c>
      <c r="D177" s="5">
        <v>4</v>
      </c>
      <c r="E177" s="28" t="s">
        <v>171</v>
      </c>
      <c r="F177" s="6" t="s">
        <v>494</v>
      </c>
      <c r="G177" s="119">
        <v>0</v>
      </c>
    </row>
    <row r="178" spans="1:7" x14ac:dyDescent="0.3">
      <c r="A178" s="27" t="s">
        <v>173</v>
      </c>
      <c r="B178" s="5">
        <v>1</v>
      </c>
      <c r="D178" s="5">
        <v>4</v>
      </c>
      <c r="E178" s="28" t="s">
        <v>174</v>
      </c>
      <c r="F178" s="6" t="s">
        <v>495</v>
      </c>
      <c r="G178" s="119">
        <v>0</v>
      </c>
    </row>
    <row r="179" spans="1:7" x14ac:dyDescent="0.3">
      <c r="A179" s="29" t="s">
        <v>496</v>
      </c>
      <c r="B179" s="5">
        <v>2</v>
      </c>
      <c r="D179" s="5">
        <v>4</v>
      </c>
      <c r="E179" s="28" t="s">
        <v>497</v>
      </c>
      <c r="F179" s="6" t="s">
        <v>498</v>
      </c>
      <c r="G179" s="40">
        <f t="shared" ref="G179" si="35">SUM(G177:G178)</f>
        <v>0</v>
      </c>
    </row>
    <row r="180" spans="1:7" ht="18" customHeight="1" x14ac:dyDescent="0.3">
      <c r="A180" s="21" t="s">
        <v>499</v>
      </c>
      <c r="D180" s="5">
        <v>3</v>
      </c>
      <c r="E180" s="21" t="s">
        <v>500</v>
      </c>
      <c r="F180" s="6" t="s">
        <v>501</v>
      </c>
      <c r="G180" s="26" t="s">
        <v>77</v>
      </c>
    </row>
    <row r="181" spans="1:7" x14ac:dyDescent="0.3">
      <c r="A181" s="27" t="s">
        <v>170</v>
      </c>
      <c r="B181" s="5">
        <v>1</v>
      </c>
      <c r="D181" s="5">
        <v>4</v>
      </c>
      <c r="E181" s="28" t="s">
        <v>171</v>
      </c>
      <c r="F181" s="6" t="s">
        <v>502</v>
      </c>
      <c r="G181" s="119">
        <v>65768</v>
      </c>
    </row>
    <row r="182" spans="1:7" x14ac:dyDescent="0.3">
      <c r="A182" s="27" t="s">
        <v>173</v>
      </c>
      <c r="B182" s="5">
        <v>1</v>
      </c>
      <c r="D182" s="5">
        <v>4</v>
      </c>
      <c r="E182" s="28" t="s">
        <v>174</v>
      </c>
      <c r="F182" s="6" t="s">
        <v>503</v>
      </c>
      <c r="G182" s="119"/>
    </row>
    <row r="183" spans="1:7" x14ac:dyDescent="0.3">
      <c r="A183" s="29" t="s">
        <v>504</v>
      </c>
      <c r="B183" s="5">
        <v>2</v>
      </c>
      <c r="D183" s="5">
        <v>4</v>
      </c>
      <c r="E183" s="28" t="s">
        <v>505</v>
      </c>
      <c r="F183" s="6" t="s">
        <v>506</v>
      </c>
      <c r="G183" s="40">
        <f t="shared" ref="G183" si="36">SUM(G181:G182)</f>
        <v>65768</v>
      </c>
    </row>
    <row r="184" spans="1:7" ht="18" customHeight="1" x14ac:dyDescent="0.3">
      <c r="A184" s="21" t="s">
        <v>507</v>
      </c>
      <c r="D184" s="5">
        <v>3</v>
      </c>
      <c r="E184" s="21" t="s">
        <v>508</v>
      </c>
      <c r="F184" s="6" t="s">
        <v>509</v>
      </c>
      <c r="G184" s="26" t="s">
        <v>77</v>
      </c>
    </row>
    <row r="185" spans="1:7" x14ac:dyDescent="0.3">
      <c r="A185" s="27" t="s">
        <v>170</v>
      </c>
      <c r="B185" s="5">
        <v>1</v>
      </c>
      <c r="D185" s="5">
        <v>4</v>
      </c>
      <c r="E185" s="28" t="s">
        <v>171</v>
      </c>
      <c r="F185" s="6" t="s">
        <v>510</v>
      </c>
      <c r="G185" s="119"/>
    </row>
    <row r="186" spans="1:7" x14ac:dyDescent="0.3">
      <c r="A186" s="27" t="s">
        <v>173</v>
      </c>
      <c r="B186" s="5">
        <v>1</v>
      </c>
      <c r="D186" s="5">
        <v>4</v>
      </c>
      <c r="E186" s="28" t="s">
        <v>174</v>
      </c>
      <c r="F186" s="6" t="s">
        <v>511</v>
      </c>
      <c r="G186" s="119"/>
    </row>
    <row r="187" spans="1:7" x14ac:dyDescent="0.3">
      <c r="A187" s="29" t="s">
        <v>512</v>
      </c>
      <c r="B187" s="5">
        <v>2</v>
      </c>
      <c r="D187" s="5">
        <v>4</v>
      </c>
      <c r="E187" s="28" t="s">
        <v>513</v>
      </c>
      <c r="F187" s="6" t="s">
        <v>514</v>
      </c>
      <c r="G187" s="40">
        <f t="shared" ref="G187" si="37">SUM(G185:G186)</f>
        <v>0</v>
      </c>
    </row>
    <row r="188" spans="1:7" ht="18" customHeight="1" x14ac:dyDescent="0.3">
      <c r="A188" s="21" t="s">
        <v>515</v>
      </c>
      <c r="D188" s="5">
        <v>3</v>
      </c>
      <c r="E188" s="21" t="s">
        <v>516</v>
      </c>
      <c r="F188" s="6" t="s">
        <v>517</v>
      </c>
      <c r="G188" s="26" t="s">
        <v>77</v>
      </c>
    </row>
    <row r="189" spans="1:7" x14ac:dyDescent="0.3">
      <c r="A189" s="27" t="s">
        <v>170</v>
      </c>
      <c r="B189" s="5">
        <v>1</v>
      </c>
      <c r="D189" s="5">
        <v>4</v>
      </c>
      <c r="E189" s="28" t="s">
        <v>171</v>
      </c>
      <c r="F189" s="6" t="s">
        <v>518</v>
      </c>
      <c r="G189" s="119"/>
    </row>
    <row r="190" spans="1:7" x14ac:dyDescent="0.3">
      <c r="A190" s="27" t="s">
        <v>173</v>
      </c>
      <c r="B190" s="5">
        <v>1</v>
      </c>
      <c r="D190" s="5">
        <v>4</v>
      </c>
      <c r="E190" s="28" t="s">
        <v>174</v>
      </c>
      <c r="F190" s="6" t="s">
        <v>519</v>
      </c>
      <c r="G190" s="119"/>
    </row>
    <row r="191" spans="1:7" x14ac:dyDescent="0.3">
      <c r="A191" s="29" t="s">
        <v>520</v>
      </c>
      <c r="B191" s="5">
        <v>2</v>
      </c>
      <c r="D191" s="5">
        <v>4</v>
      </c>
      <c r="E191" s="28" t="s">
        <v>521</v>
      </c>
      <c r="F191" s="6" t="s">
        <v>522</v>
      </c>
      <c r="G191" s="40">
        <f t="shared" ref="G191" si="38">SUM(G189:G190)</f>
        <v>0</v>
      </c>
    </row>
    <row r="192" spans="1:7" ht="18" customHeight="1" x14ac:dyDescent="0.3">
      <c r="A192" s="21" t="s">
        <v>523</v>
      </c>
      <c r="D192" s="5">
        <v>3</v>
      </c>
      <c r="E192" s="21" t="s">
        <v>524</v>
      </c>
      <c r="F192" s="6" t="s">
        <v>525</v>
      </c>
      <c r="G192" s="26" t="s">
        <v>77</v>
      </c>
    </row>
    <row r="193" spans="1:7" x14ac:dyDescent="0.3">
      <c r="A193" s="27" t="s">
        <v>170</v>
      </c>
      <c r="B193" s="5">
        <v>1</v>
      </c>
      <c r="D193" s="5">
        <v>4</v>
      </c>
      <c r="E193" s="28" t="s">
        <v>171</v>
      </c>
      <c r="F193" s="6" t="s">
        <v>526</v>
      </c>
      <c r="G193" s="119"/>
    </row>
    <row r="194" spans="1:7" x14ac:dyDescent="0.3">
      <c r="A194" s="27" t="s">
        <v>173</v>
      </c>
      <c r="B194" s="5">
        <v>1</v>
      </c>
      <c r="D194" s="5">
        <v>4</v>
      </c>
      <c r="E194" s="28" t="s">
        <v>174</v>
      </c>
      <c r="F194" s="6" t="s">
        <v>527</v>
      </c>
      <c r="G194" s="119"/>
    </row>
    <row r="195" spans="1:7" x14ac:dyDescent="0.3">
      <c r="A195" s="29" t="s">
        <v>528</v>
      </c>
      <c r="B195" s="5">
        <v>2</v>
      </c>
      <c r="D195" s="5">
        <v>4</v>
      </c>
      <c r="E195" s="28" t="s">
        <v>529</v>
      </c>
      <c r="F195" s="6" t="s">
        <v>530</v>
      </c>
      <c r="G195" s="40">
        <f t="shared" ref="G195" si="39">SUM(G193:G194)</f>
        <v>0</v>
      </c>
    </row>
    <row r="196" spans="1:7" ht="18" customHeight="1" x14ac:dyDescent="0.3">
      <c r="A196" s="21" t="s">
        <v>531</v>
      </c>
      <c r="D196" s="5">
        <v>3</v>
      </c>
      <c r="E196" s="21" t="s">
        <v>532</v>
      </c>
      <c r="F196" s="6" t="s">
        <v>533</v>
      </c>
      <c r="G196" s="26" t="s">
        <v>77</v>
      </c>
    </row>
    <row r="197" spans="1:7" x14ac:dyDescent="0.3">
      <c r="A197" s="27" t="s">
        <v>170</v>
      </c>
      <c r="B197" s="5">
        <v>1</v>
      </c>
      <c r="D197" s="5">
        <v>4</v>
      </c>
      <c r="E197" s="28" t="s">
        <v>171</v>
      </c>
      <c r="F197" s="6" t="s">
        <v>534</v>
      </c>
      <c r="G197" s="119">
        <v>164324</v>
      </c>
    </row>
    <row r="198" spans="1:7" x14ac:dyDescent="0.3">
      <c r="A198" s="27" t="s">
        <v>173</v>
      </c>
      <c r="B198" s="5">
        <v>1</v>
      </c>
      <c r="D198" s="5">
        <v>4</v>
      </c>
      <c r="E198" s="28" t="s">
        <v>174</v>
      </c>
      <c r="F198" s="6" t="s">
        <v>535</v>
      </c>
      <c r="G198" s="119"/>
    </row>
    <row r="199" spans="1:7" x14ac:dyDescent="0.3">
      <c r="A199" s="29" t="s">
        <v>536</v>
      </c>
      <c r="B199" s="5">
        <v>2</v>
      </c>
      <c r="D199" s="5">
        <v>4</v>
      </c>
      <c r="E199" s="28" t="s">
        <v>249</v>
      </c>
      <c r="F199" s="6" t="s">
        <v>537</v>
      </c>
      <c r="G199" s="40">
        <f t="shared" ref="G199" si="40">SUM(G197:G198)</f>
        <v>164324</v>
      </c>
    </row>
    <row r="200" spans="1:7" ht="18" customHeight="1" x14ac:dyDescent="0.3">
      <c r="A200" s="21" t="s">
        <v>538</v>
      </c>
      <c r="D200" s="5">
        <v>3</v>
      </c>
      <c r="E200" s="21" t="s">
        <v>539</v>
      </c>
      <c r="F200" s="6" t="s">
        <v>540</v>
      </c>
      <c r="G200" s="26" t="s">
        <v>77</v>
      </c>
    </row>
    <row r="201" spans="1:7" x14ac:dyDescent="0.3">
      <c r="A201" s="27" t="s">
        <v>170</v>
      </c>
      <c r="B201" s="5">
        <v>1</v>
      </c>
      <c r="D201" s="5">
        <v>4</v>
      </c>
      <c r="E201" s="28" t="s">
        <v>171</v>
      </c>
      <c r="F201" s="6" t="s">
        <v>541</v>
      </c>
      <c r="G201" s="119">
        <v>0</v>
      </c>
    </row>
    <row r="202" spans="1:7" x14ac:dyDescent="0.3">
      <c r="A202" s="27" t="s">
        <v>173</v>
      </c>
      <c r="B202" s="5">
        <v>1</v>
      </c>
      <c r="D202" s="5">
        <v>4</v>
      </c>
      <c r="E202" s="28" t="s">
        <v>174</v>
      </c>
      <c r="F202" s="6" t="s">
        <v>542</v>
      </c>
      <c r="G202" s="119">
        <v>0</v>
      </c>
    </row>
    <row r="203" spans="1:7" x14ac:dyDescent="0.3">
      <c r="A203" s="29" t="s">
        <v>543</v>
      </c>
      <c r="B203" s="5">
        <v>2</v>
      </c>
      <c r="D203" s="5">
        <v>4</v>
      </c>
      <c r="E203" s="28" t="s">
        <v>544</v>
      </c>
      <c r="F203" s="6" t="s">
        <v>545</v>
      </c>
      <c r="G203" s="40">
        <f t="shared" ref="G203" si="41">SUM(G201:G202)</f>
        <v>0</v>
      </c>
    </row>
    <row r="204" spans="1:7" ht="18" customHeight="1" x14ac:dyDescent="0.3">
      <c r="A204" s="21" t="s">
        <v>546</v>
      </c>
      <c r="D204" s="5">
        <v>3</v>
      </c>
      <c r="E204" s="21" t="s">
        <v>547</v>
      </c>
      <c r="F204" s="6" t="s">
        <v>548</v>
      </c>
      <c r="G204" s="26" t="s">
        <v>77</v>
      </c>
    </row>
    <row r="205" spans="1:7" x14ac:dyDescent="0.3">
      <c r="A205" s="27" t="s">
        <v>170</v>
      </c>
      <c r="B205" s="5">
        <v>1</v>
      </c>
      <c r="D205" s="5">
        <v>4</v>
      </c>
      <c r="E205" s="28" t="s">
        <v>171</v>
      </c>
      <c r="F205" s="6" t="s">
        <v>549</v>
      </c>
      <c r="G205" s="119"/>
    </row>
    <row r="206" spans="1:7" x14ac:dyDescent="0.3">
      <c r="A206" s="27" t="s">
        <v>173</v>
      </c>
      <c r="B206" s="5">
        <v>1</v>
      </c>
      <c r="D206" s="5">
        <v>4</v>
      </c>
      <c r="E206" s="28" t="s">
        <v>174</v>
      </c>
      <c r="F206" s="6" t="s">
        <v>550</v>
      </c>
      <c r="G206" s="119">
        <v>0</v>
      </c>
    </row>
    <row r="207" spans="1:7" x14ac:dyDescent="0.3">
      <c r="A207" s="29" t="s">
        <v>551</v>
      </c>
      <c r="B207" s="5">
        <v>2</v>
      </c>
      <c r="D207" s="5">
        <v>4</v>
      </c>
      <c r="E207" s="28" t="s">
        <v>552</v>
      </c>
      <c r="F207" s="6" t="s">
        <v>553</v>
      </c>
      <c r="G207" s="40">
        <f t="shared" ref="G207" si="42">SUM(G205:G206)</f>
        <v>0</v>
      </c>
    </row>
    <row r="208" spans="1:7" ht="18" customHeight="1" x14ac:dyDescent="0.3">
      <c r="A208" s="21" t="s">
        <v>554</v>
      </c>
      <c r="D208" s="5">
        <v>3</v>
      </c>
      <c r="E208" s="21" t="s">
        <v>555</v>
      </c>
      <c r="F208" s="6" t="s">
        <v>556</v>
      </c>
      <c r="G208" s="26" t="s">
        <v>77</v>
      </c>
    </row>
    <row r="209" spans="1:8" x14ac:dyDescent="0.3">
      <c r="A209" s="27" t="s">
        <v>170</v>
      </c>
      <c r="B209" s="5">
        <v>1</v>
      </c>
      <c r="D209" s="5">
        <v>4</v>
      </c>
      <c r="E209" s="28" t="s">
        <v>171</v>
      </c>
      <c r="F209" s="6" t="s">
        <v>557</v>
      </c>
      <c r="G209" s="119">
        <v>0</v>
      </c>
    </row>
    <row r="210" spans="1:8" x14ac:dyDescent="0.3">
      <c r="A210" s="27" t="s">
        <v>173</v>
      </c>
      <c r="B210" s="5">
        <v>1</v>
      </c>
      <c r="D210" s="5">
        <v>4</v>
      </c>
      <c r="E210" s="28" t="s">
        <v>174</v>
      </c>
      <c r="F210" s="6" t="s">
        <v>558</v>
      </c>
      <c r="G210" s="119">
        <v>0</v>
      </c>
    </row>
    <row r="211" spans="1:8" x14ac:dyDescent="0.3">
      <c r="A211" s="29" t="s">
        <v>559</v>
      </c>
      <c r="B211" s="5">
        <v>2</v>
      </c>
      <c r="D211" s="5">
        <v>4</v>
      </c>
      <c r="E211" s="28" t="s">
        <v>560</v>
      </c>
      <c r="F211" s="6" t="s">
        <v>561</v>
      </c>
      <c r="G211" s="40">
        <f t="shared" ref="G211" si="43">SUM(G209:G210)</f>
        <v>0</v>
      </c>
    </row>
    <row r="212" spans="1:8" ht="18" customHeight="1" x14ac:dyDescent="0.3">
      <c r="A212" s="21" t="s">
        <v>562</v>
      </c>
      <c r="D212" s="5">
        <v>3</v>
      </c>
      <c r="E212" s="21" t="s">
        <v>563</v>
      </c>
      <c r="F212" s="6" t="s">
        <v>564</v>
      </c>
      <c r="G212" s="26"/>
    </row>
    <row r="213" spans="1:8" x14ac:dyDescent="0.3">
      <c r="A213" s="27" t="s">
        <v>170</v>
      </c>
      <c r="B213" s="5">
        <v>1</v>
      </c>
      <c r="D213" s="5">
        <v>4</v>
      </c>
      <c r="E213" s="28" t="s">
        <v>171</v>
      </c>
      <c r="F213" s="6" t="s">
        <v>565</v>
      </c>
      <c r="G213" s="119">
        <v>0</v>
      </c>
    </row>
    <row r="214" spans="1:8" x14ac:dyDescent="0.3">
      <c r="A214" s="27" t="s">
        <v>173</v>
      </c>
      <c r="B214" s="5">
        <v>1</v>
      </c>
      <c r="D214" s="5">
        <v>4</v>
      </c>
      <c r="E214" s="28" t="s">
        <v>174</v>
      </c>
      <c r="F214" s="6" t="s">
        <v>566</v>
      </c>
      <c r="G214" s="119"/>
    </row>
    <row r="215" spans="1:8" x14ac:dyDescent="0.3">
      <c r="A215" s="29" t="s">
        <v>567</v>
      </c>
      <c r="B215" s="5">
        <v>2</v>
      </c>
      <c r="D215" s="5">
        <v>4</v>
      </c>
      <c r="E215" s="28" t="s">
        <v>568</v>
      </c>
      <c r="F215" s="6" t="s">
        <v>569</v>
      </c>
      <c r="G215" s="40">
        <f t="shared" ref="G215" si="44">SUM(G213:G214)</f>
        <v>0</v>
      </c>
    </row>
    <row r="216" spans="1:8" x14ac:dyDescent="0.3">
      <c r="A216" s="57" t="s">
        <v>570</v>
      </c>
      <c r="D216" s="5">
        <v>3</v>
      </c>
      <c r="E216" s="21" t="s">
        <v>563</v>
      </c>
      <c r="F216" s="6" t="s">
        <v>564</v>
      </c>
      <c r="G216" s="26"/>
    </row>
    <row r="217" spans="1:8" x14ac:dyDescent="0.3">
      <c r="A217" s="27" t="s">
        <v>170</v>
      </c>
      <c r="B217" s="5">
        <v>1</v>
      </c>
      <c r="D217" s="5">
        <v>4</v>
      </c>
      <c r="E217" s="28" t="s">
        <v>171</v>
      </c>
      <c r="F217" s="6" t="s">
        <v>565</v>
      </c>
      <c r="G217" s="119">
        <v>0</v>
      </c>
    </row>
    <row r="218" spans="1:8" x14ac:dyDescent="0.3">
      <c r="A218" s="27" t="s">
        <v>173</v>
      </c>
      <c r="B218" s="5">
        <v>1</v>
      </c>
      <c r="D218" s="5">
        <v>4</v>
      </c>
      <c r="E218" s="28" t="s">
        <v>174</v>
      </c>
      <c r="F218" s="6" t="s">
        <v>566</v>
      </c>
      <c r="G218" s="119">
        <v>0</v>
      </c>
    </row>
    <row r="219" spans="1:8" x14ac:dyDescent="0.3">
      <c r="A219" s="29" t="s">
        <v>567</v>
      </c>
      <c r="B219" s="5">
        <v>2</v>
      </c>
      <c r="D219" s="5">
        <v>4</v>
      </c>
      <c r="E219" s="28" t="s">
        <v>568</v>
      </c>
      <c r="F219" s="6" t="s">
        <v>569</v>
      </c>
      <c r="G219" s="40">
        <f t="shared" ref="G219" si="45">SUM(G217:G218)</f>
        <v>0</v>
      </c>
    </row>
    <row r="220" spans="1:8" ht="18" customHeight="1" x14ac:dyDescent="0.3">
      <c r="A220" s="21" t="s">
        <v>571</v>
      </c>
      <c r="D220" s="5">
        <v>3</v>
      </c>
      <c r="E220" s="21" t="s">
        <v>572</v>
      </c>
      <c r="F220" s="6" t="s">
        <v>573</v>
      </c>
      <c r="G220" s="26" t="s">
        <v>77</v>
      </c>
    </row>
    <row r="221" spans="1:8" x14ac:dyDescent="0.3">
      <c r="A221" s="27" t="s">
        <v>170</v>
      </c>
      <c r="B221" s="5">
        <v>1</v>
      </c>
      <c r="D221" s="5">
        <v>4</v>
      </c>
      <c r="E221" s="28" t="s">
        <v>171</v>
      </c>
      <c r="F221" s="6" t="s">
        <v>574</v>
      </c>
      <c r="G221" s="119">
        <v>5242</v>
      </c>
    </row>
    <row r="222" spans="1:8" x14ac:dyDescent="0.3">
      <c r="A222" s="27" t="s">
        <v>173</v>
      </c>
      <c r="B222" s="5">
        <v>1</v>
      </c>
      <c r="D222" s="5">
        <v>4</v>
      </c>
      <c r="E222" s="28" t="s">
        <v>174</v>
      </c>
      <c r="F222" s="6" t="s">
        <v>575</v>
      </c>
      <c r="G222" s="119"/>
      <c r="H222" s="172"/>
    </row>
    <row r="223" spans="1:8" x14ac:dyDescent="0.3">
      <c r="A223" s="29" t="s">
        <v>576</v>
      </c>
      <c r="B223" s="5">
        <v>2</v>
      </c>
      <c r="D223" s="5">
        <v>4</v>
      </c>
      <c r="E223" s="28" t="s">
        <v>577</v>
      </c>
      <c r="F223" s="6" t="s">
        <v>578</v>
      </c>
      <c r="G223" s="40">
        <f t="shared" ref="G223" si="46">SUM(G221:G222)</f>
        <v>5242</v>
      </c>
      <c r="H223" s="172"/>
    </row>
    <row r="224" spans="1:8" ht="18" customHeight="1" x14ac:dyDescent="0.3">
      <c r="A224" s="21" t="s">
        <v>579</v>
      </c>
      <c r="D224" s="5">
        <v>3</v>
      </c>
      <c r="E224" s="21" t="s">
        <v>580</v>
      </c>
      <c r="F224" s="6" t="s">
        <v>581</v>
      </c>
      <c r="G224" s="26" t="s">
        <v>77</v>
      </c>
      <c r="H224" s="172"/>
    </row>
    <row r="225" spans="1:8" x14ac:dyDescent="0.3">
      <c r="A225" s="27" t="s">
        <v>170</v>
      </c>
      <c r="B225" s="5">
        <v>1</v>
      </c>
      <c r="D225" s="5">
        <v>4</v>
      </c>
      <c r="E225" s="28" t="s">
        <v>171</v>
      </c>
      <c r="F225" s="6" t="s">
        <v>582</v>
      </c>
      <c r="G225" s="119">
        <v>10349</v>
      </c>
      <c r="H225" s="172"/>
    </row>
    <row r="226" spans="1:8" x14ac:dyDescent="0.3">
      <c r="A226" s="27" t="s">
        <v>173</v>
      </c>
      <c r="B226" s="5">
        <v>1</v>
      </c>
      <c r="D226" s="5">
        <v>4</v>
      </c>
      <c r="E226" s="28" t="s">
        <v>174</v>
      </c>
      <c r="F226" s="6" t="s">
        <v>583</v>
      </c>
      <c r="G226" s="119"/>
      <c r="H226" s="172"/>
    </row>
    <row r="227" spans="1:8" x14ac:dyDescent="0.3">
      <c r="A227" s="29" t="s">
        <v>584</v>
      </c>
      <c r="B227" s="5">
        <v>2</v>
      </c>
      <c r="D227" s="5">
        <v>4</v>
      </c>
      <c r="E227" s="28" t="s">
        <v>585</v>
      </c>
      <c r="F227" s="6" t="s">
        <v>586</v>
      </c>
      <c r="G227" s="40">
        <f t="shared" ref="G227" si="47">SUM(G225:G226)</f>
        <v>10349</v>
      </c>
      <c r="H227" s="172"/>
    </row>
    <row r="228" spans="1:8" ht="18" customHeight="1" x14ac:dyDescent="0.3">
      <c r="A228" s="21" t="s">
        <v>587</v>
      </c>
      <c r="D228" s="5">
        <v>3</v>
      </c>
      <c r="E228" s="21" t="s">
        <v>588</v>
      </c>
      <c r="F228" s="6" t="s">
        <v>589</v>
      </c>
      <c r="G228" s="26" t="s">
        <v>77</v>
      </c>
      <c r="H228" s="172"/>
    </row>
    <row r="229" spans="1:8" x14ac:dyDescent="0.3">
      <c r="A229" s="27" t="s">
        <v>170</v>
      </c>
      <c r="B229" s="5">
        <v>1</v>
      </c>
      <c r="D229" s="5">
        <v>4</v>
      </c>
      <c r="E229" s="28" t="s">
        <v>171</v>
      </c>
      <c r="F229" s="6" t="s">
        <v>590</v>
      </c>
      <c r="G229" s="119">
        <v>35546</v>
      </c>
      <c r="H229" s="173"/>
    </row>
    <row r="230" spans="1:8" x14ac:dyDescent="0.3">
      <c r="A230" s="27" t="s">
        <v>173</v>
      </c>
      <c r="B230" s="5">
        <v>1</v>
      </c>
      <c r="D230" s="5">
        <v>4</v>
      </c>
      <c r="E230" s="28" t="s">
        <v>174</v>
      </c>
      <c r="F230" s="6" t="s">
        <v>591</v>
      </c>
      <c r="G230" s="119"/>
      <c r="H230" s="173"/>
    </row>
    <row r="231" spans="1:8" x14ac:dyDescent="0.3">
      <c r="A231" s="29" t="s">
        <v>592</v>
      </c>
      <c r="B231" s="5">
        <v>2</v>
      </c>
      <c r="D231" s="5">
        <v>4</v>
      </c>
      <c r="E231" s="28" t="s">
        <v>593</v>
      </c>
      <c r="F231" s="6" t="s">
        <v>594</v>
      </c>
      <c r="G231" s="40">
        <f t="shared" ref="G231" si="48">SUM(G229:G230)</f>
        <v>35546</v>
      </c>
      <c r="H231" s="172"/>
    </row>
    <row r="232" spans="1:8" x14ac:dyDescent="0.3">
      <c r="A232" s="22" t="s">
        <v>595</v>
      </c>
      <c r="B232" s="5">
        <v>28</v>
      </c>
      <c r="D232" s="5">
        <v>3</v>
      </c>
      <c r="E232" s="23" t="s">
        <v>596</v>
      </c>
      <c r="F232" s="6" t="s">
        <v>597</v>
      </c>
      <c r="G232" s="36">
        <f t="shared" ref="G232" si="49">+G231+G227+G223+G219+G215+G211+G207+G203+G199+G195+G191+G187+G183+G179+G175</f>
        <v>281229</v>
      </c>
    </row>
    <row r="233" spans="1:8" ht="18" customHeight="1" x14ac:dyDescent="0.3">
      <c r="A233" s="18" t="s">
        <v>598</v>
      </c>
      <c r="D233" s="5">
        <v>2</v>
      </c>
      <c r="E233" s="19" t="s">
        <v>599</v>
      </c>
      <c r="F233" s="6" t="s">
        <v>600</v>
      </c>
      <c r="G233" s="26" t="s">
        <v>77</v>
      </c>
    </row>
    <row r="234" spans="1:8" ht="18" customHeight="1" x14ac:dyDescent="0.3">
      <c r="A234" s="20" t="s">
        <v>601</v>
      </c>
      <c r="B234" s="5">
        <v>2</v>
      </c>
      <c r="D234" s="5">
        <v>3</v>
      </c>
      <c r="E234" s="21" t="s">
        <v>602</v>
      </c>
      <c r="F234" s="6" t="s">
        <v>603</v>
      </c>
      <c r="G234" s="119">
        <v>21023</v>
      </c>
    </row>
    <row r="235" spans="1:8" x14ac:dyDescent="0.3">
      <c r="A235" s="20" t="s">
        <v>604</v>
      </c>
      <c r="B235" s="5">
        <v>2</v>
      </c>
      <c r="D235" s="5">
        <v>3</v>
      </c>
      <c r="E235" s="21" t="s">
        <v>605</v>
      </c>
      <c r="F235" s="6" t="s">
        <v>606</v>
      </c>
      <c r="G235" s="119"/>
      <c r="H235" s="43"/>
    </row>
    <row r="236" spans="1:8" x14ac:dyDescent="0.3">
      <c r="A236" s="22" t="s">
        <v>607</v>
      </c>
      <c r="B236" s="5">
        <v>4</v>
      </c>
      <c r="D236" s="5">
        <v>3</v>
      </c>
      <c r="E236" s="23" t="s">
        <v>608</v>
      </c>
      <c r="F236" s="6" t="s">
        <v>609</v>
      </c>
      <c r="G236" s="36">
        <f t="shared" ref="G236" si="50">SUM(G234:G235)</f>
        <v>21023</v>
      </c>
    </row>
    <row r="237" spans="1:8" ht="18" customHeight="1" x14ac:dyDescent="0.3">
      <c r="A237" s="17" t="s">
        <v>610</v>
      </c>
      <c r="B237" s="38">
        <v>311</v>
      </c>
      <c r="C237" s="38"/>
      <c r="D237" s="38">
        <v>2</v>
      </c>
      <c r="E237" s="39" t="s">
        <v>611</v>
      </c>
      <c r="F237" s="38" t="s">
        <v>612</v>
      </c>
      <c r="G237" s="42">
        <f t="shared" ref="G237" si="51">+G236+G232+G170+G169+G163</f>
        <v>796189</v>
      </c>
    </row>
    <row r="238" spans="1:8" x14ac:dyDescent="0.3">
      <c r="G238" s="43">
        <f t="shared" ref="G238" si="52">+G124-G237</f>
        <v>0</v>
      </c>
    </row>
  </sheetData>
  <conditionalFormatting sqref="A4">
    <cfRule type="expression" dxfId="65" priority="360" stopIfTrue="1">
      <formula>ABS(SUM(A4)-SUM(#REF!))&gt;=1</formula>
    </cfRule>
  </conditionalFormatting>
  <conditionalFormatting sqref="G9:G10 G104 G58 G14:G20 G26:G27 G31:G35 G39:G40 G43:G44 G47:G48 G51:G53 G61:G62">
    <cfRule type="expression" dxfId="64" priority="372" stopIfTrue="1">
      <formula>ABS(SUM(G9)-SUM(#REF!))&gt;=1</formula>
    </cfRule>
  </conditionalFormatting>
  <conditionalFormatting sqref="G11:G13 G21 G28:G30 G36:G38 G41:G42 G45:G46 G49:G50 G54 G70:G71 G75:G76 G79:G80 G83:G84 G87 G95:G96 G99:G100 G103 G113:G114 G118:G120 G123:G126 G132 G153 G161 G169 G175:G176 G179:G180 G183:G184 G187:G188 G191:G192 G195:G196 G199:G200 G203:G204 G207:G208 G211:G212 G215 G223:G224 G227:G228 G231:G233 G236:G237 G92 G105 G63:G64 G163:G164 G220 G155">
    <cfRule type="expression" dxfId="63" priority="211" stopIfTrue="1">
      <formula>ABS(SUM(G11)-SUM(#REF!))&gt;=1</formula>
    </cfRule>
  </conditionalFormatting>
  <conditionalFormatting sqref="G154 G22 G55:G57 G59:G60 G65:G69 G72:G74 G77:G78 G81:G82 G85:G86 G88:G91 G93:G94 G97:G98 G101:G102 G106:G112 G115:G117 G121:G122 G127:G131 G133:G152 G234:G235 G156:G160 G162 G165:G168 G170:G174 G177:G178 G181:G182 G185:G186 G189:G190 G193:G194 G197:G198 G201:G202 G205:G206 G209:G210 G213:G214 G216:G219 G221:G222 G225:G226 G229:G230">
    <cfRule type="expression" dxfId="62" priority="143" stopIfTrue="1">
      <formula>ABS(SUM(G22)-SUM(#REF!))&gt;=1</formula>
    </cfRule>
  </conditionalFormatting>
  <conditionalFormatting sqref="G23:G25">
    <cfRule type="expression" dxfId="61" priority="1" stopIfTrue="1">
      <formula>ABS(SUM(G23)-SUM(#REF!))&gt;=1</formula>
    </cfRule>
  </conditionalFormatting>
  <dataValidations disablePrompts="1" count="2">
    <dataValidation type="whole" allowBlank="1" showInputMessage="1" showErrorMessage="1" sqref="WUU983062:WUU983277 II65558:II65773 SE65558:SE65773 ACA65558:ACA65773 ALW65558:ALW65773 AVS65558:AVS65773 BFO65558:BFO65773 BPK65558:BPK65773 BZG65558:BZG65773 CJC65558:CJC65773 CSY65558:CSY65773 DCU65558:DCU65773 DMQ65558:DMQ65773 DWM65558:DWM65773 EGI65558:EGI65773 EQE65558:EQE65773 FAA65558:FAA65773 FJW65558:FJW65773 FTS65558:FTS65773 GDO65558:GDO65773 GNK65558:GNK65773 GXG65558:GXG65773 HHC65558:HHC65773 HQY65558:HQY65773 IAU65558:IAU65773 IKQ65558:IKQ65773 IUM65558:IUM65773 JEI65558:JEI65773 JOE65558:JOE65773 JYA65558:JYA65773 KHW65558:KHW65773 KRS65558:KRS65773 LBO65558:LBO65773 LLK65558:LLK65773 LVG65558:LVG65773 MFC65558:MFC65773 MOY65558:MOY65773 MYU65558:MYU65773 NIQ65558:NIQ65773 NSM65558:NSM65773 OCI65558:OCI65773 OME65558:OME65773 OWA65558:OWA65773 PFW65558:PFW65773 PPS65558:PPS65773 PZO65558:PZO65773 QJK65558:QJK65773 QTG65558:QTG65773 RDC65558:RDC65773 RMY65558:RMY65773 RWU65558:RWU65773 SGQ65558:SGQ65773 SQM65558:SQM65773 TAI65558:TAI65773 TKE65558:TKE65773 TUA65558:TUA65773 UDW65558:UDW65773 UNS65558:UNS65773 UXO65558:UXO65773 VHK65558:VHK65773 VRG65558:VRG65773 WBC65558:WBC65773 WKY65558:WKY65773 WUU65558:WUU65773 II131094:II131309 SE131094:SE131309 ACA131094:ACA131309 ALW131094:ALW131309 AVS131094:AVS131309 BFO131094:BFO131309 BPK131094:BPK131309 BZG131094:BZG131309 CJC131094:CJC131309 CSY131094:CSY131309 DCU131094:DCU131309 DMQ131094:DMQ131309 DWM131094:DWM131309 EGI131094:EGI131309 EQE131094:EQE131309 FAA131094:FAA131309 FJW131094:FJW131309 FTS131094:FTS131309 GDO131094:GDO131309 GNK131094:GNK131309 GXG131094:GXG131309 HHC131094:HHC131309 HQY131094:HQY131309 IAU131094:IAU131309 IKQ131094:IKQ131309 IUM131094:IUM131309 JEI131094:JEI131309 JOE131094:JOE131309 JYA131094:JYA131309 KHW131094:KHW131309 KRS131094:KRS131309 LBO131094:LBO131309 LLK131094:LLK131309 LVG131094:LVG131309 MFC131094:MFC131309 MOY131094:MOY131309 MYU131094:MYU131309 NIQ131094:NIQ131309 NSM131094:NSM131309 OCI131094:OCI131309 OME131094:OME131309 OWA131094:OWA131309 PFW131094:PFW131309 PPS131094:PPS131309 PZO131094:PZO131309 QJK131094:QJK131309 QTG131094:QTG131309 RDC131094:RDC131309 RMY131094:RMY131309 RWU131094:RWU131309 SGQ131094:SGQ131309 SQM131094:SQM131309 TAI131094:TAI131309 TKE131094:TKE131309 TUA131094:TUA131309 UDW131094:UDW131309 UNS131094:UNS131309 UXO131094:UXO131309 VHK131094:VHK131309 VRG131094:VRG131309 WBC131094:WBC131309 WKY131094:WKY131309 WUU131094:WUU131309 II196630:II196845 SE196630:SE196845 ACA196630:ACA196845 ALW196630:ALW196845 AVS196630:AVS196845 BFO196630:BFO196845 BPK196630:BPK196845 BZG196630:BZG196845 CJC196630:CJC196845 CSY196630:CSY196845 DCU196630:DCU196845 DMQ196630:DMQ196845 DWM196630:DWM196845 EGI196630:EGI196845 EQE196630:EQE196845 FAA196630:FAA196845 FJW196630:FJW196845 FTS196630:FTS196845 GDO196630:GDO196845 GNK196630:GNK196845 GXG196630:GXG196845 HHC196630:HHC196845 HQY196630:HQY196845 IAU196630:IAU196845 IKQ196630:IKQ196845 IUM196630:IUM196845 JEI196630:JEI196845 JOE196630:JOE196845 JYA196630:JYA196845 KHW196630:KHW196845 KRS196630:KRS196845 LBO196630:LBO196845 LLK196630:LLK196845 LVG196630:LVG196845 MFC196630:MFC196845 MOY196630:MOY196845 MYU196630:MYU196845 NIQ196630:NIQ196845 NSM196630:NSM196845 OCI196630:OCI196845 OME196630:OME196845 OWA196630:OWA196845 PFW196630:PFW196845 PPS196630:PPS196845 PZO196630:PZO196845 QJK196630:QJK196845 QTG196630:QTG196845 RDC196630:RDC196845 RMY196630:RMY196845 RWU196630:RWU196845 SGQ196630:SGQ196845 SQM196630:SQM196845 TAI196630:TAI196845 TKE196630:TKE196845 TUA196630:TUA196845 UDW196630:UDW196845 UNS196630:UNS196845 UXO196630:UXO196845 VHK196630:VHK196845 VRG196630:VRG196845 WBC196630:WBC196845 WKY196630:WKY196845 WUU196630:WUU196845 II262166:II262381 SE262166:SE262381 ACA262166:ACA262381 ALW262166:ALW262381 AVS262166:AVS262381 BFO262166:BFO262381 BPK262166:BPK262381 BZG262166:BZG262381 CJC262166:CJC262381 CSY262166:CSY262381 DCU262166:DCU262381 DMQ262166:DMQ262381 DWM262166:DWM262381 EGI262166:EGI262381 EQE262166:EQE262381 FAA262166:FAA262381 FJW262166:FJW262381 FTS262166:FTS262381 GDO262166:GDO262381 GNK262166:GNK262381 GXG262166:GXG262381 HHC262166:HHC262381 HQY262166:HQY262381 IAU262166:IAU262381 IKQ262166:IKQ262381 IUM262166:IUM262381 JEI262166:JEI262381 JOE262166:JOE262381 JYA262166:JYA262381 KHW262166:KHW262381 KRS262166:KRS262381 LBO262166:LBO262381 LLK262166:LLK262381 LVG262166:LVG262381 MFC262166:MFC262381 MOY262166:MOY262381 MYU262166:MYU262381 NIQ262166:NIQ262381 NSM262166:NSM262381 OCI262166:OCI262381 OME262166:OME262381 OWA262166:OWA262381 PFW262166:PFW262381 PPS262166:PPS262381 PZO262166:PZO262381 QJK262166:QJK262381 QTG262166:QTG262381 RDC262166:RDC262381 RMY262166:RMY262381 RWU262166:RWU262381 SGQ262166:SGQ262381 SQM262166:SQM262381 TAI262166:TAI262381 TKE262166:TKE262381 TUA262166:TUA262381 UDW262166:UDW262381 UNS262166:UNS262381 UXO262166:UXO262381 VHK262166:VHK262381 VRG262166:VRG262381 WBC262166:WBC262381 WKY262166:WKY262381 WUU262166:WUU262381 II327702:II327917 SE327702:SE327917 ACA327702:ACA327917 ALW327702:ALW327917 AVS327702:AVS327917 BFO327702:BFO327917 BPK327702:BPK327917 BZG327702:BZG327917 CJC327702:CJC327917 CSY327702:CSY327917 DCU327702:DCU327917 DMQ327702:DMQ327917 DWM327702:DWM327917 EGI327702:EGI327917 EQE327702:EQE327917 FAA327702:FAA327917 FJW327702:FJW327917 FTS327702:FTS327917 GDO327702:GDO327917 GNK327702:GNK327917 GXG327702:GXG327917 HHC327702:HHC327917 HQY327702:HQY327917 IAU327702:IAU327917 IKQ327702:IKQ327917 IUM327702:IUM327917 JEI327702:JEI327917 JOE327702:JOE327917 JYA327702:JYA327917 KHW327702:KHW327917 KRS327702:KRS327917 LBO327702:LBO327917 LLK327702:LLK327917 LVG327702:LVG327917 MFC327702:MFC327917 MOY327702:MOY327917 MYU327702:MYU327917 NIQ327702:NIQ327917 NSM327702:NSM327917 OCI327702:OCI327917 OME327702:OME327917 OWA327702:OWA327917 PFW327702:PFW327917 PPS327702:PPS327917 PZO327702:PZO327917 QJK327702:QJK327917 QTG327702:QTG327917 RDC327702:RDC327917 RMY327702:RMY327917 RWU327702:RWU327917 SGQ327702:SGQ327917 SQM327702:SQM327917 TAI327702:TAI327917 TKE327702:TKE327917 TUA327702:TUA327917 UDW327702:UDW327917 UNS327702:UNS327917 UXO327702:UXO327917 VHK327702:VHK327917 VRG327702:VRG327917 WBC327702:WBC327917 WKY327702:WKY327917 WUU327702:WUU327917 II393238:II393453 SE393238:SE393453 ACA393238:ACA393453 ALW393238:ALW393453 AVS393238:AVS393453 BFO393238:BFO393453 BPK393238:BPK393453 BZG393238:BZG393453 CJC393238:CJC393453 CSY393238:CSY393453 DCU393238:DCU393453 DMQ393238:DMQ393453 DWM393238:DWM393453 EGI393238:EGI393453 EQE393238:EQE393453 FAA393238:FAA393453 FJW393238:FJW393453 FTS393238:FTS393453 GDO393238:GDO393453 GNK393238:GNK393453 GXG393238:GXG393453 HHC393238:HHC393453 HQY393238:HQY393453 IAU393238:IAU393453 IKQ393238:IKQ393453 IUM393238:IUM393453 JEI393238:JEI393453 JOE393238:JOE393453 JYA393238:JYA393453 KHW393238:KHW393453 KRS393238:KRS393453 LBO393238:LBO393453 LLK393238:LLK393453 LVG393238:LVG393453 MFC393238:MFC393453 MOY393238:MOY393453 MYU393238:MYU393453 NIQ393238:NIQ393453 NSM393238:NSM393453 OCI393238:OCI393453 OME393238:OME393453 OWA393238:OWA393453 PFW393238:PFW393453 PPS393238:PPS393453 PZO393238:PZO393453 QJK393238:QJK393453 QTG393238:QTG393453 RDC393238:RDC393453 RMY393238:RMY393453 RWU393238:RWU393453 SGQ393238:SGQ393453 SQM393238:SQM393453 TAI393238:TAI393453 TKE393238:TKE393453 TUA393238:TUA393453 UDW393238:UDW393453 UNS393238:UNS393453 UXO393238:UXO393453 VHK393238:VHK393453 VRG393238:VRG393453 WBC393238:WBC393453 WKY393238:WKY393453 WUU393238:WUU393453 II458774:II458989 SE458774:SE458989 ACA458774:ACA458989 ALW458774:ALW458989 AVS458774:AVS458989 BFO458774:BFO458989 BPK458774:BPK458989 BZG458774:BZG458989 CJC458774:CJC458989 CSY458774:CSY458989 DCU458774:DCU458989 DMQ458774:DMQ458989 DWM458774:DWM458989 EGI458774:EGI458989 EQE458774:EQE458989 FAA458774:FAA458989 FJW458774:FJW458989 FTS458774:FTS458989 GDO458774:GDO458989 GNK458774:GNK458989 GXG458774:GXG458989 HHC458774:HHC458989 HQY458774:HQY458989 IAU458774:IAU458989 IKQ458774:IKQ458989 IUM458774:IUM458989 JEI458774:JEI458989 JOE458774:JOE458989 JYA458774:JYA458989 KHW458774:KHW458989 KRS458774:KRS458989 LBO458774:LBO458989 LLK458774:LLK458989 LVG458774:LVG458989 MFC458774:MFC458989 MOY458774:MOY458989 MYU458774:MYU458989 NIQ458774:NIQ458989 NSM458774:NSM458989 OCI458774:OCI458989 OME458774:OME458989 OWA458774:OWA458989 PFW458774:PFW458989 PPS458774:PPS458989 PZO458774:PZO458989 QJK458774:QJK458989 QTG458774:QTG458989 RDC458774:RDC458989 RMY458774:RMY458989 RWU458774:RWU458989 SGQ458774:SGQ458989 SQM458774:SQM458989 TAI458774:TAI458989 TKE458774:TKE458989 TUA458774:TUA458989 UDW458774:UDW458989 UNS458774:UNS458989 UXO458774:UXO458989 VHK458774:VHK458989 VRG458774:VRG458989 WBC458774:WBC458989 WKY458774:WKY458989 WUU458774:WUU458989 II524310:II524525 SE524310:SE524525 ACA524310:ACA524525 ALW524310:ALW524525 AVS524310:AVS524525 BFO524310:BFO524525 BPK524310:BPK524525 BZG524310:BZG524525 CJC524310:CJC524525 CSY524310:CSY524525 DCU524310:DCU524525 DMQ524310:DMQ524525 DWM524310:DWM524525 EGI524310:EGI524525 EQE524310:EQE524525 FAA524310:FAA524525 FJW524310:FJW524525 FTS524310:FTS524525 GDO524310:GDO524525 GNK524310:GNK524525 GXG524310:GXG524525 HHC524310:HHC524525 HQY524310:HQY524525 IAU524310:IAU524525 IKQ524310:IKQ524525 IUM524310:IUM524525 JEI524310:JEI524525 JOE524310:JOE524525 JYA524310:JYA524525 KHW524310:KHW524525 KRS524310:KRS524525 LBO524310:LBO524525 LLK524310:LLK524525 LVG524310:LVG524525 MFC524310:MFC524525 MOY524310:MOY524525 MYU524310:MYU524525 NIQ524310:NIQ524525 NSM524310:NSM524525 OCI524310:OCI524525 OME524310:OME524525 OWA524310:OWA524525 PFW524310:PFW524525 PPS524310:PPS524525 PZO524310:PZO524525 QJK524310:QJK524525 QTG524310:QTG524525 RDC524310:RDC524525 RMY524310:RMY524525 RWU524310:RWU524525 SGQ524310:SGQ524525 SQM524310:SQM524525 TAI524310:TAI524525 TKE524310:TKE524525 TUA524310:TUA524525 UDW524310:UDW524525 UNS524310:UNS524525 UXO524310:UXO524525 VHK524310:VHK524525 VRG524310:VRG524525 WBC524310:WBC524525 WKY524310:WKY524525 WUU524310:WUU524525 II589846:II590061 SE589846:SE590061 ACA589846:ACA590061 ALW589846:ALW590061 AVS589846:AVS590061 BFO589846:BFO590061 BPK589846:BPK590061 BZG589846:BZG590061 CJC589846:CJC590061 CSY589846:CSY590061 DCU589846:DCU590061 DMQ589846:DMQ590061 DWM589846:DWM590061 EGI589846:EGI590061 EQE589846:EQE590061 FAA589846:FAA590061 FJW589846:FJW590061 FTS589846:FTS590061 GDO589846:GDO590061 GNK589846:GNK590061 GXG589846:GXG590061 HHC589846:HHC590061 HQY589846:HQY590061 IAU589846:IAU590061 IKQ589846:IKQ590061 IUM589846:IUM590061 JEI589846:JEI590061 JOE589846:JOE590061 JYA589846:JYA590061 KHW589846:KHW590061 KRS589846:KRS590061 LBO589846:LBO590061 LLK589846:LLK590061 LVG589846:LVG590061 MFC589846:MFC590061 MOY589846:MOY590061 MYU589846:MYU590061 NIQ589846:NIQ590061 NSM589846:NSM590061 OCI589846:OCI590061 OME589846:OME590061 OWA589846:OWA590061 PFW589846:PFW590061 PPS589846:PPS590061 PZO589846:PZO590061 QJK589846:QJK590061 QTG589846:QTG590061 RDC589846:RDC590061 RMY589846:RMY590061 RWU589846:RWU590061 SGQ589846:SGQ590061 SQM589846:SQM590061 TAI589846:TAI590061 TKE589846:TKE590061 TUA589846:TUA590061 UDW589846:UDW590061 UNS589846:UNS590061 UXO589846:UXO590061 VHK589846:VHK590061 VRG589846:VRG590061 WBC589846:WBC590061 WKY589846:WKY590061 WUU589846:WUU590061 II655382:II655597 SE655382:SE655597 ACA655382:ACA655597 ALW655382:ALW655597 AVS655382:AVS655597 BFO655382:BFO655597 BPK655382:BPK655597 BZG655382:BZG655597 CJC655382:CJC655597 CSY655382:CSY655597 DCU655382:DCU655597 DMQ655382:DMQ655597 DWM655382:DWM655597 EGI655382:EGI655597 EQE655382:EQE655597 FAA655382:FAA655597 FJW655382:FJW655597 FTS655382:FTS655597 GDO655382:GDO655597 GNK655382:GNK655597 GXG655382:GXG655597 HHC655382:HHC655597 HQY655382:HQY655597 IAU655382:IAU655597 IKQ655382:IKQ655597 IUM655382:IUM655597 JEI655382:JEI655597 JOE655382:JOE655597 JYA655382:JYA655597 KHW655382:KHW655597 KRS655382:KRS655597 LBO655382:LBO655597 LLK655382:LLK655597 LVG655382:LVG655597 MFC655382:MFC655597 MOY655382:MOY655597 MYU655382:MYU655597 NIQ655382:NIQ655597 NSM655382:NSM655597 OCI655382:OCI655597 OME655382:OME655597 OWA655382:OWA655597 PFW655382:PFW655597 PPS655382:PPS655597 PZO655382:PZO655597 QJK655382:QJK655597 QTG655382:QTG655597 RDC655382:RDC655597 RMY655382:RMY655597 RWU655382:RWU655597 SGQ655382:SGQ655597 SQM655382:SQM655597 TAI655382:TAI655597 TKE655382:TKE655597 TUA655382:TUA655597 UDW655382:UDW655597 UNS655382:UNS655597 UXO655382:UXO655597 VHK655382:VHK655597 VRG655382:VRG655597 WBC655382:WBC655597 WKY655382:WKY655597 WUU655382:WUU655597 II720918:II721133 SE720918:SE721133 ACA720918:ACA721133 ALW720918:ALW721133 AVS720918:AVS721133 BFO720918:BFO721133 BPK720918:BPK721133 BZG720918:BZG721133 CJC720918:CJC721133 CSY720918:CSY721133 DCU720918:DCU721133 DMQ720918:DMQ721133 DWM720918:DWM721133 EGI720918:EGI721133 EQE720918:EQE721133 FAA720918:FAA721133 FJW720918:FJW721133 FTS720918:FTS721133 GDO720918:GDO721133 GNK720918:GNK721133 GXG720918:GXG721133 HHC720918:HHC721133 HQY720918:HQY721133 IAU720918:IAU721133 IKQ720918:IKQ721133 IUM720918:IUM721133 JEI720918:JEI721133 JOE720918:JOE721133 JYA720918:JYA721133 KHW720918:KHW721133 KRS720918:KRS721133 LBO720918:LBO721133 LLK720918:LLK721133 LVG720918:LVG721133 MFC720918:MFC721133 MOY720918:MOY721133 MYU720918:MYU721133 NIQ720918:NIQ721133 NSM720918:NSM721133 OCI720918:OCI721133 OME720918:OME721133 OWA720918:OWA721133 PFW720918:PFW721133 PPS720918:PPS721133 PZO720918:PZO721133 QJK720918:QJK721133 QTG720918:QTG721133 RDC720918:RDC721133 RMY720918:RMY721133 RWU720918:RWU721133 SGQ720918:SGQ721133 SQM720918:SQM721133 TAI720918:TAI721133 TKE720918:TKE721133 TUA720918:TUA721133 UDW720918:UDW721133 UNS720918:UNS721133 UXO720918:UXO721133 VHK720918:VHK721133 VRG720918:VRG721133 WBC720918:WBC721133 WKY720918:WKY721133 WUU720918:WUU721133 II786454:II786669 SE786454:SE786669 ACA786454:ACA786669 ALW786454:ALW786669 AVS786454:AVS786669 BFO786454:BFO786669 BPK786454:BPK786669 BZG786454:BZG786669 CJC786454:CJC786669 CSY786454:CSY786669 DCU786454:DCU786669 DMQ786454:DMQ786669 DWM786454:DWM786669 EGI786454:EGI786669 EQE786454:EQE786669 FAA786454:FAA786669 FJW786454:FJW786669 FTS786454:FTS786669 GDO786454:GDO786669 GNK786454:GNK786669 GXG786454:GXG786669 HHC786454:HHC786669 HQY786454:HQY786669 IAU786454:IAU786669 IKQ786454:IKQ786669 IUM786454:IUM786669 JEI786454:JEI786669 JOE786454:JOE786669 JYA786454:JYA786669 KHW786454:KHW786669 KRS786454:KRS786669 LBO786454:LBO786669 LLK786454:LLK786669 LVG786454:LVG786669 MFC786454:MFC786669 MOY786454:MOY786669 MYU786454:MYU786669 NIQ786454:NIQ786669 NSM786454:NSM786669 OCI786454:OCI786669 OME786454:OME786669 OWA786454:OWA786669 PFW786454:PFW786669 PPS786454:PPS786669 PZO786454:PZO786669 QJK786454:QJK786669 QTG786454:QTG786669 RDC786454:RDC786669 RMY786454:RMY786669 RWU786454:RWU786669 SGQ786454:SGQ786669 SQM786454:SQM786669 TAI786454:TAI786669 TKE786454:TKE786669 TUA786454:TUA786669 UDW786454:UDW786669 UNS786454:UNS786669 UXO786454:UXO786669 VHK786454:VHK786669 VRG786454:VRG786669 WBC786454:WBC786669 WKY786454:WKY786669 WUU786454:WUU786669 II851990:II852205 SE851990:SE852205 ACA851990:ACA852205 ALW851990:ALW852205 AVS851990:AVS852205 BFO851990:BFO852205 BPK851990:BPK852205 BZG851990:BZG852205 CJC851990:CJC852205 CSY851990:CSY852205 DCU851990:DCU852205 DMQ851990:DMQ852205 DWM851990:DWM852205 EGI851990:EGI852205 EQE851990:EQE852205 FAA851990:FAA852205 FJW851990:FJW852205 FTS851990:FTS852205 GDO851990:GDO852205 GNK851990:GNK852205 GXG851990:GXG852205 HHC851990:HHC852205 HQY851990:HQY852205 IAU851990:IAU852205 IKQ851990:IKQ852205 IUM851990:IUM852205 JEI851990:JEI852205 JOE851990:JOE852205 JYA851990:JYA852205 KHW851990:KHW852205 KRS851990:KRS852205 LBO851990:LBO852205 LLK851990:LLK852205 LVG851990:LVG852205 MFC851990:MFC852205 MOY851990:MOY852205 MYU851990:MYU852205 NIQ851990:NIQ852205 NSM851990:NSM852205 OCI851990:OCI852205 OME851990:OME852205 OWA851990:OWA852205 PFW851990:PFW852205 PPS851990:PPS852205 PZO851990:PZO852205 QJK851990:QJK852205 QTG851990:QTG852205 RDC851990:RDC852205 RMY851990:RMY852205 RWU851990:RWU852205 SGQ851990:SGQ852205 SQM851990:SQM852205 TAI851990:TAI852205 TKE851990:TKE852205 TUA851990:TUA852205 UDW851990:UDW852205 UNS851990:UNS852205 UXO851990:UXO852205 VHK851990:VHK852205 VRG851990:VRG852205 WBC851990:WBC852205 WKY851990:WKY852205 WUU851990:WUU852205 II917526:II917741 SE917526:SE917741 ACA917526:ACA917741 ALW917526:ALW917741 AVS917526:AVS917741 BFO917526:BFO917741 BPK917526:BPK917741 BZG917526:BZG917741 CJC917526:CJC917741 CSY917526:CSY917741 DCU917526:DCU917741 DMQ917526:DMQ917741 DWM917526:DWM917741 EGI917526:EGI917741 EQE917526:EQE917741 FAA917526:FAA917741 FJW917526:FJW917741 FTS917526:FTS917741 GDO917526:GDO917741 GNK917526:GNK917741 GXG917526:GXG917741 HHC917526:HHC917741 HQY917526:HQY917741 IAU917526:IAU917741 IKQ917526:IKQ917741 IUM917526:IUM917741 JEI917526:JEI917741 JOE917526:JOE917741 JYA917526:JYA917741 KHW917526:KHW917741 KRS917526:KRS917741 LBO917526:LBO917741 LLK917526:LLK917741 LVG917526:LVG917741 MFC917526:MFC917741 MOY917526:MOY917741 MYU917526:MYU917741 NIQ917526:NIQ917741 NSM917526:NSM917741 OCI917526:OCI917741 OME917526:OME917741 OWA917526:OWA917741 PFW917526:PFW917741 PPS917526:PPS917741 PZO917526:PZO917741 QJK917526:QJK917741 QTG917526:QTG917741 RDC917526:RDC917741 RMY917526:RMY917741 RWU917526:RWU917741 SGQ917526:SGQ917741 SQM917526:SQM917741 TAI917526:TAI917741 TKE917526:TKE917741 TUA917526:TUA917741 UDW917526:UDW917741 UNS917526:UNS917741 UXO917526:UXO917741 VHK917526:VHK917741 VRG917526:VRG917741 WBC917526:WBC917741 WKY917526:WKY917741 WUU917526:WUU917741 II983062:II983277 SE983062:SE983277 ACA983062:ACA983277 ALW983062:ALW983277 AVS983062:AVS983277 BFO983062:BFO983277 BPK983062:BPK983277 BZG983062:BZG983277 CJC983062:CJC983277 CSY983062:CSY983277 DCU983062:DCU983277 DMQ983062:DMQ983277 DWM983062:DWM983277 EGI983062:EGI983277 EQE983062:EQE983277 FAA983062:FAA983277 FJW983062:FJW983277 FTS983062:FTS983277 GDO983062:GDO983277 GNK983062:GNK983277 GXG983062:GXG983277 HHC983062:HHC983277 HQY983062:HQY983277 IAU983062:IAU983277 IKQ983062:IKQ983277 IUM983062:IUM983277 JEI983062:JEI983277 JOE983062:JOE983277 JYA983062:JYA983277 KHW983062:KHW983277 KRS983062:KRS983277 LBO983062:LBO983277 LLK983062:LLK983277 LVG983062:LVG983277 MFC983062:MFC983277 MOY983062:MOY983277 MYU983062:MYU983277 NIQ983062:NIQ983277 NSM983062:NSM983277 OCI983062:OCI983277 OME983062:OME983277 OWA983062:OWA983277 PFW983062:PFW983277 PPS983062:PPS983277 PZO983062:PZO983277 QJK983062:QJK983277 QTG983062:QTG983277 RDC983062:RDC983277 RMY983062:RMY983277 RWU983062:RWU983277 SGQ983062:SGQ983277 SQM983062:SQM983277 TAI983062:TAI983277 TKE983062:TKE983277 TUA983062:TUA983277 UDW983062:UDW983277 UNS983062:UNS983277 UXO983062:UXO983277 VHK983062:VHK983277 VRG983062:VRG983277 WBC983062:WBC983277 WKY983062:WKY983277 KRS9:KRS237 KHW9:KHW237 JYA9:JYA237 JOE9:JOE237 JEI9:JEI237 IUM9:IUM237 IKQ9:IKQ237 IAU9:IAU237 HQY9:HQY237 HHC9:HHC237 GXG9:GXG237 GNK9:GNK237 GDO9:GDO237 FTS9:FTS237 FJW9:FJW237 FAA9:FAA237 EQE9:EQE237 EGI9:EGI237 DWM9:DWM237 DMQ9:DMQ237 DCU9:DCU237 CSY9:CSY237 CJC9:CJC237 BZG9:BZG237 BPK9:BPK237 BFO9:BFO237 AVS9:AVS237 ALW9:ALW237 ACA9:ACA237 SE9:SE237 II9:II237 WUU9:WUU237 WKY9:WKY237 WBC9:WBC237 VRG9:VRG237 VHK9:VHK237 UXO9:UXO237 UNS9:UNS237 UDW9:UDW237 TUA9:TUA237 TKE9:TKE237 TAI9:TAI237 SQM9:SQM237 SGQ9:SGQ237 RWU9:RWU237 RMY9:RMY237 RDC9:RDC237 QTG9:QTG237 QJK9:QJK237 PZO9:PZO237 PPS9:PPS237 PFW9:PFW237 OWA9:OWA237 OME9:OME237 OCI9:OCI237 NSM9:NSM237 NIQ9:NIQ237 MYU9:MYU237 MOY9:MOY237 MFC9:MFC237 LVG9:LVG237 LLK9:LLK237 LBO9:LBO237" xr:uid="{00000000-0002-0000-0100-000000000000}">
      <formula1>-9.99999999999999E+31</formula1>
      <formula2>9.99999999999999E+31</formula2>
    </dataValidation>
    <dataValidation type="whole" allowBlank="1" showInputMessage="1" showErrorMessage="1" sqref="IG65558:IG65773 SC65558:SC65773 ABY65558:ABY65773 ALU65558:ALU65773 AVQ65558:AVQ65773 BFM65558:BFM65773 BPI65558:BPI65773 BZE65558:BZE65773 CJA65558:CJA65773 CSW65558:CSW65773 DCS65558:DCS65773 DMO65558:DMO65773 DWK65558:DWK65773 EGG65558:EGG65773 EQC65558:EQC65773 EZY65558:EZY65773 FJU65558:FJU65773 FTQ65558:FTQ65773 GDM65558:GDM65773 GNI65558:GNI65773 GXE65558:GXE65773 HHA65558:HHA65773 HQW65558:HQW65773 IAS65558:IAS65773 IKO65558:IKO65773 IUK65558:IUK65773 JEG65558:JEG65773 JOC65558:JOC65773 JXY65558:JXY65773 KHU65558:KHU65773 KRQ65558:KRQ65773 LBM65558:LBM65773 LLI65558:LLI65773 LVE65558:LVE65773 MFA65558:MFA65773 MOW65558:MOW65773 MYS65558:MYS65773 NIO65558:NIO65773 NSK65558:NSK65773 OCG65558:OCG65773 OMC65558:OMC65773 OVY65558:OVY65773 PFU65558:PFU65773 PPQ65558:PPQ65773 PZM65558:PZM65773 QJI65558:QJI65773 QTE65558:QTE65773 RDA65558:RDA65773 RMW65558:RMW65773 RWS65558:RWS65773 SGO65558:SGO65773 SQK65558:SQK65773 TAG65558:TAG65773 TKC65558:TKC65773 TTY65558:TTY65773 UDU65558:UDU65773 UNQ65558:UNQ65773 UXM65558:UXM65773 VHI65558:VHI65773 VRE65558:VRE65773 WBA65558:WBA65773 WKW65558:WKW65773 WUS65558:WUS65773 IG131094:IG131309 SC131094:SC131309 ABY131094:ABY131309 ALU131094:ALU131309 AVQ131094:AVQ131309 BFM131094:BFM131309 BPI131094:BPI131309 BZE131094:BZE131309 CJA131094:CJA131309 CSW131094:CSW131309 DCS131094:DCS131309 DMO131094:DMO131309 DWK131094:DWK131309 EGG131094:EGG131309 EQC131094:EQC131309 EZY131094:EZY131309 FJU131094:FJU131309 FTQ131094:FTQ131309 GDM131094:GDM131309 GNI131094:GNI131309 GXE131094:GXE131309 HHA131094:HHA131309 HQW131094:HQW131309 IAS131094:IAS131309 IKO131094:IKO131309 IUK131094:IUK131309 JEG131094:JEG131309 JOC131094:JOC131309 JXY131094:JXY131309 KHU131094:KHU131309 KRQ131094:KRQ131309 LBM131094:LBM131309 LLI131094:LLI131309 LVE131094:LVE131309 MFA131094:MFA131309 MOW131094:MOW131309 MYS131094:MYS131309 NIO131094:NIO131309 NSK131094:NSK131309 OCG131094:OCG131309 OMC131094:OMC131309 OVY131094:OVY131309 PFU131094:PFU131309 PPQ131094:PPQ131309 PZM131094:PZM131309 QJI131094:QJI131309 QTE131094:QTE131309 RDA131094:RDA131309 RMW131094:RMW131309 RWS131094:RWS131309 SGO131094:SGO131309 SQK131094:SQK131309 TAG131094:TAG131309 TKC131094:TKC131309 TTY131094:TTY131309 UDU131094:UDU131309 UNQ131094:UNQ131309 UXM131094:UXM131309 VHI131094:VHI131309 VRE131094:VRE131309 WBA131094:WBA131309 WKW131094:WKW131309 WUS131094:WUS131309 IG196630:IG196845 SC196630:SC196845 ABY196630:ABY196845 ALU196630:ALU196845 AVQ196630:AVQ196845 BFM196630:BFM196845 BPI196630:BPI196845 BZE196630:BZE196845 CJA196630:CJA196845 CSW196630:CSW196845 DCS196630:DCS196845 DMO196630:DMO196845 DWK196630:DWK196845 EGG196630:EGG196845 EQC196630:EQC196845 EZY196630:EZY196845 FJU196630:FJU196845 FTQ196630:FTQ196845 GDM196630:GDM196845 GNI196630:GNI196845 GXE196630:GXE196845 HHA196630:HHA196845 HQW196630:HQW196845 IAS196630:IAS196845 IKO196630:IKO196845 IUK196630:IUK196845 JEG196630:JEG196845 JOC196630:JOC196845 JXY196630:JXY196845 KHU196630:KHU196845 KRQ196630:KRQ196845 LBM196630:LBM196845 LLI196630:LLI196845 LVE196630:LVE196845 MFA196630:MFA196845 MOW196630:MOW196845 MYS196630:MYS196845 NIO196630:NIO196845 NSK196630:NSK196845 OCG196630:OCG196845 OMC196630:OMC196845 OVY196630:OVY196845 PFU196630:PFU196845 PPQ196630:PPQ196845 PZM196630:PZM196845 QJI196630:QJI196845 QTE196630:QTE196845 RDA196630:RDA196845 RMW196630:RMW196845 RWS196630:RWS196845 SGO196630:SGO196845 SQK196630:SQK196845 TAG196630:TAG196845 TKC196630:TKC196845 TTY196630:TTY196845 UDU196630:UDU196845 UNQ196630:UNQ196845 UXM196630:UXM196845 VHI196630:VHI196845 VRE196630:VRE196845 WBA196630:WBA196845 WKW196630:WKW196845 WUS196630:WUS196845 IG262166:IG262381 SC262166:SC262381 ABY262166:ABY262381 ALU262166:ALU262381 AVQ262166:AVQ262381 BFM262166:BFM262381 BPI262166:BPI262381 BZE262166:BZE262381 CJA262166:CJA262381 CSW262166:CSW262381 DCS262166:DCS262381 DMO262166:DMO262381 DWK262166:DWK262381 EGG262166:EGG262381 EQC262166:EQC262381 EZY262166:EZY262381 FJU262166:FJU262381 FTQ262166:FTQ262381 GDM262166:GDM262381 GNI262166:GNI262381 GXE262166:GXE262381 HHA262166:HHA262381 HQW262166:HQW262381 IAS262166:IAS262381 IKO262166:IKO262381 IUK262166:IUK262381 JEG262166:JEG262381 JOC262166:JOC262381 JXY262166:JXY262381 KHU262166:KHU262381 KRQ262166:KRQ262381 LBM262166:LBM262381 LLI262166:LLI262381 LVE262166:LVE262381 MFA262166:MFA262381 MOW262166:MOW262381 MYS262166:MYS262381 NIO262166:NIO262381 NSK262166:NSK262381 OCG262166:OCG262381 OMC262166:OMC262381 OVY262166:OVY262381 PFU262166:PFU262381 PPQ262166:PPQ262381 PZM262166:PZM262381 QJI262166:QJI262381 QTE262166:QTE262381 RDA262166:RDA262381 RMW262166:RMW262381 RWS262166:RWS262381 SGO262166:SGO262381 SQK262166:SQK262381 TAG262166:TAG262381 TKC262166:TKC262381 TTY262166:TTY262381 UDU262166:UDU262381 UNQ262166:UNQ262381 UXM262166:UXM262381 VHI262166:VHI262381 VRE262166:VRE262381 WBA262166:WBA262381 WKW262166:WKW262381 WUS262166:WUS262381 IG327702:IG327917 SC327702:SC327917 ABY327702:ABY327917 ALU327702:ALU327917 AVQ327702:AVQ327917 BFM327702:BFM327917 BPI327702:BPI327917 BZE327702:BZE327917 CJA327702:CJA327917 CSW327702:CSW327917 DCS327702:DCS327917 DMO327702:DMO327917 DWK327702:DWK327917 EGG327702:EGG327917 EQC327702:EQC327917 EZY327702:EZY327917 FJU327702:FJU327917 FTQ327702:FTQ327917 GDM327702:GDM327917 GNI327702:GNI327917 GXE327702:GXE327917 HHA327702:HHA327917 HQW327702:HQW327917 IAS327702:IAS327917 IKO327702:IKO327917 IUK327702:IUK327917 JEG327702:JEG327917 JOC327702:JOC327917 JXY327702:JXY327917 KHU327702:KHU327917 KRQ327702:KRQ327917 LBM327702:LBM327917 LLI327702:LLI327917 LVE327702:LVE327917 MFA327702:MFA327917 MOW327702:MOW327917 MYS327702:MYS327917 NIO327702:NIO327917 NSK327702:NSK327917 OCG327702:OCG327917 OMC327702:OMC327917 OVY327702:OVY327917 PFU327702:PFU327917 PPQ327702:PPQ327917 PZM327702:PZM327917 QJI327702:QJI327917 QTE327702:QTE327917 RDA327702:RDA327917 RMW327702:RMW327917 RWS327702:RWS327917 SGO327702:SGO327917 SQK327702:SQK327917 TAG327702:TAG327917 TKC327702:TKC327917 TTY327702:TTY327917 UDU327702:UDU327917 UNQ327702:UNQ327917 UXM327702:UXM327917 VHI327702:VHI327917 VRE327702:VRE327917 WBA327702:WBA327917 WKW327702:WKW327917 WUS327702:WUS327917 IG393238:IG393453 SC393238:SC393453 ABY393238:ABY393453 ALU393238:ALU393453 AVQ393238:AVQ393453 BFM393238:BFM393453 BPI393238:BPI393453 BZE393238:BZE393453 CJA393238:CJA393453 CSW393238:CSW393453 DCS393238:DCS393453 DMO393238:DMO393453 DWK393238:DWK393453 EGG393238:EGG393453 EQC393238:EQC393453 EZY393238:EZY393453 FJU393238:FJU393453 FTQ393238:FTQ393453 GDM393238:GDM393453 GNI393238:GNI393453 GXE393238:GXE393453 HHA393238:HHA393453 HQW393238:HQW393453 IAS393238:IAS393453 IKO393238:IKO393453 IUK393238:IUK393453 JEG393238:JEG393453 JOC393238:JOC393453 JXY393238:JXY393453 KHU393238:KHU393453 KRQ393238:KRQ393453 LBM393238:LBM393453 LLI393238:LLI393453 LVE393238:LVE393453 MFA393238:MFA393453 MOW393238:MOW393453 MYS393238:MYS393453 NIO393238:NIO393453 NSK393238:NSK393453 OCG393238:OCG393453 OMC393238:OMC393453 OVY393238:OVY393453 PFU393238:PFU393453 PPQ393238:PPQ393453 PZM393238:PZM393453 QJI393238:QJI393453 QTE393238:QTE393453 RDA393238:RDA393453 RMW393238:RMW393453 RWS393238:RWS393453 SGO393238:SGO393453 SQK393238:SQK393453 TAG393238:TAG393453 TKC393238:TKC393453 TTY393238:TTY393453 UDU393238:UDU393453 UNQ393238:UNQ393453 UXM393238:UXM393453 VHI393238:VHI393453 VRE393238:VRE393453 WBA393238:WBA393453 WKW393238:WKW393453 WUS393238:WUS393453 IG458774:IG458989 SC458774:SC458989 ABY458774:ABY458989 ALU458774:ALU458989 AVQ458774:AVQ458989 BFM458774:BFM458989 BPI458774:BPI458989 BZE458774:BZE458989 CJA458774:CJA458989 CSW458774:CSW458989 DCS458774:DCS458989 DMO458774:DMO458989 DWK458774:DWK458989 EGG458774:EGG458989 EQC458774:EQC458989 EZY458774:EZY458989 FJU458774:FJU458989 FTQ458774:FTQ458989 GDM458774:GDM458989 GNI458774:GNI458989 GXE458774:GXE458989 HHA458774:HHA458989 HQW458774:HQW458989 IAS458774:IAS458989 IKO458774:IKO458989 IUK458774:IUK458989 JEG458774:JEG458989 JOC458774:JOC458989 JXY458774:JXY458989 KHU458774:KHU458989 KRQ458774:KRQ458989 LBM458774:LBM458989 LLI458774:LLI458989 LVE458774:LVE458989 MFA458774:MFA458989 MOW458774:MOW458989 MYS458774:MYS458989 NIO458774:NIO458989 NSK458774:NSK458989 OCG458774:OCG458989 OMC458774:OMC458989 OVY458774:OVY458989 PFU458774:PFU458989 PPQ458774:PPQ458989 PZM458774:PZM458989 QJI458774:QJI458989 QTE458774:QTE458989 RDA458774:RDA458989 RMW458774:RMW458989 RWS458774:RWS458989 SGO458774:SGO458989 SQK458774:SQK458989 TAG458774:TAG458989 TKC458774:TKC458989 TTY458774:TTY458989 UDU458774:UDU458989 UNQ458774:UNQ458989 UXM458774:UXM458989 VHI458774:VHI458989 VRE458774:VRE458989 WBA458774:WBA458989 WKW458774:WKW458989 WUS458774:WUS458989 IG524310:IG524525 SC524310:SC524525 ABY524310:ABY524525 ALU524310:ALU524525 AVQ524310:AVQ524525 BFM524310:BFM524525 BPI524310:BPI524525 BZE524310:BZE524525 CJA524310:CJA524525 CSW524310:CSW524525 DCS524310:DCS524525 DMO524310:DMO524525 DWK524310:DWK524525 EGG524310:EGG524525 EQC524310:EQC524525 EZY524310:EZY524525 FJU524310:FJU524525 FTQ524310:FTQ524525 GDM524310:GDM524525 GNI524310:GNI524525 GXE524310:GXE524525 HHA524310:HHA524525 HQW524310:HQW524525 IAS524310:IAS524525 IKO524310:IKO524525 IUK524310:IUK524525 JEG524310:JEG524525 JOC524310:JOC524525 JXY524310:JXY524525 KHU524310:KHU524525 KRQ524310:KRQ524525 LBM524310:LBM524525 LLI524310:LLI524525 LVE524310:LVE524525 MFA524310:MFA524525 MOW524310:MOW524525 MYS524310:MYS524525 NIO524310:NIO524525 NSK524310:NSK524525 OCG524310:OCG524525 OMC524310:OMC524525 OVY524310:OVY524525 PFU524310:PFU524525 PPQ524310:PPQ524525 PZM524310:PZM524525 QJI524310:QJI524525 QTE524310:QTE524525 RDA524310:RDA524525 RMW524310:RMW524525 RWS524310:RWS524525 SGO524310:SGO524525 SQK524310:SQK524525 TAG524310:TAG524525 TKC524310:TKC524525 TTY524310:TTY524525 UDU524310:UDU524525 UNQ524310:UNQ524525 UXM524310:UXM524525 VHI524310:VHI524525 VRE524310:VRE524525 WBA524310:WBA524525 WKW524310:WKW524525 WUS524310:WUS524525 IG589846:IG590061 SC589846:SC590061 ABY589846:ABY590061 ALU589846:ALU590061 AVQ589846:AVQ590061 BFM589846:BFM590061 BPI589846:BPI590061 BZE589846:BZE590061 CJA589846:CJA590061 CSW589846:CSW590061 DCS589846:DCS590061 DMO589846:DMO590061 DWK589846:DWK590061 EGG589846:EGG590061 EQC589846:EQC590061 EZY589846:EZY590061 FJU589846:FJU590061 FTQ589846:FTQ590061 GDM589846:GDM590061 GNI589846:GNI590061 GXE589846:GXE590061 HHA589846:HHA590061 HQW589846:HQW590061 IAS589846:IAS590061 IKO589846:IKO590061 IUK589846:IUK590061 JEG589846:JEG590061 JOC589846:JOC590061 JXY589846:JXY590061 KHU589846:KHU590061 KRQ589846:KRQ590061 LBM589846:LBM590061 LLI589846:LLI590061 LVE589846:LVE590061 MFA589846:MFA590061 MOW589846:MOW590061 MYS589846:MYS590061 NIO589846:NIO590061 NSK589846:NSK590061 OCG589846:OCG590061 OMC589846:OMC590061 OVY589846:OVY590061 PFU589846:PFU590061 PPQ589846:PPQ590061 PZM589846:PZM590061 QJI589846:QJI590061 QTE589846:QTE590061 RDA589846:RDA590061 RMW589846:RMW590061 RWS589846:RWS590061 SGO589846:SGO590061 SQK589846:SQK590061 TAG589846:TAG590061 TKC589846:TKC590061 TTY589846:TTY590061 UDU589846:UDU590061 UNQ589846:UNQ590061 UXM589846:UXM590061 VHI589846:VHI590061 VRE589846:VRE590061 WBA589846:WBA590061 WKW589846:WKW590061 WUS589846:WUS590061 IG655382:IG655597 SC655382:SC655597 ABY655382:ABY655597 ALU655382:ALU655597 AVQ655382:AVQ655597 BFM655382:BFM655597 BPI655382:BPI655597 BZE655382:BZE655597 CJA655382:CJA655597 CSW655382:CSW655597 DCS655382:DCS655597 DMO655382:DMO655597 DWK655382:DWK655597 EGG655382:EGG655597 EQC655382:EQC655597 EZY655382:EZY655597 FJU655382:FJU655597 FTQ655382:FTQ655597 GDM655382:GDM655597 GNI655382:GNI655597 GXE655382:GXE655597 HHA655382:HHA655597 HQW655382:HQW655597 IAS655382:IAS655597 IKO655382:IKO655597 IUK655382:IUK655597 JEG655382:JEG655597 JOC655382:JOC655597 JXY655382:JXY655597 KHU655382:KHU655597 KRQ655382:KRQ655597 LBM655382:LBM655597 LLI655382:LLI655597 LVE655382:LVE655597 MFA655382:MFA655597 MOW655382:MOW655597 MYS655382:MYS655597 NIO655382:NIO655597 NSK655382:NSK655597 OCG655382:OCG655597 OMC655382:OMC655597 OVY655382:OVY655597 PFU655382:PFU655597 PPQ655382:PPQ655597 PZM655382:PZM655597 QJI655382:QJI655597 QTE655382:QTE655597 RDA655382:RDA655597 RMW655382:RMW655597 RWS655382:RWS655597 SGO655382:SGO655597 SQK655382:SQK655597 TAG655382:TAG655597 TKC655382:TKC655597 TTY655382:TTY655597 UDU655382:UDU655597 UNQ655382:UNQ655597 UXM655382:UXM655597 VHI655382:VHI655597 VRE655382:VRE655597 WBA655382:WBA655597 WKW655382:WKW655597 WUS655382:WUS655597 IG720918:IG721133 SC720918:SC721133 ABY720918:ABY721133 ALU720918:ALU721133 AVQ720918:AVQ721133 BFM720918:BFM721133 BPI720918:BPI721133 BZE720918:BZE721133 CJA720918:CJA721133 CSW720918:CSW721133 DCS720918:DCS721133 DMO720918:DMO721133 DWK720918:DWK721133 EGG720918:EGG721133 EQC720918:EQC721133 EZY720918:EZY721133 FJU720918:FJU721133 FTQ720918:FTQ721133 GDM720918:GDM721133 GNI720918:GNI721133 GXE720918:GXE721133 HHA720918:HHA721133 HQW720918:HQW721133 IAS720918:IAS721133 IKO720918:IKO721133 IUK720918:IUK721133 JEG720918:JEG721133 JOC720918:JOC721133 JXY720918:JXY721133 KHU720918:KHU721133 KRQ720918:KRQ721133 LBM720918:LBM721133 LLI720918:LLI721133 LVE720918:LVE721133 MFA720918:MFA721133 MOW720918:MOW721133 MYS720918:MYS721133 NIO720918:NIO721133 NSK720918:NSK721133 OCG720918:OCG721133 OMC720918:OMC721133 OVY720918:OVY721133 PFU720918:PFU721133 PPQ720918:PPQ721133 PZM720918:PZM721133 QJI720918:QJI721133 QTE720918:QTE721133 RDA720918:RDA721133 RMW720918:RMW721133 RWS720918:RWS721133 SGO720918:SGO721133 SQK720918:SQK721133 TAG720918:TAG721133 TKC720918:TKC721133 TTY720918:TTY721133 UDU720918:UDU721133 UNQ720918:UNQ721133 UXM720918:UXM721133 VHI720918:VHI721133 VRE720918:VRE721133 WBA720918:WBA721133 WKW720918:WKW721133 WUS720918:WUS721133 IG786454:IG786669 SC786454:SC786669 ABY786454:ABY786669 ALU786454:ALU786669 AVQ786454:AVQ786669 BFM786454:BFM786669 BPI786454:BPI786669 BZE786454:BZE786669 CJA786454:CJA786669 CSW786454:CSW786669 DCS786454:DCS786669 DMO786454:DMO786669 DWK786454:DWK786669 EGG786454:EGG786669 EQC786454:EQC786669 EZY786454:EZY786669 FJU786454:FJU786669 FTQ786454:FTQ786669 GDM786454:GDM786669 GNI786454:GNI786669 GXE786454:GXE786669 HHA786454:HHA786669 HQW786454:HQW786669 IAS786454:IAS786669 IKO786454:IKO786669 IUK786454:IUK786669 JEG786454:JEG786669 JOC786454:JOC786669 JXY786454:JXY786669 KHU786454:KHU786669 KRQ786454:KRQ786669 LBM786454:LBM786669 LLI786454:LLI786669 LVE786454:LVE786669 MFA786454:MFA786669 MOW786454:MOW786669 MYS786454:MYS786669 NIO786454:NIO786669 NSK786454:NSK786669 OCG786454:OCG786669 OMC786454:OMC786669 OVY786454:OVY786669 PFU786454:PFU786669 PPQ786454:PPQ786669 PZM786454:PZM786669 QJI786454:QJI786669 QTE786454:QTE786669 RDA786454:RDA786669 RMW786454:RMW786669 RWS786454:RWS786669 SGO786454:SGO786669 SQK786454:SQK786669 TAG786454:TAG786669 TKC786454:TKC786669 TTY786454:TTY786669 UDU786454:UDU786669 UNQ786454:UNQ786669 UXM786454:UXM786669 VHI786454:VHI786669 VRE786454:VRE786669 WBA786454:WBA786669 WKW786454:WKW786669 WUS786454:WUS786669 IG851990:IG852205 SC851990:SC852205 ABY851990:ABY852205 ALU851990:ALU852205 AVQ851990:AVQ852205 BFM851990:BFM852205 BPI851990:BPI852205 BZE851990:BZE852205 CJA851990:CJA852205 CSW851990:CSW852205 DCS851990:DCS852205 DMO851990:DMO852205 DWK851990:DWK852205 EGG851990:EGG852205 EQC851990:EQC852205 EZY851990:EZY852205 FJU851990:FJU852205 FTQ851990:FTQ852205 GDM851990:GDM852205 GNI851990:GNI852205 GXE851990:GXE852205 HHA851990:HHA852205 HQW851990:HQW852205 IAS851990:IAS852205 IKO851990:IKO852205 IUK851990:IUK852205 JEG851990:JEG852205 JOC851990:JOC852205 JXY851990:JXY852205 KHU851990:KHU852205 KRQ851990:KRQ852205 LBM851990:LBM852205 LLI851990:LLI852205 LVE851990:LVE852205 MFA851990:MFA852205 MOW851990:MOW852205 MYS851990:MYS852205 NIO851990:NIO852205 NSK851990:NSK852205 OCG851990:OCG852205 OMC851990:OMC852205 OVY851990:OVY852205 PFU851990:PFU852205 PPQ851990:PPQ852205 PZM851990:PZM852205 QJI851990:QJI852205 QTE851990:QTE852205 RDA851990:RDA852205 RMW851990:RMW852205 RWS851990:RWS852205 SGO851990:SGO852205 SQK851990:SQK852205 TAG851990:TAG852205 TKC851990:TKC852205 TTY851990:TTY852205 UDU851990:UDU852205 UNQ851990:UNQ852205 UXM851990:UXM852205 VHI851990:VHI852205 VRE851990:VRE852205 WBA851990:WBA852205 WKW851990:WKW852205 WUS851990:WUS852205 IG917526:IG917741 SC917526:SC917741 ABY917526:ABY917741 ALU917526:ALU917741 AVQ917526:AVQ917741 BFM917526:BFM917741 BPI917526:BPI917741 BZE917526:BZE917741 CJA917526:CJA917741 CSW917526:CSW917741 DCS917526:DCS917741 DMO917526:DMO917741 DWK917526:DWK917741 EGG917526:EGG917741 EQC917526:EQC917741 EZY917526:EZY917741 FJU917526:FJU917741 FTQ917526:FTQ917741 GDM917526:GDM917741 GNI917526:GNI917741 GXE917526:GXE917741 HHA917526:HHA917741 HQW917526:HQW917741 IAS917526:IAS917741 IKO917526:IKO917741 IUK917526:IUK917741 JEG917526:JEG917741 JOC917526:JOC917741 JXY917526:JXY917741 KHU917526:KHU917741 KRQ917526:KRQ917741 LBM917526:LBM917741 LLI917526:LLI917741 LVE917526:LVE917741 MFA917526:MFA917741 MOW917526:MOW917741 MYS917526:MYS917741 NIO917526:NIO917741 NSK917526:NSK917741 OCG917526:OCG917741 OMC917526:OMC917741 OVY917526:OVY917741 PFU917526:PFU917741 PPQ917526:PPQ917741 PZM917526:PZM917741 QJI917526:QJI917741 QTE917526:QTE917741 RDA917526:RDA917741 RMW917526:RMW917741 RWS917526:RWS917741 SGO917526:SGO917741 SQK917526:SQK917741 TAG917526:TAG917741 TKC917526:TKC917741 TTY917526:TTY917741 UDU917526:UDU917741 UNQ917526:UNQ917741 UXM917526:UXM917741 VHI917526:VHI917741 VRE917526:VRE917741 WBA917526:WBA917741 WKW917526:WKW917741 WUS917526:WUS917741 IG983062:IG983277 SC983062:SC983277 ABY983062:ABY983277 ALU983062:ALU983277 AVQ983062:AVQ983277 BFM983062:BFM983277 BPI983062:BPI983277 BZE983062:BZE983277 CJA983062:CJA983277 CSW983062:CSW983277 DCS983062:DCS983277 DMO983062:DMO983277 DWK983062:DWK983277 EGG983062:EGG983277 EQC983062:EQC983277 EZY983062:EZY983277 FJU983062:FJU983277 FTQ983062:FTQ983277 GDM983062:GDM983277 GNI983062:GNI983277 GXE983062:GXE983277 HHA983062:HHA983277 HQW983062:HQW983277 IAS983062:IAS983277 IKO983062:IKO983277 IUK983062:IUK983277 JEG983062:JEG983277 JOC983062:JOC983277 JXY983062:JXY983277 KHU983062:KHU983277 KRQ983062:KRQ983277 LBM983062:LBM983277 LLI983062:LLI983277 LVE983062:LVE983277 MFA983062:MFA983277 MOW983062:MOW983277 MYS983062:MYS983277 NIO983062:NIO983277 NSK983062:NSK983277 OCG983062:OCG983277 OMC983062:OMC983277 OVY983062:OVY983277 PFU983062:PFU983277 PPQ983062:PPQ983277 PZM983062:PZM983277 QJI983062:QJI983277 QTE983062:QTE983277 RDA983062:RDA983277 RMW983062:RMW983277 RWS983062:RWS983277 SGO983062:SGO983277 SQK983062:SQK983277 TAG983062:TAG983277 TKC983062:TKC983277 TTY983062:TTY983277 UDU983062:UDU983277 UNQ983062:UNQ983277 UXM983062:UXM983277 VHI983062:VHI983277 VRE983062:VRE983277 WBA983062:WBA983277 WKW983062:WKW983277 WUS983062:WUS983277 KRQ9:KRQ237 KHU9:KHU237 JXY9:JXY237 JOC9:JOC237 JEG9:JEG237 IUK9:IUK237 IKO9:IKO237 IAS9:IAS237 HQW9:HQW237 HHA9:HHA237 GXE9:GXE237 GNI9:GNI237 GDM9:GDM237 FTQ9:FTQ237 FJU9:FJU237 EZY9:EZY237 EQC9:EQC237 EGG9:EGG237 DWK9:DWK237 DMO9:DMO237 DCS9:DCS237 CSW9:CSW237 CJA9:CJA237 BZE9:BZE237 BPI9:BPI237 BFM9:BFM237 AVQ9:AVQ237 ALU9:ALU237 ABY9:ABY237 SC9:SC237 IG9:IG237 WUS9:WUS237 WKW9:WKW237 WBA9:WBA237 VRE9:VRE237 VHI9:VHI237 UXM9:UXM237 UNQ9:UNQ237 UDU9:UDU237 TTY9:TTY237 TKC9:TKC237 TAG9:TAG237 SQK9:SQK237 SGO9:SGO237 RWS9:RWS237 RMW9:RMW237 RDA9:RDA237 QTE9:QTE237 QJI9:QJI237 PZM9:PZM237 PPQ9:PPQ237 PFU9:PFU237 OVY9:OVY237 OMC9:OMC237 OCG9:OCG237 NSK9:NSK237 NIO9:NIO237 MYS9:MYS237 MOW9:MOW237 MFA9:MFA237 LVE9:LVE237 LLI9:LLI237 LBM9:LBM237" xr:uid="{00000000-0002-0000-0100-000001000000}">
      <formula1>-9.99999999999999E+30</formula1>
      <formula2>9.99999999999999E+31</formula2>
    </dataValidation>
  </dataValidations>
  <hyperlinks>
    <hyperlink ref="A3" location="Menu!A1" display="MENU" xr:uid="{00000000-0004-0000-0100-000000000000}"/>
  </hyperlinks>
  <pageMargins left="0.7" right="0.7" top="0.75" bottom="0.75" header="0.3" footer="0.3"/>
  <pageSetup paperSize="2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P41"/>
  <sheetViews>
    <sheetView showGridLines="0" topLeftCell="A14" workbookViewId="0">
      <selection activeCell="E34" sqref="E34:P35"/>
    </sheetView>
  </sheetViews>
  <sheetFormatPr defaultColWidth="8.6640625" defaultRowHeight="14.4" x14ac:dyDescent="0.3"/>
  <cols>
    <col min="1" max="1" width="6.44140625" bestFit="1" customWidth="1"/>
    <col min="3" max="3" width="64.5546875" bestFit="1" customWidth="1"/>
    <col min="4" max="4" width="9.109375" customWidth="1"/>
    <col min="5" max="5" width="11.5546875" bestFit="1" customWidth="1"/>
    <col min="6" max="14" width="13.33203125" bestFit="1" customWidth="1"/>
  </cols>
  <sheetData>
    <row r="1" spans="1:16" x14ac:dyDescent="0.3">
      <c r="A1" s="9" t="s">
        <v>68</v>
      </c>
      <c r="C1" s="117" t="s">
        <v>1</v>
      </c>
      <c r="D1" s="2"/>
      <c r="E1" s="118"/>
      <c r="F1" s="118"/>
    </row>
    <row r="2" spans="1:16" x14ac:dyDescent="0.3">
      <c r="C2" s="122" t="s">
        <v>858</v>
      </c>
      <c r="E2" s="147">
        <v>0.22</v>
      </c>
    </row>
    <row r="3" spans="1:16" x14ac:dyDescent="0.3">
      <c r="C3" s="122" t="s">
        <v>857</v>
      </c>
      <c r="E3" s="147">
        <v>0.22</v>
      </c>
    </row>
    <row r="6" spans="1:16" s="53" customFormat="1" x14ac:dyDescent="0.3"/>
    <row r="7" spans="1:16" ht="15" thickBot="1" x14ac:dyDescent="0.35">
      <c r="C7" s="117" t="s">
        <v>4</v>
      </c>
      <c r="D7" s="2"/>
      <c r="E7" s="195">
        <f>EOMONTH(Menu!C4,1)</f>
        <v>43159</v>
      </c>
      <c r="F7" s="195">
        <f>+EOMONTH(E7,1)</f>
        <v>43190</v>
      </c>
      <c r="G7" s="195">
        <f t="shared" ref="G7:N7" si="0">+EOMONTH(F7,1)</f>
        <v>43220</v>
      </c>
      <c r="H7" s="195">
        <f t="shared" si="0"/>
        <v>43251</v>
      </c>
      <c r="I7" s="195">
        <f t="shared" si="0"/>
        <v>43281</v>
      </c>
      <c r="J7" s="195">
        <f t="shared" si="0"/>
        <v>43312</v>
      </c>
      <c r="K7" s="195">
        <f t="shared" si="0"/>
        <v>43343</v>
      </c>
      <c r="L7" s="195">
        <f t="shared" si="0"/>
        <v>43373</v>
      </c>
      <c r="M7" s="195">
        <f t="shared" si="0"/>
        <v>43404</v>
      </c>
      <c r="N7" s="195">
        <f t="shared" si="0"/>
        <v>43434</v>
      </c>
      <c r="O7" s="195">
        <f t="shared" ref="O7" si="1">+EOMONTH(N7,1)</f>
        <v>43465</v>
      </c>
      <c r="P7" s="195">
        <f t="shared" ref="P7" si="2">+EOMONTH(O7,1)</f>
        <v>43496</v>
      </c>
    </row>
    <row r="8" spans="1:16" x14ac:dyDescent="0.3">
      <c r="C8" s="122" t="s">
        <v>672</v>
      </c>
      <c r="E8" s="197">
        <v>130000</v>
      </c>
      <c r="F8" s="198">
        <v>130000</v>
      </c>
      <c r="G8" s="198">
        <v>130000</v>
      </c>
      <c r="H8" s="198">
        <v>130000</v>
      </c>
      <c r="I8" s="198">
        <v>130000</v>
      </c>
      <c r="J8" s="198">
        <v>130000</v>
      </c>
      <c r="K8" s="198">
        <v>130000</v>
      </c>
      <c r="L8" s="198">
        <v>130000</v>
      </c>
      <c r="M8" s="198">
        <v>130000</v>
      </c>
      <c r="N8" s="198">
        <v>130000</v>
      </c>
      <c r="O8" s="198">
        <v>130000</v>
      </c>
      <c r="P8" s="198">
        <v>130000</v>
      </c>
    </row>
    <row r="9" spans="1:16" x14ac:dyDescent="0.3">
      <c r="C9" s="122" t="s">
        <v>5</v>
      </c>
      <c r="D9" s="184">
        <v>0</v>
      </c>
    </row>
    <row r="10" spans="1:16" ht="15" thickBot="1" x14ac:dyDescent="0.35">
      <c r="C10" s="122" t="s">
        <v>758</v>
      </c>
      <c r="E10" s="185">
        <v>150000</v>
      </c>
      <c r="F10" s="186">
        <v>150000</v>
      </c>
      <c r="G10" s="186">
        <v>150000</v>
      </c>
      <c r="H10" s="186">
        <v>150000</v>
      </c>
      <c r="I10" s="186">
        <v>150000</v>
      </c>
      <c r="J10" s="186">
        <v>150000</v>
      </c>
      <c r="K10" s="186">
        <v>150000</v>
      </c>
      <c r="L10" s="186">
        <v>150000</v>
      </c>
      <c r="M10" s="186">
        <v>150000</v>
      </c>
      <c r="N10" s="186">
        <v>150000</v>
      </c>
      <c r="O10" s="186">
        <v>150000</v>
      </c>
      <c r="P10" s="186">
        <v>150000</v>
      </c>
    </row>
    <row r="12" spans="1:16" ht="15" thickBot="1" x14ac:dyDescent="0.35">
      <c r="C12" s="117" t="s">
        <v>6</v>
      </c>
      <c r="D12" s="2"/>
      <c r="E12" s="195">
        <f>+E7</f>
        <v>43159</v>
      </c>
      <c r="F12" s="195">
        <f t="shared" ref="F12:N12" si="3">+F7</f>
        <v>43190</v>
      </c>
      <c r="G12" s="195">
        <f t="shared" si="3"/>
        <v>43220</v>
      </c>
      <c r="H12" s="195">
        <f t="shared" si="3"/>
        <v>43251</v>
      </c>
      <c r="I12" s="195">
        <f t="shared" si="3"/>
        <v>43281</v>
      </c>
      <c r="J12" s="195">
        <f t="shared" si="3"/>
        <v>43312</v>
      </c>
      <c r="K12" s="195">
        <f t="shared" si="3"/>
        <v>43343</v>
      </c>
      <c r="L12" s="195">
        <f t="shared" si="3"/>
        <v>43373</v>
      </c>
      <c r="M12" s="195">
        <f t="shared" si="3"/>
        <v>43404</v>
      </c>
      <c r="N12" s="195">
        <f t="shared" si="3"/>
        <v>43434</v>
      </c>
      <c r="O12" s="195">
        <f t="shared" ref="O12:P12" si="4">+O7</f>
        <v>43465</v>
      </c>
      <c r="P12" s="195">
        <f t="shared" si="4"/>
        <v>43496</v>
      </c>
    </row>
    <row r="13" spans="1:16" ht="15" thickBot="1" x14ac:dyDescent="0.35">
      <c r="C13" s="122" t="s">
        <v>759</v>
      </c>
      <c r="E13" s="216">
        <v>0.45</v>
      </c>
      <c r="F13" s="217">
        <v>0.45</v>
      </c>
      <c r="G13" s="217">
        <v>0.45</v>
      </c>
      <c r="H13" s="217">
        <v>0.45</v>
      </c>
      <c r="I13" s="217">
        <v>0.45</v>
      </c>
      <c r="J13" s="217">
        <v>0.45</v>
      </c>
      <c r="K13" s="217">
        <v>0.45</v>
      </c>
      <c r="L13" s="217">
        <v>0.45</v>
      </c>
      <c r="M13" s="217">
        <v>0.45</v>
      </c>
      <c r="N13" s="217">
        <v>0.45</v>
      </c>
      <c r="O13" s="217">
        <v>0.45</v>
      </c>
      <c r="P13" s="217">
        <v>0.45</v>
      </c>
    </row>
    <row r="14" spans="1:16" ht="15" thickBot="1" x14ac:dyDescent="0.35">
      <c r="C14" s="122" t="s">
        <v>7</v>
      </c>
      <c r="D14" s="184">
        <v>90</v>
      </c>
    </row>
    <row r="15" spans="1:16" ht="15" thickBot="1" x14ac:dyDescent="0.35">
      <c r="C15" s="122" t="s">
        <v>760</v>
      </c>
      <c r="E15" s="213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5"/>
    </row>
    <row r="16" spans="1:16" ht="15" thickBot="1" x14ac:dyDescent="0.35"/>
    <row r="17" spans="3:16" x14ac:dyDescent="0.3">
      <c r="C17" s="122" t="s">
        <v>862</v>
      </c>
      <c r="E17" s="138">
        <v>6000</v>
      </c>
      <c r="F17" s="139">
        <v>6000</v>
      </c>
      <c r="G17" s="139">
        <v>6000</v>
      </c>
      <c r="H17" s="139">
        <v>6000</v>
      </c>
      <c r="I17" s="139">
        <v>6000</v>
      </c>
      <c r="J17" s="139">
        <v>6000</v>
      </c>
      <c r="K17" s="139">
        <v>6000</v>
      </c>
      <c r="L17" s="139">
        <v>6000</v>
      </c>
      <c r="M17" s="139">
        <v>6000</v>
      </c>
      <c r="N17" s="139">
        <v>6000</v>
      </c>
      <c r="O17" s="139">
        <v>6000</v>
      </c>
      <c r="P17" s="140">
        <v>6000</v>
      </c>
    </row>
    <row r="18" spans="3:16" x14ac:dyDescent="0.3">
      <c r="C18" s="122" t="s">
        <v>863</v>
      </c>
      <c r="E18" s="141">
        <v>20000</v>
      </c>
      <c r="F18" s="142">
        <v>20000</v>
      </c>
      <c r="G18" s="142">
        <v>20000</v>
      </c>
      <c r="H18" s="142">
        <v>20000</v>
      </c>
      <c r="I18" s="142">
        <v>20000</v>
      </c>
      <c r="J18" s="142">
        <v>20000</v>
      </c>
      <c r="K18" s="142">
        <v>20000</v>
      </c>
      <c r="L18" s="142">
        <v>20000</v>
      </c>
      <c r="M18" s="142">
        <v>20000</v>
      </c>
      <c r="N18" s="142">
        <v>20000</v>
      </c>
      <c r="O18" s="142">
        <v>20000</v>
      </c>
      <c r="P18" s="143">
        <v>20000</v>
      </c>
    </row>
    <row r="19" spans="3:16" ht="15" thickBot="1" x14ac:dyDescent="0.35">
      <c r="C19" s="122" t="s">
        <v>875</v>
      </c>
      <c r="E19" s="210">
        <v>7.4999999999999997E-2</v>
      </c>
      <c r="F19" s="211">
        <v>7.4999999999999997E-2</v>
      </c>
      <c r="G19" s="211">
        <v>7.4999999999999997E-2</v>
      </c>
      <c r="H19" s="211">
        <v>7.4999999999999997E-2</v>
      </c>
      <c r="I19" s="211">
        <v>7.4999999999999997E-2</v>
      </c>
      <c r="J19" s="211">
        <v>7.4999999999999997E-2</v>
      </c>
      <c r="K19" s="211">
        <v>7.4999999999999997E-2</v>
      </c>
      <c r="L19" s="211">
        <v>7.4999999999999997E-2</v>
      </c>
      <c r="M19" s="211">
        <v>7.4999999999999997E-2</v>
      </c>
      <c r="N19" s="211">
        <v>7.4999999999999997E-2</v>
      </c>
      <c r="O19" s="211">
        <v>7.4999999999999997E-2</v>
      </c>
      <c r="P19" s="212">
        <v>7.4999999999999997E-2</v>
      </c>
    </row>
    <row r="22" spans="3:16" ht="15" thickBot="1" x14ac:dyDescent="0.35">
      <c r="C22" s="117" t="s">
        <v>8</v>
      </c>
      <c r="D22" s="2"/>
      <c r="E22" s="195">
        <f>+E7</f>
        <v>43159</v>
      </c>
      <c r="F22" s="195">
        <f t="shared" ref="F22:N22" si="5">+F7</f>
        <v>43190</v>
      </c>
      <c r="G22" s="195">
        <f t="shared" si="5"/>
        <v>43220</v>
      </c>
      <c r="H22" s="195">
        <f t="shared" si="5"/>
        <v>43251</v>
      </c>
      <c r="I22" s="195">
        <f t="shared" si="5"/>
        <v>43281</v>
      </c>
      <c r="J22" s="195">
        <f t="shared" si="5"/>
        <v>43312</v>
      </c>
      <c r="K22" s="195">
        <f t="shared" si="5"/>
        <v>43343</v>
      </c>
      <c r="L22" s="195">
        <f t="shared" si="5"/>
        <v>43373</v>
      </c>
      <c r="M22" s="195">
        <f t="shared" si="5"/>
        <v>43404</v>
      </c>
      <c r="N22" s="195">
        <f t="shared" si="5"/>
        <v>43434</v>
      </c>
      <c r="O22" s="195">
        <f t="shared" ref="O22:P22" si="6">+O7</f>
        <v>43465</v>
      </c>
      <c r="P22" s="195">
        <f t="shared" si="6"/>
        <v>43496</v>
      </c>
    </row>
    <row r="23" spans="3:16" x14ac:dyDescent="0.3">
      <c r="C23" s="122" t="s">
        <v>9</v>
      </c>
      <c r="E23" s="138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40"/>
    </row>
    <row r="24" spans="3:16" x14ac:dyDescent="0.3">
      <c r="C24" s="122" t="s">
        <v>10</v>
      </c>
      <c r="E24" s="141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3"/>
    </row>
    <row r="25" spans="3:16" ht="15" thickBot="1" x14ac:dyDescent="0.35">
      <c r="C25" s="122" t="s">
        <v>11</v>
      </c>
      <c r="E25" s="144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6"/>
    </row>
    <row r="27" spans="3:16" ht="15" thickBot="1" x14ac:dyDescent="0.35">
      <c r="C27" s="117" t="s">
        <v>12</v>
      </c>
      <c r="D27" s="2"/>
      <c r="E27" s="195">
        <f>+E7</f>
        <v>43159</v>
      </c>
      <c r="F27" s="195">
        <f t="shared" ref="F27:N27" si="7">+F7</f>
        <v>43190</v>
      </c>
      <c r="G27" s="195">
        <f t="shared" si="7"/>
        <v>43220</v>
      </c>
      <c r="H27" s="195">
        <f t="shared" si="7"/>
        <v>43251</v>
      </c>
      <c r="I27" s="195">
        <f t="shared" si="7"/>
        <v>43281</v>
      </c>
      <c r="J27" s="195">
        <f t="shared" si="7"/>
        <v>43312</v>
      </c>
      <c r="K27" s="195">
        <f t="shared" si="7"/>
        <v>43343</v>
      </c>
      <c r="L27" s="195">
        <f t="shared" si="7"/>
        <v>43373</v>
      </c>
      <c r="M27" s="195">
        <f t="shared" si="7"/>
        <v>43404</v>
      </c>
      <c r="N27" s="195">
        <f t="shared" si="7"/>
        <v>43434</v>
      </c>
      <c r="O27" s="195">
        <f t="shared" ref="O27:P27" si="8">+O7</f>
        <v>43465</v>
      </c>
      <c r="P27" s="195">
        <f t="shared" si="8"/>
        <v>43496</v>
      </c>
    </row>
    <row r="28" spans="3:16" x14ac:dyDescent="0.3">
      <c r="C28" s="122" t="s">
        <v>13</v>
      </c>
      <c r="E28" s="138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40"/>
    </row>
    <row r="29" spans="3:16" x14ac:dyDescent="0.3">
      <c r="C29" s="122" t="s">
        <v>14</v>
      </c>
      <c r="E29" s="141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3"/>
    </row>
    <row r="30" spans="3:16" ht="15" thickBot="1" x14ac:dyDescent="0.35">
      <c r="C30" s="122" t="s">
        <v>15</v>
      </c>
      <c r="E30" s="144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6"/>
    </row>
    <row r="33" spans="3:16" x14ac:dyDescent="0.3">
      <c r="C33" s="117" t="s">
        <v>853</v>
      </c>
      <c r="D33" s="2"/>
      <c r="E33" s="195">
        <f>+E7</f>
        <v>43159</v>
      </c>
      <c r="F33" s="195">
        <f t="shared" ref="F33:N33" si="9">+F7</f>
        <v>43190</v>
      </c>
      <c r="G33" s="195">
        <f t="shared" si="9"/>
        <v>43220</v>
      </c>
      <c r="H33" s="195">
        <f t="shared" si="9"/>
        <v>43251</v>
      </c>
      <c r="I33" s="195">
        <f t="shared" si="9"/>
        <v>43281</v>
      </c>
      <c r="J33" s="195">
        <f t="shared" si="9"/>
        <v>43312</v>
      </c>
      <c r="K33" s="195">
        <f t="shared" si="9"/>
        <v>43343</v>
      </c>
      <c r="L33" s="195">
        <f t="shared" si="9"/>
        <v>43373</v>
      </c>
      <c r="M33" s="195">
        <f t="shared" si="9"/>
        <v>43404</v>
      </c>
      <c r="N33" s="195">
        <f t="shared" si="9"/>
        <v>43434</v>
      </c>
      <c r="O33" s="195">
        <f t="shared" ref="O33:P33" si="10">+O7</f>
        <v>43465</v>
      </c>
      <c r="P33" s="195">
        <f t="shared" si="10"/>
        <v>43496</v>
      </c>
    </row>
    <row r="34" spans="3:16" ht="15" thickBot="1" x14ac:dyDescent="0.35">
      <c r="C34" t="s">
        <v>854</v>
      </c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</row>
    <row r="35" spans="3:16" ht="15" thickBot="1" x14ac:dyDescent="0.35">
      <c r="C35" t="s">
        <v>855</v>
      </c>
      <c r="E35" s="177"/>
      <c r="F35" s="178"/>
      <c r="G35" s="178"/>
      <c r="H35" s="178"/>
      <c r="I35" s="178"/>
      <c r="J35" s="178"/>
      <c r="K35" s="178"/>
      <c r="L35" s="178"/>
      <c r="M35" s="178"/>
      <c r="N35" s="179"/>
      <c r="O35" s="179"/>
      <c r="P35" s="179"/>
    </row>
    <row r="36" spans="3:16" x14ac:dyDescent="0.3">
      <c r="C36" t="s">
        <v>856</v>
      </c>
      <c r="E36" s="175">
        <f>+IF(E34&lt;0,0,E35*E34)</f>
        <v>0</v>
      </c>
      <c r="F36" s="175">
        <f t="shared" ref="F36:N36" si="11">+IF(F34&lt;0,0,F35*F34)</f>
        <v>0</v>
      </c>
      <c r="G36" s="175">
        <f t="shared" si="11"/>
        <v>0</v>
      </c>
      <c r="H36" s="175">
        <f t="shared" si="11"/>
        <v>0</v>
      </c>
      <c r="I36" s="175">
        <f t="shared" si="11"/>
        <v>0</v>
      </c>
      <c r="J36" s="175">
        <f t="shared" si="11"/>
        <v>0</v>
      </c>
      <c r="K36" s="175">
        <f t="shared" si="11"/>
        <v>0</v>
      </c>
      <c r="L36" s="175">
        <f t="shared" si="11"/>
        <v>0</v>
      </c>
      <c r="M36" s="175">
        <f t="shared" si="11"/>
        <v>0</v>
      </c>
      <c r="N36" s="175">
        <f t="shared" si="11"/>
        <v>0</v>
      </c>
      <c r="O36" s="175">
        <f t="shared" ref="O36:P36" si="12">+IF(O34&lt;0,0,O35*O34)</f>
        <v>0</v>
      </c>
      <c r="P36" s="175">
        <f t="shared" si="12"/>
        <v>0</v>
      </c>
    </row>
    <row r="38" spans="3:16" x14ac:dyDescent="0.3">
      <c r="C38" s="117" t="s">
        <v>859</v>
      </c>
      <c r="D38" s="2"/>
      <c r="E38" s="195">
        <f>+E33</f>
        <v>43159</v>
      </c>
      <c r="F38" s="195">
        <f t="shared" ref="F38:N38" si="13">+F33</f>
        <v>43190</v>
      </c>
      <c r="G38" s="195">
        <f t="shared" si="13"/>
        <v>43220</v>
      </c>
      <c r="H38" s="195">
        <f t="shared" si="13"/>
        <v>43251</v>
      </c>
      <c r="I38" s="195">
        <f t="shared" si="13"/>
        <v>43281</v>
      </c>
      <c r="J38" s="195">
        <f t="shared" si="13"/>
        <v>43312</v>
      </c>
      <c r="K38" s="195">
        <f t="shared" si="13"/>
        <v>43343</v>
      </c>
      <c r="L38" s="195">
        <f t="shared" si="13"/>
        <v>43373</v>
      </c>
      <c r="M38" s="195">
        <f t="shared" si="13"/>
        <v>43404</v>
      </c>
      <c r="N38" s="195">
        <f t="shared" si="13"/>
        <v>43434</v>
      </c>
      <c r="O38" s="195">
        <f t="shared" ref="O38:P38" si="14">+O33</f>
        <v>43465</v>
      </c>
      <c r="P38" s="195">
        <f t="shared" si="14"/>
        <v>43496</v>
      </c>
    </row>
    <row r="39" spans="3:16" ht="15" thickBot="1" x14ac:dyDescent="0.35">
      <c r="C39" t="s">
        <v>679</v>
      </c>
      <c r="E39" s="192"/>
      <c r="F39" s="175">
        <f>+IF(Calcoli!C128&gt;0,Calcoli!C128,0)</f>
        <v>0</v>
      </c>
      <c r="G39" s="175">
        <f>+IF(Calcoli!D128&gt;0,Calcoli!D128,0)</f>
        <v>0</v>
      </c>
      <c r="H39" s="175">
        <f>+IF(Calcoli!E128&gt;0,Calcoli!E128,0)</f>
        <v>0</v>
      </c>
      <c r="I39" s="175">
        <f>+IF(Calcoli!F128&gt;0,Calcoli!F128,0)</f>
        <v>0</v>
      </c>
      <c r="J39" s="175">
        <f>+IF(Calcoli!G128&gt;0,Calcoli!G128,0)</f>
        <v>0</v>
      </c>
      <c r="K39" s="175">
        <f>+IF(Calcoli!H128&gt;0,Calcoli!H128,0)</f>
        <v>0</v>
      </c>
      <c r="L39" s="175">
        <f>+IF(Calcoli!I128&gt;0,Calcoli!I128,0)</f>
        <v>0</v>
      </c>
      <c r="M39" s="175">
        <f>+IF(Calcoli!J128&gt;0,Calcoli!J128,0)</f>
        <v>0</v>
      </c>
      <c r="N39" s="175">
        <f>+IF(Calcoli!K128&gt;0,Calcoli!K128,0)</f>
        <v>0</v>
      </c>
      <c r="O39" s="175">
        <f>+IF(Calcoli!L128&gt;0,Calcoli!L128,0)</f>
        <v>0</v>
      </c>
      <c r="P39" s="175">
        <f>+IF(Calcoli!M128&gt;0,Calcoli!M128,0)</f>
        <v>0</v>
      </c>
    </row>
    <row r="40" spans="3:16" ht="15" thickBot="1" x14ac:dyDescent="0.35">
      <c r="C40" t="s">
        <v>860</v>
      </c>
      <c r="E40" s="189"/>
      <c r="F40" s="190"/>
      <c r="G40" s="190"/>
      <c r="H40" s="190"/>
      <c r="I40" s="190"/>
      <c r="J40" s="190"/>
      <c r="K40" s="190"/>
      <c r="L40" s="190"/>
      <c r="M40" s="190"/>
      <c r="N40" s="191"/>
      <c r="O40" s="191"/>
      <c r="P40" s="191"/>
    </row>
    <row r="41" spans="3:16" x14ac:dyDescent="0.3">
      <c r="E41" s="183" t="str">
        <f>+IF(E40&gt;E39,"attenzione non è possibile compensare o liquidare per un valore maggiore al credito iva","")</f>
        <v/>
      </c>
      <c r="F41" s="183" t="str">
        <f t="shared" ref="F41:N41" si="15">+IF(F40&gt;F39,"attenzione non è possibile compensare o liquidare per un valore maggiore al credito iva","")</f>
        <v/>
      </c>
      <c r="G41" s="183" t="str">
        <f t="shared" si="15"/>
        <v/>
      </c>
      <c r="H41" s="183" t="str">
        <f t="shared" si="15"/>
        <v/>
      </c>
      <c r="I41" s="183" t="str">
        <f t="shared" si="15"/>
        <v/>
      </c>
      <c r="J41" s="183" t="str">
        <f t="shared" si="15"/>
        <v/>
      </c>
      <c r="K41" s="183" t="str">
        <f t="shared" si="15"/>
        <v/>
      </c>
      <c r="L41" s="183" t="str">
        <f t="shared" si="15"/>
        <v/>
      </c>
      <c r="M41" s="183" t="str">
        <f t="shared" si="15"/>
        <v/>
      </c>
      <c r="N41" s="183" t="str">
        <f t="shared" si="15"/>
        <v/>
      </c>
    </row>
  </sheetData>
  <conditionalFormatting sqref="E8:P8">
    <cfRule type="expression" dxfId="60" priority="55" stopIfTrue="1">
      <formula>ABS(SUM(E8)-SUM(#REF!))&gt;=1</formula>
    </cfRule>
  </conditionalFormatting>
  <conditionalFormatting sqref="E23:E25 F24:P25">
    <cfRule type="expression" dxfId="59" priority="44" stopIfTrue="1">
      <formula>ABS(SUM(E23)-SUM(#REF!))&gt;=1</formula>
    </cfRule>
  </conditionalFormatting>
  <conditionalFormatting sqref="E2">
    <cfRule type="expression" dxfId="58" priority="36" stopIfTrue="1">
      <formula>ABS(SUM(E2)-SUM(#REF!))&gt;=1</formula>
    </cfRule>
  </conditionalFormatting>
  <conditionalFormatting sqref="F23:P23">
    <cfRule type="expression" dxfId="57" priority="23" stopIfTrue="1">
      <formula>ABS(SUM(F23)-SUM(#REF!))&gt;=1</formula>
    </cfRule>
  </conditionalFormatting>
  <conditionalFormatting sqref="E15:P15">
    <cfRule type="expression" dxfId="56" priority="20" stopIfTrue="1">
      <formula>ABS(SUM(E15)-SUM(#REF!))&gt;=1</formula>
    </cfRule>
  </conditionalFormatting>
  <conditionalFormatting sqref="E10:P10">
    <cfRule type="expression" dxfId="55" priority="19" stopIfTrue="1">
      <formula>ABS(SUM(E10)-SUM(#REF!))&gt;=1</formula>
    </cfRule>
  </conditionalFormatting>
  <conditionalFormatting sqref="E28:E30 F29:M30">
    <cfRule type="expression" dxfId="54" priority="18" stopIfTrue="1">
      <formula>ABS(SUM(E28)-SUM(#REF!))&gt;=1</formula>
    </cfRule>
  </conditionalFormatting>
  <conditionalFormatting sqref="F28:M28">
    <cfRule type="expression" dxfId="53" priority="17" stopIfTrue="1">
      <formula>ABS(SUM(F28)-SUM(#REF!))&gt;=1</formula>
    </cfRule>
  </conditionalFormatting>
  <conditionalFormatting sqref="E13:P13">
    <cfRule type="expression" dxfId="52" priority="15" stopIfTrue="1">
      <formula>ABS(SUM(E13)-SUM(#REF!))&gt;=1</formula>
    </cfRule>
  </conditionalFormatting>
  <conditionalFormatting sqref="E35:P35">
    <cfRule type="expression" dxfId="51" priority="14" stopIfTrue="1">
      <formula>ABS(SUM(E35)-SUM(#REF!))&gt;=1</formula>
    </cfRule>
  </conditionalFormatting>
  <conditionalFormatting sqref="E3">
    <cfRule type="expression" dxfId="50" priority="13" stopIfTrue="1">
      <formula>ABS(SUM(E3)-SUM(#REF!))&gt;=1</formula>
    </cfRule>
  </conditionalFormatting>
  <conditionalFormatting sqref="E40:P40">
    <cfRule type="expression" dxfId="49" priority="12" stopIfTrue="1">
      <formula>ABS(SUM(E40)-SUM(#REF!))&gt;=1</formula>
    </cfRule>
  </conditionalFormatting>
  <conditionalFormatting sqref="D9">
    <cfRule type="expression" dxfId="48" priority="6" stopIfTrue="1">
      <formula>ABS(SUM(D9)-SUM(#REF!))&gt;=1</formula>
    </cfRule>
  </conditionalFormatting>
  <conditionalFormatting sqref="D14">
    <cfRule type="expression" dxfId="47" priority="5" stopIfTrue="1">
      <formula>ABS(SUM(D14)-SUM(#REF!))&gt;=1</formula>
    </cfRule>
  </conditionalFormatting>
  <conditionalFormatting sqref="N29:P30">
    <cfRule type="expression" dxfId="46" priority="4" stopIfTrue="1">
      <formula>ABS(SUM(N29)-SUM(#REF!))&gt;=1</formula>
    </cfRule>
  </conditionalFormatting>
  <conditionalFormatting sqref="N28:P28">
    <cfRule type="expression" dxfId="45" priority="3" stopIfTrue="1">
      <formula>ABS(SUM(N28)-SUM(#REF!))&gt;=1</formula>
    </cfRule>
  </conditionalFormatting>
  <conditionalFormatting sqref="E17:E19 F18:P19">
    <cfRule type="expression" dxfId="44" priority="2" stopIfTrue="1">
      <formula>ABS(SUM(E17)-SUM(#REF!))&gt;=1</formula>
    </cfRule>
  </conditionalFormatting>
  <conditionalFormatting sqref="F17:P17">
    <cfRule type="expression" dxfId="43" priority="1" stopIfTrue="1">
      <formula>ABS(SUM(F17)-SUM(#REF!))&gt;=1</formula>
    </cfRule>
  </conditionalFormatting>
  <hyperlinks>
    <hyperlink ref="A1" location="Menu!A1" display="MENU" xr:uid="{00000000-0004-0000-0200-000000000000}"/>
  </hyperlinks>
  <pageMargins left="0.7" right="0.7" top="0.75" bottom="0.75" header="0.3" footer="0.3"/>
  <pageSetup paperSize="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P19"/>
  <sheetViews>
    <sheetView showGridLines="0" workbookViewId="0">
      <selection activeCell="G9" sqref="G9"/>
    </sheetView>
  </sheetViews>
  <sheetFormatPr defaultColWidth="8.6640625" defaultRowHeight="14.4" x14ac:dyDescent="0.3"/>
  <cols>
    <col min="2" max="2" width="43" bestFit="1" customWidth="1"/>
    <col min="3" max="3" width="17.6640625" customWidth="1"/>
    <col min="4" max="4" width="24.6640625" bestFit="1" customWidth="1"/>
    <col min="5" max="5" width="10.33203125" bestFit="1" customWidth="1"/>
    <col min="6" max="14" width="9" bestFit="1" customWidth="1"/>
  </cols>
  <sheetData>
    <row r="1" spans="1:16" x14ac:dyDescent="0.3">
      <c r="A1" s="9" t="s">
        <v>68</v>
      </c>
    </row>
    <row r="3" spans="1:16" x14ac:dyDescent="0.3">
      <c r="B3" s="2"/>
      <c r="C3" s="2"/>
    </row>
    <row r="4" spans="1:16" ht="15" thickBot="1" x14ac:dyDescent="0.35">
      <c r="C4" s="200">
        <f>+'SP Previsionale'!D3</f>
        <v>43101</v>
      </c>
      <c r="D4" s="62"/>
      <c r="E4" s="195">
        <f>+'Scheda Inv'!D14</f>
        <v>43159</v>
      </c>
      <c r="F4" s="195">
        <f>+'Scheda Inv'!E14</f>
        <v>43190</v>
      </c>
      <c r="G4" s="195">
        <f>+'Scheda Inv'!F14</f>
        <v>43220</v>
      </c>
      <c r="H4" s="195">
        <f>+'Scheda Inv'!G14</f>
        <v>43251</v>
      </c>
      <c r="I4" s="195">
        <f>+'Scheda Inv'!H14</f>
        <v>43281</v>
      </c>
      <c r="J4" s="195">
        <f>+'Scheda Inv'!I14</f>
        <v>43312</v>
      </c>
      <c r="K4" s="195">
        <f>+'Scheda Inv'!J14</f>
        <v>43343</v>
      </c>
      <c r="L4" s="195">
        <f>+'Scheda Inv'!K14</f>
        <v>43373</v>
      </c>
      <c r="M4" s="195">
        <f>+'Scheda Inv'!L14</f>
        <v>43404</v>
      </c>
      <c r="N4" s="195">
        <f>+'Scheda Inv'!M14</f>
        <v>43434</v>
      </c>
      <c r="O4" s="195">
        <f>+'Scheda Inv'!N14</f>
        <v>43465</v>
      </c>
      <c r="P4" s="195">
        <f>+'Scheda Inv'!O14</f>
        <v>43496</v>
      </c>
    </row>
    <row r="5" spans="1:16" x14ac:dyDescent="0.3">
      <c r="B5" s="122" t="s">
        <v>16</v>
      </c>
      <c r="C5" s="123">
        <f>+'SP Previsionale'!D50</f>
        <v>0</v>
      </c>
      <c r="D5" s="122" t="s">
        <v>17</v>
      </c>
      <c r="E5" s="105"/>
      <c r="F5" s="105"/>
      <c r="G5" s="105"/>
      <c r="H5" s="105"/>
      <c r="I5" s="105"/>
      <c r="J5" s="105"/>
      <c r="K5" s="105"/>
      <c r="L5" s="106"/>
      <c r="M5" s="106"/>
      <c r="N5" s="106"/>
      <c r="O5" s="106"/>
      <c r="P5" s="106"/>
    </row>
    <row r="6" spans="1:16" ht="15" thickBot="1" x14ac:dyDescent="0.35">
      <c r="C6" s="63"/>
      <c r="D6" s="122" t="s">
        <v>18</v>
      </c>
      <c r="E6" s="111"/>
      <c r="F6" s="111"/>
      <c r="G6" s="111"/>
      <c r="H6" s="111"/>
      <c r="I6" s="111"/>
      <c r="J6" s="111"/>
      <c r="K6" s="111"/>
      <c r="L6" s="112"/>
      <c r="M6" s="112"/>
      <c r="N6" s="112"/>
      <c r="O6" s="112"/>
      <c r="P6" s="112"/>
    </row>
    <row r="7" spans="1:16" x14ac:dyDescent="0.3">
      <c r="C7" s="63"/>
    </row>
    <row r="8" spans="1:16" ht="15" thickBot="1" x14ac:dyDescent="0.35">
      <c r="C8" s="63"/>
    </row>
    <row r="9" spans="1:16" x14ac:dyDescent="0.3">
      <c r="B9" s="122" t="s">
        <v>19</v>
      </c>
      <c r="C9" s="123">
        <f>+'SP Previsionale'!D51</f>
        <v>121229</v>
      </c>
      <c r="D9" s="122" t="s">
        <v>796</v>
      </c>
      <c r="E9" s="105"/>
      <c r="F9" s="106"/>
      <c r="G9" s="106"/>
      <c r="H9" s="106"/>
      <c r="I9" s="106"/>
      <c r="J9" s="106"/>
      <c r="K9" s="106"/>
      <c r="L9" s="106"/>
      <c r="M9" s="106"/>
      <c r="N9" s="107"/>
      <c r="O9" s="107"/>
      <c r="P9" s="107"/>
    </row>
    <row r="10" spans="1:16" x14ac:dyDescent="0.3">
      <c r="B10" s="122" t="s">
        <v>20</v>
      </c>
      <c r="C10" s="123">
        <f>+'SP Previsionale'!D52</f>
        <v>0</v>
      </c>
      <c r="D10" s="122" t="s">
        <v>796</v>
      </c>
      <c r="E10" s="108"/>
      <c r="F10" s="109"/>
      <c r="G10" s="109"/>
      <c r="H10" s="109"/>
      <c r="I10" s="109"/>
      <c r="J10" s="109"/>
      <c r="K10" s="109"/>
      <c r="L10" s="109"/>
      <c r="M10" s="109"/>
      <c r="N10" s="110"/>
      <c r="O10" s="110"/>
      <c r="P10" s="110"/>
    </row>
    <row r="11" spans="1:16" x14ac:dyDescent="0.3">
      <c r="B11" s="122" t="s">
        <v>21</v>
      </c>
      <c r="C11" s="123">
        <f>+'SP Previsionale'!D53</f>
        <v>0</v>
      </c>
      <c r="D11" s="122" t="s">
        <v>797</v>
      </c>
      <c r="E11" s="108"/>
      <c r="F11" s="109"/>
      <c r="G11" s="109"/>
      <c r="H11" s="109"/>
      <c r="I11" s="109"/>
      <c r="J11" s="109"/>
      <c r="K11" s="109"/>
      <c r="L11" s="109"/>
      <c r="M11" s="109"/>
      <c r="N11" s="110"/>
      <c r="O11" s="110"/>
      <c r="P11" s="110"/>
    </row>
    <row r="12" spans="1:16" ht="15" thickBot="1" x14ac:dyDescent="0.35">
      <c r="B12" s="122" t="s">
        <v>22</v>
      </c>
      <c r="C12" s="123">
        <f>+'SP Previsionale'!D54</f>
        <v>0</v>
      </c>
      <c r="D12" s="122" t="s">
        <v>797</v>
      </c>
      <c r="E12" s="111"/>
      <c r="F12" s="112"/>
      <c r="G12" s="112"/>
      <c r="H12" s="112"/>
      <c r="I12" s="112"/>
      <c r="J12" s="112"/>
      <c r="K12" s="112"/>
      <c r="L12" s="112"/>
      <c r="M12" s="112"/>
      <c r="N12" s="113"/>
      <c r="O12" s="113"/>
      <c r="P12" s="113"/>
    </row>
    <row r="13" spans="1:16" ht="15" thickBot="1" x14ac:dyDescent="0.35">
      <c r="C13" s="64"/>
    </row>
    <row r="14" spans="1:16" x14ac:dyDescent="0.3">
      <c r="B14" s="122" t="s">
        <v>794</v>
      </c>
      <c r="C14" s="123">
        <f>+'SP Previsionale'!D41</f>
        <v>164324</v>
      </c>
      <c r="D14" s="122" t="s">
        <v>797</v>
      </c>
      <c r="E14" s="105">
        <v>80000</v>
      </c>
      <c r="F14" s="106">
        <v>84324</v>
      </c>
      <c r="G14" s="106"/>
      <c r="H14" s="106"/>
      <c r="I14" s="106"/>
      <c r="J14" s="106"/>
      <c r="K14" s="106"/>
      <c r="L14" s="106"/>
      <c r="M14" s="106"/>
      <c r="N14" s="107"/>
      <c r="O14" s="107"/>
      <c r="P14" s="107"/>
    </row>
    <row r="15" spans="1:16" x14ac:dyDescent="0.3">
      <c r="B15" s="122" t="s">
        <v>23</v>
      </c>
      <c r="C15" s="123">
        <f>+'SP Previsionale'!D42</f>
        <v>10349</v>
      </c>
      <c r="D15" s="122" t="s">
        <v>797</v>
      </c>
      <c r="E15" s="108">
        <v>10349</v>
      </c>
      <c r="F15" s="109"/>
      <c r="G15" s="109"/>
      <c r="H15" s="109"/>
      <c r="I15" s="109"/>
      <c r="J15" s="109"/>
      <c r="K15" s="109"/>
      <c r="L15" s="109"/>
      <c r="M15" s="109"/>
      <c r="N15" s="110"/>
      <c r="O15" s="110"/>
      <c r="P15" s="110"/>
    </row>
    <row r="16" spans="1:16" x14ac:dyDescent="0.3">
      <c r="B16" s="122" t="s">
        <v>24</v>
      </c>
      <c r="C16" s="123">
        <f>+'SP Previsionale'!D43</f>
        <v>5242</v>
      </c>
      <c r="D16" s="122" t="s">
        <v>797</v>
      </c>
      <c r="E16" s="108"/>
      <c r="F16" s="109"/>
      <c r="G16" s="109"/>
      <c r="H16" s="109"/>
      <c r="I16" s="109">
        <v>5242</v>
      </c>
      <c r="J16" s="109"/>
      <c r="K16" s="109"/>
      <c r="L16" s="109"/>
      <c r="M16" s="109"/>
      <c r="N16" s="110"/>
      <c r="O16" s="110"/>
      <c r="P16" s="110"/>
    </row>
    <row r="17" spans="2:16" x14ac:dyDescent="0.3">
      <c r="B17" s="122" t="s">
        <v>25</v>
      </c>
      <c r="C17" s="123">
        <f>+'SP Previsionale'!D44</f>
        <v>35546</v>
      </c>
      <c r="D17" s="122" t="s">
        <v>797</v>
      </c>
      <c r="E17" s="108">
        <v>35546</v>
      </c>
      <c r="F17" s="109"/>
      <c r="G17" s="109"/>
      <c r="H17" s="109"/>
      <c r="I17" s="109"/>
      <c r="J17" s="109"/>
      <c r="K17" s="109"/>
      <c r="L17" s="109"/>
      <c r="M17" s="109"/>
      <c r="N17" s="110"/>
      <c r="O17" s="110"/>
      <c r="P17" s="110"/>
    </row>
    <row r="18" spans="2:16" ht="15" thickBot="1" x14ac:dyDescent="0.35">
      <c r="B18" s="122" t="s">
        <v>26</v>
      </c>
      <c r="C18" s="123">
        <f>+'SP Previsionale'!D45</f>
        <v>21023</v>
      </c>
      <c r="D18" s="122" t="s">
        <v>797</v>
      </c>
      <c r="E18" s="111">
        <v>10000</v>
      </c>
      <c r="F18" s="111">
        <v>11023</v>
      </c>
      <c r="G18" s="111"/>
      <c r="H18" s="111"/>
      <c r="I18" s="111"/>
      <c r="J18" s="111"/>
      <c r="K18" s="111"/>
      <c r="L18" s="111"/>
      <c r="M18" s="111"/>
      <c r="N18" s="111"/>
      <c r="O18" s="111"/>
      <c r="P18" s="111"/>
    </row>
    <row r="19" spans="2:16" x14ac:dyDescent="0.3">
      <c r="C19" s="63"/>
    </row>
  </sheetData>
  <conditionalFormatting sqref="E5:P6">
    <cfRule type="expression" dxfId="42" priority="5" stopIfTrue="1">
      <formula>ABS(SUM(E5)-SUM(#REF!))&gt;=1</formula>
    </cfRule>
  </conditionalFormatting>
  <conditionalFormatting sqref="E9:P9">
    <cfRule type="expression" dxfId="41" priority="4" stopIfTrue="1">
      <formula>ABS(SUM(E9)-SUM(#REF!))&gt;=1</formula>
    </cfRule>
  </conditionalFormatting>
  <conditionalFormatting sqref="E10:P12">
    <cfRule type="expression" dxfId="40" priority="3" stopIfTrue="1">
      <formula>ABS(SUM(E10)-SUM(#REF!))&gt;=1</formula>
    </cfRule>
  </conditionalFormatting>
  <conditionalFormatting sqref="E15:P18">
    <cfRule type="expression" dxfId="39" priority="2" stopIfTrue="1">
      <formula>ABS(SUM(E15)-SUM(#REF!))&gt;=1</formula>
    </cfRule>
  </conditionalFormatting>
  <conditionalFormatting sqref="E14:P14">
    <cfRule type="expression" dxfId="38" priority="1" stopIfTrue="1">
      <formula>ABS(SUM(E14)-SUM(#REF!))&gt;=1</formula>
    </cfRule>
  </conditionalFormatting>
  <hyperlinks>
    <hyperlink ref="A1" location="Menu!A1" display="MENU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P10"/>
  <sheetViews>
    <sheetView showGridLines="0" workbookViewId="0">
      <selection activeCell="D29" sqref="D29"/>
    </sheetView>
  </sheetViews>
  <sheetFormatPr defaultColWidth="8.6640625" defaultRowHeight="14.4" x14ac:dyDescent="0.3"/>
  <cols>
    <col min="2" max="2" width="41.88671875" bestFit="1" customWidth="1"/>
    <col min="3" max="3" width="17.6640625" customWidth="1"/>
    <col min="4" max="4" width="22.33203125" bestFit="1" customWidth="1"/>
    <col min="5" max="5" width="10.33203125" bestFit="1" customWidth="1"/>
  </cols>
  <sheetData>
    <row r="1" spans="1:16" x14ac:dyDescent="0.3">
      <c r="A1" s="9" t="s">
        <v>68</v>
      </c>
    </row>
    <row r="3" spans="1:16" x14ac:dyDescent="0.3">
      <c r="B3" s="2"/>
      <c r="C3" s="2"/>
    </row>
    <row r="4" spans="1:16" x14ac:dyDescent="0.3">
      <c r="C4" s="200">
        <f>+'Scheda Debiti'!C4</f>
        <v>43101</v>
      </c>
      <c r="E4" s="195">
        <f>+'Scheda Debiti'!E4</f>
        <v>43159</v>
      </c>
      <c r="F4" s="195">
        <f>+'Scheda Debiti'!F4</f>
        <v>43190</v>
      </c>
      <c r="G4" s="195">
        <f>+'Scheda Debiti'!G4</f>
        <v>43220</v>
      </c>
      <c r="H4" s="195">
        <f>+'Scheda Debiti'!H4</f>
        <v>43251</v>
      </c>
      <c r="I4" s="195">
        <f>+'Scheda Debiti'!I4</f>
        <v>43281</v>
      </c>
      <c r="J4" s="195">
        <f>+'Scheda Debiti'!J4</f>
        <v>43312</v>
      </c>
      <c r="K4" s="195">
        <f>+'Scheda Debiti'!K4</f>
        <v>43343</v>
      </c>
      <c r="L4" s="195">
        <f>+'Scheda Debiti'!L4</f>
        <v>43373</v>
      </c>
      <c r="M4" s="195">
        <f>+'Scheda Debiti'!M4</f>
        <v>43404</v>
      </c>
      <c r="N4" s="195">
        <f>+'Scheda Debiti'!N4</f>
        <v>43434</v>
      </c>
      <c r="O4" s="195">
        <f>+'Scheda Debiti'!O4</f>
        <v>43465</v>
      </c>
      <c r="P4" s="195">
        <f>+'Scheda Debiti'!P4</f>
        <v>43496</v>
      </c>
    </row>
    <row r="5" spans="1:16" ht="15" thickBot="1" x14ac:dyDescent="0.35"/>
    <row r="6" spans="1:16" x14ac:dyDescent="0.3">
      <c r="B6" s="122" t="s">
        <v>27</v>
      </c>
      <c r="C6" s="123">
        <f>+'SP Previsionale'!D8</f>
        <v>36943</v>
      </c>
      <c r="D6" s="122" t="s">
        <v>795</v>
      </c>
      <c r="E6" s="105">
        <v>36943</v>
      </c>
      <c r="F6" s="106"/>
      <c r="G6" s="106"/>
      <c r="H6" s="106"/>
      <c r="I6" s="106"/>
      <c r="J6" s="106"/>
      <c r="K6" s="106"/>
      <c r="L6" s="106"/>
      <c r="M6" s="106"/>
      <c r="N6" s="107"/>
      <c r="O6" s="107"/>
      <c r="P6" s="107"/>
    </row>
    <row r="7" spans="1:16" x14ac:dyDescent="0.3">
      <c r="B7" s="122" t="s">
        <v>28</v>
      </c>
      <c r="C7" s="123">
        <f>+'SP Previsionale'!D9</f>
        <v>10975</v>
      </c>
      <c r="D7" s="122" t="s">
        <v>795</v>
      </c>
      <c r="E7" s="108"/>
      <c r="F7" s="109"/>
      <c r="G7" s="109"/>
      <c r="H7" s="109"/>
      <c r="I7" s="109"/>
      <c r="J7" s="109"/>
      <c r="K7" s="109"/>
      <c r="L7" s="109"/>
      <c r="M7" s="109"/>
      <c r="N7" s="110"/>
      <c r="O7" s="110"/>
      <c r="P7" s="110"/>
    </row>
    <row r="8" spans="1:16" x14ac:dyDescent="0.3">
      <c r="B8" s="122" t="s">
        <v>29</v>
      </c>
      <c r="C8" s="123">
        <f>+'SP Previsionale'!D10</f>
        <v>12624</v>
      </c>
      <c r="D8" s="122" t="s">
        <v>795</v>
      </c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</row>
    <row r="9" spans="1:16" ht="15" thickBot="1" x14ac:dyDescent="0.35">
      <c r="B9" s="122" t="s">
        <v>30</v>
      </c>
      <c r="C9" s="123">
        <f>+'SP Previsionale'!D11</f>
        <v>23649</v>
      </c>
      <c r="D9" s="122" t="s">
        <v>795</v>
      </c>
      <c r="E9" s="111">
        <v>23649</v>
      </c>
      <c r="F9" s="112"/>
      <c r="G9" s="112"/>
      <c r="H9" s="112"/>
      <c r="I9" s="112"/>
      <c r="J9" s="112"/>
      <c r="K9" s="112"/>
      <c r="L9" s="112"/>
      <c r="M9" s="112"/>
      <c r="N9" s="113"/>
      <c r="O9" s="113"/>
      <c r="P9" s="113"/>
    </row>
    <row r="10" spans="1:16" x14ac:dyDescent="0.3">
      <c r="C10" s="49"/>
    </row>
  </sheetData>
  <conditionalFormatting sqref="E6:P9">
    <cfRule type="expression" dxfId="37" priority="1" stopIfTrue="1">
      <formula>ABS(SUM(E6)-SUM(#REF!))&gt;=1</formula>
    </cfRule>
  </conditionalFormatting>
  <hyperlinks>
    <hyperlink ref="A1" location="Menu!A1" display="MENU" xr:uid="{00000000-0004-0000-0400-000000000000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O193"/>
  <sheetViews>
    <sheetView showGridLines="0" topLeftCell="A14" workbookViewId="0">
      <selection activeCell="D23" sqref="D23"/>
    </sheetView>
  </sheetViews>
  <sheetFormatPr defaultColWidth="8.6640625" defaultRowHeight="14.4" x14ac:dyDescent="0.3"/>
  <cols>
    <col min="2" max="2" width="35.44140625" bestFit="1" customWidth="1"/>
    <col min="3" max="3" width="23" bestFit="1" customWidth="1"/>
    <col min="4" max="4" width="29.44140625" bestFit="1" customWidth="1"/>
    <col min="5" max="13" width="9.44140625" bestFit="1" customWidth="1"/>
  </cols>
  <sheetData>
    <row r="1" spans="1:15" x14ac:dyDescent="0.3">
      <c r="A1" s="9" t="s">
        <v>68</v>
      </c>
      <c r="B1" s="118" t="s">
        <v>667</v>
      </c>
    </row>
    <row r="3" spans="1:15" ht="15" thickBot="1" x14ac:dyDescent="0.35">
      <c r="B3" s="118" t="s">
        <v>31</v>
      </c>
      <c r="C3" s="118" t="s">
        <v>32</v>
      </c>
      <c r="D3" s="118" t="s">
        <v>33</v>
      </c>
    </row>
    <row r="4" spans="1:15" x14ac:dyDescent="0.3">
      <c r="B4" s="122" t="s">
        <v>34</v>
      </c>
      <c r="C4" s="123">
        <f>+'SP Previsionale'!D19</f>
        <v>60920</v>
      </c>
      <c r="D4" s="124">
        <v>10</v>
      </c>
    </row>
    <row r="5" spans="1:15" x14ac:dyDescent="0.3">
      <c r="B5" s="122" t="s">
        <v>35</v>
      </c>
      <c r="C5" s="123">
        <f>+'SP Previsionale'!D21</f>
        <v>0</v>
      </c>
      <c r="D5" s="125">
        <v>4</v>
      </c>
    </row>
    <row r="6" spans="1:15" x14ac:dyDescent="0.3">
      <c r="B6" s="122" t="s">
        <v>36</v>
      </c>
      <c r="C6" s="123">
        <f>+'SP Previsionale'!D22</f>
        <v>24000</v>
      </c>
      <c r="D6" s="125">
        <v>6</v>
      </c>
    </row>
    <row r="7" spans="1:15" ht="15" thickBot="1" x14ac:dyDescent="0.35">
      <c r="B7" s="122" t="s">
        <v>37</v>
      </c>
      <c r="C7" s="123">
        <f>+'SP Previsionale'!D23</f>
        <v>0</v>
      </c>
      <c r="D7" s="126">
        <v>6</v>
      </c>
    </row>
    <row r="9" spans="1:15" ht="15" thickBot="1" x14ac:dyDescent="0.35">
      <c r="B9" s="2" t="s">
        <v>38</v>
      </c>
      <c r="C9" s="2" t="s">
        <v>32</v>
      </c>
      <c r="D9" s="48" t="s">
        <v>33</v>
      </c>
    </row>
    <row r="10" spans="1:15" x14ac:dyDescent="0.3">
      <c r="B10" s="122" t="s">
        <v>39</v>
      </c>
      <c r="C10" s="123">
        <f>+'SP Previsionale'!D27</f>
        <v>3840</v>
      </c>
      <c r="D10" s="124">
        <v>10</v>
      </c>
    </row>
    <row r="11" spans="1:15" x14ac:dyDescent="0.3">
      <c r="B11" s="122" t="s">
        <v>40</v>
      </c>
      <c r="C11" s="123">
        <f>+'SP Previsionale'!D28</f>
        <v>0</v>
      </c>
      <c r="D11" s="125">
        <v>10</v>
      </c>
    </row>
    <row r="12" spans="1:15" x14ac:dyDescent="0.3">
      <c r="B12" s="122" t="s">
        <v>41</v>
      </c>
      <c r="C12" s="123">
        <f>+'SP Previsionale'!D29</f>
        <v>64125</v>
      </c>
      <c r="D12" s="125">
        <v>10</v>
      </c>
    </row>
    <row r="14" spans="1:15" x14ac:dyDescent="0.3">
      <c r="D14" s="200">
        <f>+'SP Previsionale'!E3</f>
        <v>43159</v>
      </c>
      <c r="E14" s="200">
        <f>+'SP Previsionale'!F3</f>
        <v>43190</v>
      </c>
      <c r="F14" s="200">
        <f>+'SP Previsionale'!G3</f>
        <v>43220</v>
      </c>
      <c r="G14" s="200">
        <f>+'SP Previsionale'!H3</f>
        <v>43251</v>
      </c>
      <c r="H14" s="200">
        <f>+'SP Previsionale'!I3</f>
        <v>43281</v>
      </c>
      <c r="I14" s="200">
        <f>+'SP Previsionale'!J3</f>
        <v>43312</v>
      </c>
      <c r="J14" s="200">
        <f>+'SP Previsionale'!K3</f>
        <v>43343</v>
      </c>
      <c r="K14" s="200">
        <f>+'SP Previsionale'!L3</f>
        <v>43373</v>
      </c>
      <c r="L14" s="200">
        <f>+'SP Previsionale'!M3</f>
        <v>43404</v>
      </c>
      <c r="M14" s="200">
        <f>+'SP Previsionale'!N3</f>
        <v>43434</v>
      </c>
      <c r="N14" s="200">
        <f>+'SP Previsionale'!O3</f>
        <v>43465</v>
      </c>
      <c r="O14" s="200">
        <f>+'SP Previsionale'!P3</f>
        <v>43496</v>
      </c>
    </row>
    <row r="15" spans="1:15" x14ac:dyDescent="0.3">
      <c r="B15" s="122" t="s">
        <v>42</v>
      </c>
      <c r="C15" s="123">
        <f>+'SP Previsionale'!D31</f>
        <v>56313</v>
      </c>
      <c r="D15" s="125">
        <v>0</v>
      </c>
      <c r="E15" s="125">
        <v>0</v>
      </c>
      <c r="F15" s="125">
        <v>0</v>
      </c>
      <c r="G15" s="125">
        <v>0</v>
      </c>
      <c r="H15" s="125">
        <v>0</v>
      </c>
      <c r="I15" s="125">
        <v>0</v>
      </c>
      <c r="J15" s="125">
        <v>0</v>
      </c>
      <c r="K15" s="125">
        <v>0</v>
      </c>
      <c r="L15" s="125">
        <v>0</v>
      </c>
      <c r="M15" s="125">
        <v>0</v>
      </c>
      <c r="N15" s="125">
        <v>1</v>
      </c>
      <c r="O15" s="125">
        <v>2</v>
      </c>
    </row>
    <row r="20" spans="1:15" x14ac:dyDescent="0.3">
      <c r="A20" s="9" t="s">
        <v>68</v>
      </c>
      <c r="B20" s="118" t="s">
        <v>43</v>
      </c>
    </row>
    <row r="22" spans="1:15" ht="15" thickBot="1" x14ac:dyDescent="0.35">
      <c r="B22" s="118" t="str">
        <f>+B3</f>
        <v>Immobilizzazioni Materiali</v>
      </c>
      <c r="C22" s="118" t="s">
        <v>44</v>
      </c>
      <c r="D22" s="200">
        <f>+D14</f>
        <v>43159</v>
      </c>
      <c r="E22" s="200">
        <f t="shared" ref="E22:M22" si="0">+E14</f>
        <v>43190</v>
      </c>
      <c r="F22" s="200">
        <f t="shared" si="0"/>
        <v>43220</v>
      </c>
      <c r="G22" s="200">
        <f t="shared" si="0"/>
        <v>43251</v>
      </c>
      <c r="H22" s="200">
        <f t="shared" si="0"/>
        <v>43281</v>
      </c>
      <c r="I22" s="200">
        <f t="shared" si="0"/>
        <v>43312</v>
      </c>
      <c r="J22" s="200">
        <f t="shared" si="0"/>
        <v>43343</v>
      </c>
      <c r="K22" s="200">
        <f t="shared" si="0"/>
        <v>43373</v>
      </c>
      <c r="L22" s="200">
        <f t="shared" si="0"/>
        <v>43404</v>
      </c>
      <c r="M22" s="200">
        <f t="shared" si="0"/>
        <v>43434</v>
      </c>
      <c r="N22" s="200">
        <f t="shared" ref="N22:O22" si="1">+N14</f>
        <v>43465</v>
      </c>
      <c r="O22" s="200">
        <f t="shared" si="1"/>
        <v>43496</v>
      </c>
    </row>
    <row r="23" spans="1:15" x14ac:dyDescent="0.3">
      <c r="B23" s="122" t="str">
        <f>+B4</f>
        <v>Fabbricati</v>
      </c>
      <c r="C23" s="136">
        <v>0.1</v>
      </c>
      <c r="D23" s="127"/>
      <c r="E23" s="128"/>
      <c r="F23" s="128"/>
      <c r="G23" s="128"/>
      <c r="H23" s="128"/>
      <c r="I23" s="128"/>
      <c r="J23" s="128"/>
      <c r="K23" s="128"/>
      <c r="L23" s="128"/>
      <c r="M23" s="129"/>
      <c r="N23" s="129"/>
      <c r="O23" s="129"/>
    </row>
    <row r="24" spans="1:15" x14ac:dyDescent="0.3">
      <c r="B24" s="122" t="str">
        <f>+B5</f>
        <v>Impianti e Macchinari</v>
      </c>
      <c r="C24" s="136">
        <v>0.2</v>
      </c>
      <c r="D24" s="130"/>
      <c r="E24" s="131"/>
      <c r="F24" s="131"/>
      <c r="G24" s="131"/>
      <c r="H24" s="131"/>
      <c r="I24" s="131"/>
      <c r="J24" s="131"/>
      <c r="K24" s="131"/>
      <c r="L24" s="131"/>
      <c r="M24" s="132"/>
      <c r="N24" s="132"/>
      <c r="O24" s="132"/>
    </row>
    <row r="25" spans="1:15" x14ac:dyDescent="0.3">
      <c r="B25" s="122" t="str">
        <f>+B6</f>
        <v>Attrezzature industriali e commerciali</v>
      </c>
      <c r="C25" s="136">
        <v>0.1</v>
      </c>
      <c r="D25" s="130"/>
      <c r="E25" s="131"/>
      <c r="F25" s="131"/>
      <c r="G25" s="131"/>
      <c r="H25" s="131"/>
      <c r="I25" s="131"/>
      <c r="J25" s="131"/>
      <c r="K25" s="131"/>
      <c r="L25" s="131"/>
      <c r="M25" s="132"/>
      <c r="N25" s="132"/>
      <c r="O25" s="132"/>
    </row>
    <row r="26" spans="1:15" ht="15" thickBot="1" x14ac:dyDescent="0.35">
      <c r="B26" s="122" t="str">
        <f>+B7</f>
        <v>Altri beni</v>
      </c>
      <c r="C26" s="136">
        <v>0.1</v>
      </c>
      <c r="D26" s="133"/>
      <c r="E26" s="134"/>
      <c r="F26" s="134"/>
      <c r="G26" s="134"/>
      <c r="H26" s="134"/>
      <c r="I26" s="134"/>
      <c r="J26" s="134"/>
      <c r="K26" s="134"/>
      <c r="L26" s="134"/>
      <c r="M26" s="135"/>
      <c r="N26" s="135"/>
      <c r="O26" s="135"/>
    </row>
    <row r="29" spans="1:15" ht="15" thickBot="1" x14ac:dyDescent="0.35">
      <c r="B29" s="118" t="str">
        <f>+B9</f>
        <v>Immobilizzazioni Immateriali</v>
      </c>
      <c r="C29" s="118" t="str">
        <f>+C22</f>
        <v>Aliquota Amm.to</v>
      </c>
      <c r="D29" s="200">
        <f>+D14</f>
        <v>43159</v>
      </c>
      <c r="E29" s="200">
        <f t="shared" ref="E29:M29" si="2">+E14</f>
        <v>43190</v>
      </c>
      <c r="F29" s="200">
        <f t="shared" si="2"/>
        <v>43220</v>
      </c>
      <c r="G29" s="200">
        <f t="shared" si="2"/>
        <v>43251</v>
      </c>
      <c r="H29" s="200">
        <f t="shared" si="2"/>
        <v>43281</v>
      </c>
      <c r="I29" s="200">
        <f t="shared" si="2"/>
        <v>43312</v>
      </c>
      <c r="J29" s="200">
        <f t="shared" si="2"/>
        <v>43343</v>
      </c>
      <c r="K29" s="200">
        <f t="shared" si="2"/>
        <v>43373</v>
      </c>
      <c r="L29" s="200">
        <f t="shared" si="2"/>
        <v>43404</v>
      </c>
      <c r="M29" s="200">
        <f t="shared" si="2"/>
        <v>43434</v>
      </c>
      <c r="N29" s="200">
        <f t="shared" ref="N29:O29" si="3">+N14</f>
        <v>43465</v>
      </c>
      <c r="O29" s="200">
        <f t="shared" si="3"/>
        <v>43496</v>
      </c>
    </row>
    <row r="30" spans="1:15" x14ac:dyDescent="0.3">
      <c r="B30" s="122" t="str">
        <f>+B10</f>
        <v>Costi d'impianto e ampliamento</v>
      </c>
      <c r="C30" s="136">
        <v>0.1</v>
      </c>
      <c r="D30" s="127"/>
      <c r="E30" s="128"/>
      <c r="F30" s="128"/>
      <c r="G30" s="128"/>
      <c r="H30" s="128"/>
      <c r="I30" s="128"/>
      <c r="J30" s="128"/>
      <c r="K30" s="128"/>
      <c r="L30" s="128"/>
      <c r="M30" s="129"/>
      <c r="N30" s="129"/>
      <c r="O30" s="129"/>
    </row>
    <row r="31" spans="1:15" x14ac:dyDescent="0.3">
      <c r="B31" s="122" t="str">
        <f>+B11</f>
        <v>Ricerca&amp; Sviluppo</v>
      </c>
      <c r="C31" s="136">
        <v>0.2</v>
      </c>
      <c r="D31" s="130"/>
      <c r="E31" s="131"/>
      <c r="F31" s="131"/>
      <c r="G31" s="131"/>
      <c r="H31" s="131"/>
      <c r="I31" s="131"/>
      <c r="J31" s="131"/>
      <c r="K31" s="131"/>
      <c r="L31" s="131"/>
      <c r="M31" s="132"/>
      <c r="N31" s="132"/>
      <c r="O31" s="132"/>
    </row>
    <row r="32" spans="1:15" x14ac:dyDescent="0.3">
      <c r="B32" s="122" t="str">
        <f>+B12</f>
        <v>Altre immobilizzazioni immateriali</v>
      </c>
      <c r="C32" s="136">
        <v>0.2</v>
      </c>
      <c r="D32" s="130"/>
      <c r="E32" s="131"/>
      <c r="F32" s="131"/>
      <c r="G32" s="131"/>
      <c r="H32" s="131"/>
      <c r="I32" s="131"/>
      <c r="J32" s="131"/>
      <c r="K32" s="131"/>
      <c r="L32" s="131"/>
      <c r="M32" s="132"/>
      <c r="N32" s="132"/>
      <c r="O32" s="132"/>
    </row>
    <row r="34" spans="2:15" ht="15" thickBot="1" x14ac:dyDescent="0.35">
      <c r="D34" s="200">
        <f>+D14</f>
        <v>43159</v>
      </c>
      <c r="E34" s="200">
        <f t="shared" ref="E34:M34" si="4">+E14</f>
        <v>43190</v>
      </c>
      <c r="F34" s="200">
        <f t="shared" si="4"/>
        <v>43220</v>
      </c>
      <c r="G34" s="200">
        <f t="shared" si="4"/>
        <v>43251</v>
      </c>
      <c r="H34" s="200">
        <f t="shared" si="4"/>
        <v>43281</v>
      </c>
      <c r="I34" s="200">
        <f t="shared" si="4"/>
        <v>43312</v>
      </c>
      <c r="J34" s="200">
        <f t="shared" si="4"/>
        <v>43343</v>
      </c>
      <c r="K34" s="200">
        <f t="shared" si="4"/>
        <v>43373</v>
      </c>
      <c r="L34" s="200">
        <f t="shared" si="4"/>
        <v>43404</v>
      </c>
      <c r="M34" s="200">
        <f t="shared" si="4"/>
        <v>43434</v>
      </c>
      <c r="N34" s="200">
        <f t="shared" ref="N34:O34" si="5">+N14</f>
        <v>43465</v>
      </c>
      <c r="O34" s="200">
        <f t="shared" si="5"/>
        <v>43496</v>
      </c>
    </row>
    <row r="35" spans="2:15" x14ac:dyDescent="0.3">
      <c r="B35" s="118" t="s">
        <v>42</v>
      </c>
      <c r="D35" s="127"/>
      <c r="E35" s="128"/>
      <c r="F35" s="128"/>
      <c r="G35" s="128"/>
      <c r="H35" s="128"/>
      <c r="I35" s="128"/>
      <c r="J35" s="128"/>
      <c r="K35" s="128"/>
      <c r="L35" s="128"/>
      <c r="M35" s="129"/>
      <c r="N35" s="129"/>
      <c r="O35" s="129"/>
    </row>
    <row r="38" spans="2:15" x14ac:dyDescent="0.3">
      <c r="B38" s="118" t="s">
        <v>45</v>
      </c>
      <c r="C38" s="118" t="s">
        <v>3</v>
      </c>
      <c r="D38" s="200">
        <f>+D14</f>
        <v>43159</v>
      </c>
      <c r="E38" s="200">
        <f t="shared" ref="E38:M38" si="6">+E14</f>
        <v>43190</v>
      </c>
      <c r="F38" s="200">
        <f t="shared" si="6"/>
        <v>43220</v>
      </c>
      <c r="G38" s="200">
        <f t="shared" si="6"/>
        <v>43251</v>
      </c>
      <c r="H38" s="200">
        <f t="shared" si="6"/>
        <v>43281</v>
      </c>
      <c r="I38" s="200">
        <f t="shared" si="6"/>
        <v>43312</v>
      </c>
      <c r="J38" s="200">
        <f t="shared" si="6"/>
        <v>43343</v>
      </c>
      <c r="K38" s="200">
        <f t="shared" si="6"/>
        <v>43373</v>
      </c>
      <c r="L38" s="200">
        <f t="shared" si="6"/>
        <v>43404</v>
      </c>
      <c r="M38" s="200">
        <f t="shared" si="6"/>
        <v>43434</v>
      </c>
      <c r="N38" s="200">
        <f t="shared" ref="N38:O38" si="7">+N14</f>
        <v>43465</v>
      </c>
      <c r="O38" s="200">
        <f t="shared" si="7"/>
        <v>43496</v>
      </c>
    </row>
    <row r="39" spans="2:15" x14ac:dyDescent="0.3">
      <c r="B39" s="122" t="str">
        <f>+B23</f>
        <v>Fabbricati</v>
      </c>
      <c r="C39" s="136">
        <v>0.22</v>
      </c>
      <c r="D39" s="137">
        <f>+$C39*D23</f>
        <v>0</v>
      </c>
      <c r="E39" s="137">
        <f t="shared" ref="E39:M39" si="8">+$C39*E23</f>
        <v>0</v>
      </c>
      <c r="F39" s="137">
        <f t="shared" si="8"/>
        <v>0</v>
      </c>
      <c r="G39" s="137">
        <f t="shared" si="8"/>
        <v>0</v>
      </c>
      <c r="H39" s="137">
        <f t="shared" si="8"/>
        <v>0</v>
      </c>
      <c r="I39" s="137">
        <f t="shared" si="8"/>
        <v>0</v>
      </c>
      <c r="J39" s="137">
        <f t="shared" si="8"/>
        <v>0</v>
      </c>
      <c r="K39" s="137">
        <f t="shared" si="8"/>
        <v>0</v>
      </c>
      <c r="L39" s="137">
        <f t="shared" si="8"/>
        <v>0</v>
      </c>
      <c r="M39" s="137">
        <f t="shared" si="8"/>
        <v>0</v>
      </c>
      <c r="N39" s="137">
        <f t="shared" ref="N39:O39" si="9">+$C39*N23</f>
        <v>0</v>
      </c>
      <c r="O39" s="137">
        <f t="shared" si="9"/>
        <v>0</v>
      </c>
    </row>
    <row r="40" spans="2:15" x14ac:dyDescent="0.3">
      <c r="B40" s="122" t="str">
        <f t="shared" ref="B40:B48" si="10">+B24</f>
        <v>Impianti e Macchinari</v>
      </c>
      <c r="C40" s="136">
        <v>0.22</v>
      </c>
      <c r="D40" s="137">
        <f t="shared" ref="D40:M42" si="11">+$C40*D24</f>
        <v>0</v>
      </c>
      <c r="E40" s="137">
        <f t="shared" si="11"/>
        <v>0</v>
      </c>
      <c r="F40" s="137">
        <f t="shared" si="11"/>
        <v>0</v>
      </c>
      <c r="G40" s="137">
        <f t="shared" si="11"/>
        <v>0</v>
      </c>
      <c r="H40" s="137">
        <f t="shared" si="11"/>
        <v>0</v>
      </c>
      <c r="I40" s="137">
        <f t="shared" si="11"/>
        <v>0</v>
      </c>
      <c r="J40" s="137">
        <f t="shared" si="11"/>
        <v>0</v>
      </c>
      <c r="K40" s="137">
        <f t="shared" si="11"/>
        <v>0</v>
      </c>
      <c r="L40" s="137">
        <f t="shared" si="11"/>
        <v>0</v>
      </c>
      <c r="M40" s="137">
        <f t="shared" si="11"/>
        <v>0</v>
      </c>
      <c r="N40" s="137">
        <f t="shared" ref="N40:O40" si="12">+$C40*N24</f>
        <v>0</v>
      </c>
      <c r="O40" s="137">
        <f t="shared" si="12"/>
        <v>0</v>
      </c>
    </row>
    <row r="41" spans="2:15" x14ac:dyDescent="0.3">
      <c r="B41" s="122" t="str">
        <f t="shared" si="10"/>
        <v>Attrezzature industriali e commerciali</v>
      </c>
      <c r="C41" s="136">
        <v>0.22</v>
      </c>
      <c r="D41" s="137">
        <f t="shared" si="11"/>
        <v>0</v>
      </c>
      <c r="E41" s="137">
        <f t="shared" si="11"/>
        <v>0</v>
      </c>
      <c r="F41" s="137">
        <f t="shared" si="11"/>
        <v>0</v>
      </c>
      <c r="G41" s="137">
        <f t="shared" si="11"/>
        <v>0</v>
      </c>
      <c r="H41" s="137">
        <f t="shared" si="11"/>
        <v>0</v>
      </c>
      <c r="I41" s="137">
        <f t="shared" si="11"/>
        <v>0</v>
      </c>
      <c r="J41" s="137">
        <f t="shared" si="11"/>
        <v>0</v>
      </c>
      <c r="K41" s="137">
        <f t="shared" si="11"/>
        <v>0</v>
      </c>
      <c r="L41" s="137">
        <f t="shared" si="11"/>
        <v>0</v>
      </c>
      <c r="M41" s="137">
        <f t="shared" si="11"/>
        <v>0</v>
      </c>
      <c r="N41" s="137">
        <f t="shared" ref="N41:O41" si="13">+$C41*N25</f>
        <v>0</v>
      </c>
      <c r="O41" s="137">
        <f t="shared" si="13"/>
        <v>0</v>
      </c>
    </row>
    <row r="42" spans="2:15" x14ac:dyDescent="0.3">
      <c r="B42" s="122" t="str">
        <f t="shared" si="10"/>
        <v>Altri beni</v>
      </c>
      <c r="C42" s="136">
        <v>0.22</v>
      </c>
      <c r="D42" s="137">
        <f t="shared" si="11"/>
        <v>0</v>
      </c>
      <c r="E42" s="137">
        <f t="shared" si="11"/>
        <v>0</v>
      </c>
      <c r="F42" s="137">
        <f t="shared" si="11"/>
        <v>0</v>
      </c>
      <c r="G42" s="137">
        <f t="shared" si="11"/>
        <v>0</v>
      </c>
      <c r="H42" s="137">
        <f t="shared" si="11"/>
        <v>0</v>
      </c>
      <c r="I42" s="137">
        <f t="shared" si="11"/>
        <v>0</v>
      </c>
      <c r="J42" s="137">
        <f t="shared" si="11"/>
        <v>0</v>
      </c>
      <c r="K42" s="137">
        <f t="shared" si="11"/>
        <v>0</v>
      </c>
      <c r="L42" s="137">
        <f t="shared" si="11"/>
        <v>0</v>
      </c>
      <c r="M42" s="137">
        <f t="shared" si="11"/>
        <v>0</v>
      </c>
      <c r="N42" s="137">
        <f t="shared" ref="N42:O42" si="14">+$C42*N26</f>
        <v>0</v>
      </c>
      <c r="O42" s="137">
        <f t="shared" si="14"/>
        <v>0</v>
      </c>
    </row>
    <row r="46" spans="2:15" x14ac:dyDescent="0.3">
      <c r="B46" s="122" t="str">
        <f t="shared" si="10"/>
        <v>Costi d'impianto e ampliamento</v>
      </c>
      <c r="C46" s="136">
        <v>0.22</v>
      </c>
      <c r="D46" s="137">
        <f t="shared" ref="D46:M46" si="15">+$C46*D30</f>
        <v>0</v>
      </c>
      <c r="E46" s="137">
        <f t="shared" si="15"/>
        <v>0</v>
      </c>
      <c r="F46" s="137">
        <f t="shared" si="15"/>
        <v>0</v>
      </c>
      <c r="G46" s="137">
        <f t="shared" si="15"/>
        <v>0</v>
      </c>
      <c r="H46" s="137">
        <f t="shared" si="15"/>
        <v>0</v>
      </c>
      <c r="I46" s="137">
        <f t="shared" si="15"/>
        <v>0</v>
      </c>
      <c r="J46" s="137">
        <f t="shared" si="15"/>
        <v>0</v>
      </c>
      <c r="K46" s="137">
        <f t="shared" si="15"/>
        <v>0</v>
      </c>
      <c r="L46" s="137">
        <f t="shared" si="15"/>
        <v>0</v>
      </c>
      <c r="M46" s="137">
        <f t="shared" si="15"/>
        <v>0</v>
      </c>
      <c r="N46" s="137">
        <f t="shared" ref="N46:O46" si="16">+$C46*N30</f>
        <v>0</v>
      </c>
      <c r="O46" s="137">
        <f t="shared" si="16"/>
        <v>0</v>
      </c>
    </row>
    <row r="47" spans="2:15" x14ac:dyDescent="0.3">
      <c r="B47" s="122" t="str">
        <f t="shared" si="10"/>
        <v>Ricerca&amp; Sviluppo</v>
      </c>
      <c r="C47" s="136">
        <v>0.22</v>
      </c>
      <c r="D47" s="137">
        <f t="shared" ref="D47:M47" si="17">+$C47*D31</f>
        <v>0</v>
      </c>
      <c r="E47" s="137">
        <f t="shared" si="17"/>
        <v>0</v>
      </c>
      <c r="F47" s="137">
        <f t="shared" si="17"/>
        <v>0</v>
      </c>
      <c r="G47" s="137">
        <f t="shared" si="17"/>
        <v>0</v>
      </c>
      <c r="H47" s="137">
        <f t="shared" si="17"/>
        <v>0</v>
      </c>
      <c r="I47" s="137">
        <f t="shared" si="17"/>
        <v>0</v>
      </c>
      <c r="J47" s="137">
        <f t="shared" si="17"/>
        <v>0</v>
      </c>
      <c r="K47" s="137">
        <f t="shared" si="17"/>
        <v>0</v>
      </c>
      <c r="L47" s="137">
        <f t="shared" si="17"/>
        <v>0</v>
      </c>
      <c r="M47" s="137">
        <f t="shared" si="17"/>
        <v>0</v>
      </c>
      <c r="N47" s="137">
        <f t="shared" ref="N47:O47" si="18">+$C47*N31</f>
        <v>0</v>
      </c>
      <c r="O47" s="137">
        <f t="shared" si="18"/>
        <v>0</v>
      </c>
    </row>
    <row r="48" spans="2:15" x14ac:dyDescent="0.3">
      <c r="B48" s="122" t="str">
        <f t="shared" si="10"/>
        <v>Altre immobilizzazioni immateriali</v>
      </c>
      <c r="C48" s="136">
        <v>0.22</v>
      </c>
      <c r="D48" s="137">
        <f t="shared" ref="D48:M48" si="19">+$C48*D32</f>
        <v>0</v>
      </c>
      <c r="E48" s="137">
        <f t="shared" si="19"/>
        <v>0</v>
      </c>
      <c r="F48" s="137">
        <f t="shared" si="19"/>
        <v>0</v>
      </c>
      <c r="G48" s="137">
        <f t="shared" si="19"/>
        <v>0</v>
      </c>
      <c r="H48" s="137">
        <f t="shared" si="19"/>
        <v>0</v>
      </c>
      <c r="I48" s="137">
        <f t="shared" si="19"/>
        <v>0</v>
      </c>
      <c r="J48" s="137">
        <f t="shared" si="19"/>
        <v>0</v>
      </c>
      <c r="K48" s="137">
        <f t="shared" si="19"/>
        <v>0</v>
      </c>
      <c r="L48" s="137">
        <f t="shared" si="19"/>
        <v>0</v>
      </c>
      <c r="M48" s="137">
        <f t="shared" si="19"/>
        <v>0</v>
      </c>
      <c r="N48" s="137">
        <f t="shared" ref="N48:O48" si="20">+$C48*N32</f>
        <v>0</v>
      </c>
      <c r="O48" s="137">
        <f t="shared" si="20"/>
        <v>0</v>
      </c>
    </row>
    <row r="49" spans="2:15" x14ac:dyDescent="0.3"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</row>
    <row r="50" spans="2:15" x14ac:dyDescent="0.3"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</row>
    <row r="52" spans="2:15" x14ac:dyDescent="0.3">
      <c r="B52" s="118" t="s">
        <v>872</v>
      </c>
      <c r="D52" s="200">
        <f>+D14</f>
        <v>43159</v>
      </c>
      <c r="E52" s="200">
        <f t="shared" ref="E52:M52" si="21">+E14</f>
        <v>43190</v>
      </c>
      <c r="F52" s="200">
        <f t="shared" si="21"/>
        <v>43220</v>
      </c>
      <c r="G52" s="200">
        <f t="shared" si="21"/>
        <v>43251</v>
      </c>
      <c r="H52" s="200">
        <f t="shared" si="21"/>
        <v>43281</v>
      </c>
      <c r="I52" s="200">
        <f t="shared" si="21"/>
        <v>43312</v>
      </c>
      <c r="J52" s="200">
        <f t="shared" si="21"/>
        <v>43343</v>
      </c>
      <c r="K52" s="200">
        <f t="shared" si="21"/>
        <v>43373</v>
      </c>
      <c r="L52" s="200">
        <f t="shared" si="21"/>
        <v>43404</v>
      </c>
      <c r="M52" s="200">
        <f t="shared" si="21"/>
        <v>43434</v>
      </c>
      <c r="N52" s="200">
        <f t="shared" ref="N52:O52" si="22">+N14</f>
        <v>43465</v>
      </c>
      <c r="O52" s="200">
        <f t="shared" si="22"/>
        <v>43496</v>
      </c>
    </row>
    <row r="53" spans="2:15" x14ac:dyDescent="0.3">
      <c r="B53" s="122" t="str">
        <f>+B23</f>
        <v>Fabbricati</v>
      </c>
      <c r="D53" s="137">
        <f>+($D23*$C23)/12</f>
        <v>0</v>
      </c>
      <c r="E53" s="137">
        <f t="shared" ref="E53:M53" si="23">+($D23*$C23)/12</f>
        <v>0</v>
      </c>
      <c r="F53" s="137">
        <f t="shared" si="23"/>
        <v>0</v>
      </c>
      <c r="G53" s="137">
        <f t="shared" si="23"/>
        <v>0</v>
      </c>
      <c r="H53" s="137">
        <f t="shared" si="23"/>
        <v>0</v>
      </c>
      <c r="I53" s="137">
        <f t="shared" si="23"/>
        <v>0</v>
      </c>
      <c r="J53" s="137">
        <f t="shared" si="23"/>
        <v>0</v>
      </c>
      <c r="K53" s="137">
        <f t="shared" si="23"/>
        <v>0</v>
      </c>
      <c r="L53" s="137">
        <f t="shared" si="23"/>
        <v>0</v>
      </c>
      <c r="M53" s="137">
        <f t="shared" si="23"/>
        <v>0</v>
      </c>
      <c r="N53" s="137">
        <f t="shared" ref="N53:O53" si="24">+($D23*$C23)/12</f>
        <v>0</v>
      </c>
      <c r="O53" s="137">
        <f t="shared" si="24"/>
        <v>0</v>
      </c>
    </row>
    <row r="54" spans="2:15" x14ac:dyDescent="0.3">
      <c r="B54" s="122" t="str">
        <f>+B24</f>
        <v>Impianti e Macchinari</v>
      </c>
      <c r="D54" s="137">
        <f t="shared" ref="D54:M56" si="25">+($D24*$C24)/12</f>
        <v>0</v>
      </c>
      <c r="E54" s="137">
        <f t="shared" si="25"/>
        <v>0</v>
      </c>
      <c r="F54" s="137">
        <f t="shared" si="25"/>
        <v>0</v>
      </c>
      <c r="G54" s="137">
        <f t="shared" si="25"/>
        <v>0</v>
      </c>
      <c r="H54" s="137">
        <f t="shared" si="25"/>
        <v>0</v>
      </c>
      <c r="I54" s="137">
        <f t="shared" si="25"/>
        <v>0</v>
      </c>
      <c r="J54" s="137">
        <f t="shared" si="25"/>
        <v>0</v>
      </c>
      <c r="K54" s="137">
        <f t="shared" si="25"/>
        <v>0</v>
      </c>
      <c r="L54" s="137">
        <f t="shared" si="25"/>
        <v>0</v>
      </c>
      <c r="M54" s="137">
        <f t="shared" si="25"/>
        <v>0</v>
      </c>
      <c r="N54" s="137">
        <f t="shared" ref="N54:O54" si="26">+($D24*$C24)/12</f>
        <v>0</v>
      </c>
      <c r="O54" s="137">
        <f t="shared" si="26"/>
        <v>0</v>
      </c>
    </row>
    <row r="55" spans="2:15" x14ac:dyDescent="0.3">
      <c r="B55" s="122" t="str">
        <f>+B25</f>
        <v>Attrezzature industriali e commerciali</v>
      </c>
      <c r="D55" s="137">
        <f t="shared" si="25"/>
        <v>0</v>
      </c>
      <c r="E55" s="137">
        <f t="shared" si="25"/>
        <v>0</v>
      </c>
      <c r="F55" s="137">
        <f t="shared" si="25"/>
        <v>0</v>
      </c>
      <c r="G55" s="137">
        <f t="shared" si="25"/>
        <v>0</v>
      </c>
      <c r="H55" s="137">
        <f t="shared" si="25"/>
        <v>0</v>
      </c>
      <c r="I55" s="137">
        <f t="shared" si="25"/>
        <v>0</v>
      </c>
      <c r="J55" s="137">
        <f t="shared" si="25"/>
        <v>0</v>
      </c>
      <c r="K55" s="137">
        <f t="shared" si="25"/>
        <v>0</v>
      </c>
      <c r="L55" s="137">
        <f t="shared" si="25"/>
        <v>0</v>
      </c>
      <c r="M55" s="137">
        <f t="shared" si="25"/>
        <v>0</v>
      </c>
      <c r="N55" s="137">
        <f t="shared" ref="N55:O55" si="27">+($D25*$C25)/12</f>
        <v>0</v>
      </c>
      <c r="O55" s="137">
        <f t="shared" si="27"/>
        <v>0</v>
      </c>
    </row>
    <row r="56" spans="2:15" x14ac:dyDescent="0.3">
      <c r="B56" s="122" t="str">
        <f>+B26</f>
        <v>Altri beni</v>
      </c>
      <c r="D56" s="137">
        <f t="shared" si="25"/>
        <v>0</v>
      </c>
      <c r="E56" s="137">
        <f t="shared" si="25"/>
        <v>0</v>
      </c>
      <c r="F56" s="137">
        <f t="shared" si="25"/>
        <v>0</v>
      </c>
      <c r="G56" s="137">
        <f t="shared" si="25"/>
        <v>0</v>
      </c>
      <c r="H56" s="137">
        <f t="shared" si="25"/>
        <v>0</v>
      </c>
      <c r="I56" s="137">
        <f t="shared" si="25"/>
        <v>0</v>
      </c>
      <c r="J56" s="137">
        <f t="shared" si="25"/>
        <v>0</v>
      </c>
      <c r="K56" s="137">
        <f t="shared" si="25"/>
        <v>0</v>
      </c>
      <c r="L56" s="137">
        <f t="shared" si="25"/>
        <v>0</v>
      </c>
      <c r="M56" s="137">
        <f t="shared" si="25"/>
        <v>0</v>
      </c>
      <c r="N56" s="137">
        <f t="shared" ref="N56:O56" si="28">+($D26*$C26)/12</f>
        <v>0</v>
      </c>
      <c r="O56" s="137">
        <f t="shared" si="28"/>
        <v>0</v>
      </c>
    </row>
    <row r="57" spans="2:15" x14ac:dyDescent="0.3"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</row>
    <row r="58" spans="2:15" x14ac:dyDescent="0.3"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</row>
    <row r="59" spans="2:15" x14ac:dyDescent="0.3"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</row>
    <row r="60" spans="2:15" x14ac:dyDescent="0.3">
      <c r="B60" s="122" t="str">
        <f>+B30</f>
        <v>Costi d'impianto e ampliamento</v>
      </c>
      <c r="D60" s="137">
        <f>+$D30*$C30</f>
        <v>0</v>
      </c>
      <c r="E60" s="137">
        <f>+$D30*$C30*IF(D60=D30,0,1)</f>
        <v>0</v>
      </c>
      <c r="F60" s="137">
        <f>+$D30*$C30*(IF(SUM($D60:E60)=$D30,0,1))</f>
        <v>0</v>
      </c>
      <c r="G60" s="137">
        <f>+$D30*$C30*(IF(SUM($D60:F60)=$D30,0,1))</f>
        <v>0</v>
      </c>
      <c r="H60" s="137">
        <f>+$D30*$C30*(IF(SUM($D60:G60)=$D30,0,1))</f>
        <v>0</v>
      </c>
      <c r="I60" s="137">
        <f>+$D30*$C30*(IF(SUM($D60:H60)=$D30,0,1))</f>
        <v>0</v>
      </c>
      <c r="J60" s="137">
        <f>+$D30*$C30*(IF(SUM($D60:I60)=$D30,0,1))</f>
        <v>0</v>
      </c>
      <c r="K60" s="137">
        <f>+$D30*$C30*(IF(SUM($D60:J60)=$D30,0,1))</f>
        <v>0</v>
      </c>
      <c r="L60" s="137">
        <f>+$D30*$C30*(IF(SUM($D60:K60)=$D30,0,1))</f>
        <v>0</v>
      </c>
      <c r="M60" s="137">
        <f>+$D30*$C30*(IF(SUM($D60:L60)=$D30,0,1))</f>
        <v>0</v>
      </c>
      <c r="N60" s="137">
        <f>+$D30*$C30*(IF(SUM($D60:M60)=$D30,0,1))</f>
        <v>0</v>
      </c>
      <c r="O60" s="137">
        <f>+$D30*$C30*(IF(SUM($D60:N60)=$D30,0,1))</f>
        <v>0</v>
      </c>
    </row>
    <row r="61" spans="2:15" x14ac:dyDescent="0.3">
      <c r="B61" s="122" t="str">
        <f>+B31</f>
        <v>Ricerca&amp; Sviluppo</v>
      </c>
      <c r="D61" s="137">
        <f>+$D31*$C31</f>
        <v>0</v>
      </c>
      <c r="E61" s="137">
        <f>+$D31*$C31*IF(D61=D31,0,1)</f>
        <v>0</v>
      </c>
      <c r="F61" s="137">
        <f>+$D31*$C31*(IF(SUM($D61:E61)=$D31,0,1))</f>
        <v>0</v>
      </c>
      <c r="G61" s="137">
        <f>+$D31*$C31*(IF(SUM($D61:F61)=$D31,0,1))</f>
        <v>0</v>
      </c>
      <c r="H61" s="137">
        <f>+$D31*$C31*(IF(SUM($D61:G61)=$D31,0,1))</f>
        <v>0</v>
      </c>
      <c r="I61" s="137">
        <f>+$D31*$C31*(IF(SUM($D61:H61)=$D31,0,1))</f>
        <v>0</v>
      </c>
      <c r="J61" s="137">
        <f>+$D31*$C31*(IF(SUM($D61:I61)=$D31,0,1))</f>
        <v>0</v>
      </c>
      <c r="K61" s="137">
        <f>+$D31*$C31*(IF(SUM($D61:J61)=$D31,0,1))</f>
        <v>0</v>
      </c>
      <c r="L61" s="137">
        <f>+$D31*$C31*(IF(SUM($D61:K61)=$D31,0,1))</f>
        <v>0</v>
      </c>
      <c r="M61" s="137">
        <f>+$D31*$C31*(IF(SUM($D61:L61)=$D31,0,1))</f>
        <v>0</v>
      </c>
      <c r="N61" s="137">
        <f>+$D31*$C31*(IF(SUM($D61:M61)=$D31,0,1))</f>
        <v>0</v>
      </c>
      <c r="O61" s="137">
        <f>+$D31*$C31*(IF(SUM($D61:N61)=$D31,0,1))</f>
        <v>0</v>
      </c>
    </row>
    <row r="62" spans="2:15" x14ac:dyDescent="0.3">
      <c r="B62" s="122" t="str">
        <f>+B32</f>
        <v>Altre immobilizzazioni immateriali</v>
      </c>
      <c r="D62" s="137">
        <f>+$D32*$C32</f>
        <v>0</v>
      </c>
      <c r="E62" s="137">
        <f>+$D32*$C32*IF(D62=D32,0,1)</f>
        <v>0</v>
      </c>
      <c r="F62" s="137">
        <f>+$D32*$C32*(IF(SUM($D62:E62)=$D32,0,1))</f>
        <v>0</v>
      </c>
      <c r="G62" s="137">
        <f>+$D32*$C32*(IF(SUM($D62:F62)=$D32,0,1))</f>
        <v>0</v>
      </c>
      <c r="H62" s="137">
        <f>+$D32*$C32*(IF(SUM($D62:G62)=$D32,0,1))</f>
        <v>0</v>
      </c>
      <c r="I62" s="137">
        <f>+$D32*$C32*(IF(SUM($D62:H62)=$D32,0,1))</f>
        <v>0</v>
      </c>
      <c r="J62" s="137">
        <f>+$D32*$C32*(IF(SUM($D62:I62)=$D32,0,1))</f>
        <v>0</v>
      </c>
      <c r="K62" s="137">
        <f>+$D32*$C32*(IF(SUM($D62:J62)=$D32,0,1))</f>
        <v>0</v>
      </c>
      <c r="L62" s="137">
        <f>+$D32*$C32*(IF(SUM($D62:K62)=$D32,0,1))</f>
        <v>0</v>
      </c>
      <c r="M62" s="137">
        <f>+$D32*$C32*(IF(SUM($D62:L62)=$D32,0,1))</f>
        <v>0</v>
      </c>
      <c r="N62" s="137">
        <f>+$D32*$C32*(IF(SUM($D62:M62)=$D32,0,1))</f>
        <v>0</v>
      </c>
      <c r="O62" s="137">
        <f>+$D32*$C32*(IF(SUM($D62:N62)=$D32,0,1))</f>
        <v>0</v>
      </c>
    </row>
    <row r="65" spans="2:15" x14ac:dyDescent="0.3">
      <c r="B65" s="118" t="s">
        <v>46</v>
      </c>
      <c r="D65" s="200">
        <f>+D14</f>
        <v>43159</v>
      </c>
      <c r="E65" s="200">
        <f t="shared" ref="E65:M65" si="29">+E14</f>
        <v>43190</v>
      </c>
      <c r="F65" s="200">
        <f t="shared" si="29"/>
        <v>43220</v>
      </c>
      <c r="G65" s="200">
        <f t="shared" si="29"/>
        <v>43251</v>
      </c>
      <c r="H65" s="200">
        <f t="shared" si="29"/>
        <v>43281</v>
      </c>
      <c r="I65" s="200">
        <f t="shared" si="29"/>
        <v>43312</v>
      </c>
      <c r="J65" s="200">
        <f t="shared" si="29"/>
        <v>43343</v>
      </c>
      <c r="K65" s="200">
        <f t="shared" si="29"/>
        <v>43373</v>
      </c>
      <c r="L65" s="200">
        <f t="shared" si="29"/>
        <v>43404</v>
      </c>
      <c r="M65" s="200">
        <f t="shared" si="29"/>
        <v>43434</v>
      </c>
      <c r="N65" s="200">
        <f t="shared" ref="N65:O65" si="30">+N14</f>
        <v>43465</v>
      </c>
      <c r="O65" s="200">
        <f t="shared" si="30"/>
        <v>43496</v>
      </c>
    </row>
    <row r="66" spans="2:15" x14ac:dyDescent="0.3">
      <c r="B66" s="122" t="str">
        <f>+B53</f>
        <v>Fabbricati</v>
      </c>
      <c r="D66" s="137"/>
      <c r="E66" s="137">
        <f>+($E23*$C23)/12</f>
        <v>0</v>
      </c>
      <c r="F66" s="137">
        <f t="shared" ref="F66:M66" si="31">+($E23*$C23)/12</f>
        <v>0</v>
      </c>
      <c r="G66" s="137">
        <f t="shared" si="31"/>
        <v>0</v>
      </c>
      <c r="H66" s="137">
        <f t="shared" si="31"/>
        <v>0</v>
      </c>
      <c r="I66" s="137">
        <f t="shared" si="31"/>
        <v>0</v>
      </c>
      <c r="J66" s="137">
        <f t="shared" si="31"/>
        <v>0</v>
      </c>
      <c r="K66" s="137">
        <f t="shared" si="31"/>
        <v>0</v>
      </c>
      <c r="L66" s="137">
        <f t="shared" si="31"/>
        <v>0</v>
      </c>
      <c r="M66" s="137">
        <f t="shared" si="31"/>
        <v>0</v>
      </c>
      <c r="N66" s="137">
        <f t="shared" ref="N66:O66" si="32">+($E23*$C23)/12</f>
        <v>0</v>
      </c>
      <c r="O66" s="137">
        <f t="shared" si="32"/>
        <v>0</v>
      </c>
    </row>
    <row r="67" spans="2:15" x14ac:dyDescent="0.3">
      <c r="B67" s="122" t="str">
        <f t="shared" ref="B67:B75" si="33">+B54</f>
        <v>Impianti e Macchinari</v>
      </c>
      <c r="D67" s="137"/>
      <c r="E67" s="137">
        <f t="shared" ref="E67:M69" si="34">+($E24*$C24)/12</f>
        <v>0</v>
      </c>
      <c r="F67" s="137">
        <f t="shared" si="34"/>
        <v>0</v>
      </c>
      <c r="G67" s="137">
        <f t="shared" si="34"/>
        <v>0</v>
      </c>
      <c r="H67" s="137">
        <f t="shared" si="34"/>
        <v>0</v>
      </c>
      <c r="I67" s="137">
        <f t="shared" si="34"/>
        <v>0</v>
      </c>
      <c r="J67" s="137">
        <f t="shared" si="34"/>
        <v>0</v>
      </c>
      <c r="K67" s="137">
        <f t="shared" si="34"/>
        <v>0</v>
      </c>
      <c r="L67" s="137">
        <f t="shared" si="34"/>
        <v>0</v>
      </c>
      <c r="M67" s="137">
        <f t="shared" si="34"/>
        <v>0</v>
      </c>
      <c r="N67" s="137">
        <f t="shared" ref="N67:O67" si="35">+($E24*$C24)/12</f>
        <v>0</v>
      </c>
      <c r="O67" s="137">
        <f t="shared" si="35"/>
        <v>0</v>
      </c>
    </row>
    <row r="68" spans="2:15" x14ac:dyDescent="0.3">
      <c r="B68" s="122" t="str">
        <f t="shared" si="33"/>
        <v>Attrezzature industriali e commerciali</v>
      </c>
      <c r="D68" s="137"/>
      <c r="E68" s="137">
        <f t="shared" si="34"/>
        <v>0</v>
      </c>
      <c r="F68" s="137">
        <f t="shared" si="34"/>
        <v>0</v>
      </c>
      <c r="G68" s="137">
        <f t="shared" si="34"/>
        <v>0</v>
      </c>
      <c r="H68" s="137">
        <f t="shared" si="34"/>
        <v>0</v>
      </c>
      <c r="I68" s="137">
        <f t="shared" si="34"/>
        <v>0</v>
      </c>
      <c r="J68" s="137">
        <f t="shared" si="34"/>
        <v>0</v>
      </c>
      <c r="K68" s="137">
        <f t="shared" si="34"/>
        <v>0</v>
      </c>
      <c r="L68" s="137">
        <f t="shared" si="34"/>
        <v>0</v>
      </c>
      <c r="M68" s="137">
        <f t="shared" si="34"/>
        <v>0</v>
      </c>
      <c r="N68" s="137">
        <f t="shared" ref="N68:O68" si="36">+($E25*$C25)/12</f>
        <v>0</v>
      </c>
      <c r="O68" s="137">
        <f t="shared" si="36"/>
        <v>0</v>
      </c>
    </row>
    <row r="69" spans="2:15" x14ac:dyDescent="0.3">
      <c r="B69" s="122" t="str">
        <f t="shared" si="33"/>
        <v>Altri beni</v>
      </c>
      <c r="D69" s="137"/>
      <c r="E69" s="137">
        <f t="shared" si="34"/>
        <v>0</v>
      </c>
      <c r="F69" s="137">
        <f t="shared" si="34"/>
        <v>0</v>
      </c>
      <c r="G69" s="137">
        <f t="shared" si="34"/>
        <v>0</v>
      </c>
      <c r="H69" s="137">
        <f t="shared" si="34"/>
        <v>0</v>
      </c>
      <c r="I69" s="137">
        <f t="shared" si="34"/>
        <v>0</v>
      </c>
      <c r="J69" s="137">
        <f t="shared" si="34"/>
        <v>0</v>
      </c>
      <c r="K69" s="137">
        <f t="shared" si="34"/>
        <v>0</v>
      </c>
      <c r="L69" s="137">
        <f t="shared" si="34"/>
        <v>0</v>
      </c>
      <c r="M69" s="137">
        <f t="shared" si="34"/>
        <v>0</v>
      </c>
      <c r="N69" s="137">
        <f t="shared" ref="N69:O69" si="37">+($E26*$C26)/12</f>
        <v>0</v>
      </c>
      <c r="O69" s="137">
        <f t="shared" si="37"/>
        <v>0</v>
      </c>
    </row>
    <row r="70" spans="2:15" x14ac:dyDescent="0.3"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</row>
    <row r="71" spans="2:15" x14ac:dyDescent="0.3"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</row>
    <row r="72" spans="2:15" x14ac:dyDescent="0.3"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</row>
    <row r="73" spans="2:15" x14ac:dyDescent="0.3">
      <c r="B73" s="122" t="str">
        <f t="shared" si="33"/>
        <v>Costi d'impianto e ampliamento</v>
      </c>
      <c r="D73" s="137"/>
      <c r="E73" s="137">
        <f>+$E30*$C30</f>
        <v>0</v>
      </c>
      <c r="F73" s="137">
        <f>+$E30*$C30*IF(E73=E30,0,1)</f>
        <v>0</v>
      </c>
      <c r="G73" s="137">
        <f>+$E30*$C30*(IF(SUM($D73:F73)=$E30,0,1))</f>
        <v>0</v>
      </c>
      <c r="H73" s="137">
        <f>+$E30*$C30*(IF(SUM($D73:G73)=$E30,0,1))</f>
        <v>0</v>
      </c>
      <c r="I73" s="137">
        <f>+$E30*$C30*(IF(SUM($D73:H73)=$E30,0,1))</f>
        <v>0</v>
      </c>
      <c r="J73" s="137">
        <f>+$E30*$C30*(IF(SUM($D73:I73)=$E30,0,1))</f>
        <v>0</v>
      </c>
      <c r="K73" s="137">
        <f>+$E30*$C30*(IF(SUM($D73:J73)=$E30,0,1))</f>
        <v>0</v>
      </c>
      <c r="L73" s="137">
        <f>+$E30*$C30*(IF(SUM($D73:K73)=$E30,0,1))</f>
        <v>0</v>
      </c>
      <c r="M73" s="137">
        <f>+$E30*$C30*(IF(SUM($D73:L73)=$E30,0,1))</f>
        <v>0</v>
      </c>
      <c r="N73" s="137">
        <f>+$E30*$C30*(IF(SUM($D73:M73)=$E30,0,1))</f>
        <v>0</v>
      </c>
      <c r="O73" s="137">
        <f>+$E30*$C30*(IF(SUM($D73:N73)=$E30,0,1))</f>
        <v>0</v>
      </c>
    </row>
    <row r="74" spans="2:15" x14ac:dyDescent="0.3">
      <c r="B74" s="122" t="str">
        <f t="shared" si="33"/>
        <v>Ricerca&amp; Sviluppo</v>
      </c>
      <c r="D74" s="137"/>
      <c r="E74" s="137">
        <f>+$E31*$C31</f>
        <v>0</v>
      </c>
      <c r="F74" s="137">
        <f>+$E31*$C31*IF(E74=E31,0,1)</f>
        <v>0</v>
      </c>
      <c r="G74" s="137">
        <f>+$E31*$C31*(IF(SUM($D74:F74)=$E31,0,1))</f>
        <v>0</v>
      </c>
      <c r="H74" s="137">
        <f>+$E31*$C31*(IF(SUM($D74:G74)=$E31,0,1))</f>
        <v>0</v>
      </c>
      <c r="I74" s="137">
        <f>+$E31*$C31*(IF(SUM($D74:H74)=$E31,0,1))</f>
        <v>0</v>
      </c>
      <c r="J74" s="137">
        <f>+$E31*$C31*(IF(SUM($D74:I74)=$E31,0,1))</f>
        <v>0</v>
      </c>
      <c r="K74" s="137">
        <f>+$E31*$C31*(IF(SUM($D74:J74)=$E31,0,1))</f>
        <v>0</v>
      </c>
      <c r="L74" s="137">
        <f>+$E31*$C31*(IF(SUM($D74:K74)=$E31,0,1))</f>
        <v>0</v>
      </c>
      <c r="M74" s="137">
        <f>+$E31*$C31*(IF(SUM($D74:L74)=$E31,0,1))</f>
        <v>0</v>
      </c>
      <c r="N74" s="137">
        <f>+$E31*$C31*(IF(SUM($D74:M74)=$E31,0,1))</f>
        <v>0</v>
      </c>
      <c r="O74" s="137">
        <f>+$E31*$C31*(IF(SUM($D74:N74)=$E31,0,1))</f>
        <v>0</v>
      </c>
    </row>
    <row r="75" spans="2:15" x14ac:dyDescent="0.3">
      <c r="B75" s="122" t="str">
        <f t="shared" si="33"/>
        <v>Altre immobilizzazioni immateriali</v>
      </c>
      <c r="D75" s="137"/>
      <c r="E75" s="137">
        <f>+$E32*$C32</f>
        <v>0</v>
      </c>
      <c r="F75" s="137">
        <f>+$E32*$C32*IF(E75=E32,0,1)</f>
        <v>0</v>
      </c>
      <c r="G75" s="137">
        <f>+$E32*$C32*(IF(SUM($D75:F75)=$E32,0,1))</f>
        <v>0</v>
      </c>
      <c r="H75" s="137">
        <f>+$E32*$C32*(IF(SUM($D75:G75)=$E32,0,1))</f>
        <v>0</v>
      </c>
      <c r="I75" s="137">
        <f>+$E32*$C32*(IF(SUM($D75:H75)=$E32,0,1))</f>
        <v>0</v>
      </c>
      <c r="J75" s="137">
        <f>+$E32*$C32*(IF(SUM($D75:I75)=$E32,0,1))</f>
        <v>0</v>
      </c>
      <c r="K75" s="137">
        <f>+$E32*$C32*(IF(SUM($D75:J75)=$E32,0,1))</f>
        <v>0</v>
      </c>
      <c r="L75" s="137">
        <f>+$E32*$C32*(IF(SUM($D75:K75)=$E32,0,1))</f>
        <v>0</v>
      </c>
      <c r="M75" s="137">
        <f>+$E32*$C32*(IF(SUM($D75:L75)=$E32,0,1))</f>
        <v>0</v>
      </c>
      <c r="N75" s="137">
        <f>+$E32*$C32*(IF(SUM($D75:M75)=$E32,0,1))</f>
        <v>0</v>
      </c>
      <c r="O75" s="137">
        <f>+$E32*$C32*(IF(SUM($D75:N75)=$E32,0,1))</f>
        <v>0</v>
      </c>
    </row>
    <row r="76" spans="2:15" x14ac:dyDescent="0.3">
      <c r="G76" s="58"/>
    </row>
    <row r="78" spans="2:15" x14ac:dyDescent="0.3">
      <c r="B78" s="118" t="s">
        <v>47</v>
      </c>
      <c r="D78" s="200">
        <f>+D14</f>
        <v>43159</v>
      </c>
      <c r="E78" s="200">
        <f t="shared" ref="E78:M78" si="38">+E14</f>
        <v>43190</v>
      </c>
      <c r="F78" s="200">
        <f t="shared" si="38"/>
        <v>43220</v>
      </c>
      <c r="G78" s="200">
        <f t="shared" si="38"/>
        <v>43251</v>
      </c>
      <c r="H78" s="200">
        <f t="shared" si="38"/>
        <v>43281</v>
      </c>
      <c r="I78" s="200">
        <f t="shared" si="38"/>
        <v>43312</v>
      </c>
      <c r="J78" s="200">
        <f t="shared" si="38"/>
        <v>43343</v>
      </c>
      <c r="K78" s="200">
        <f t="shared" si="38"/>
        <v>43373</v>
      </c>
      <c r="L78" s="200">
        <f t="shared" si="38"/>
        <v>43404</v>
      </c>
      <c r="M78" s="200">
        <f t="shared" si="38"/>
        <v>43434</v>
      </c>
      <c r="N78" s="200">
        <f t="shared" ref="N78:O78" si="39">+N14</f>
        <v>43465</v>
      </c>
      <c r="O78" s="200">
        <f t="shared" si="39"/>
        <v>43496</v>
      </c>
    </row>
    <row r="79" spans="2:15" x14ac:dyDescent="0.3">
      <c r="B79" s="122" t="str">
        <f>+B66</f>
        <v>Fabbricati</v>
      </c>
      <c r="D79" s="137"/>
      <c r="E79" s="137"/>
      <c r="F79" s="137">
        <f>+($F23*$C23)/12</f>
        <v>0</v>
      </c>
      <c r="G79" s="137">
        <f t="shared" ref="G79:M79" si="40">+($F23*$C23)/12</f>
        <v>0</v>
      </c>
      <c r="H79" s="137">
        <f t="shared" si="40"/>
        <v>0</v>
      </c>
      <c r="I79" s="137">
        <f t="shared" si="40"/>
        <v>0</v>
      </c>
      <c r="J79" s="137">
        <f t="shared" si="40"/>
        <v>0</v>
      </c>
      <c r="K79" s="137">
        <f t="shared" si="40"/>
        <v>0</v>
      </c>
      <c r="L79" s="137">
        <f t="shared" si="40"/>
        <v>0</v>
      </c>
      <c r="M79" s="137">
        <f t="shared" si="40"/>
        <v>0</v>
      </c>
      <c r="N79" s="137">
        <f t="shared" ref="N79:O79" si="41">+($F23*$C23)/12</f>
        <v>0</v>
      </c>
      <c r="O79" s="137">
        <f t="shared" si="41"/>
        <v>0</v>
      </c>
    </row>
    <row r="80" spans="2:15" x14ac:dyDescent="0.3">
      <c r="B80" s="122" t="str">
        <f t="shared" ref="B80:B88" si="42">+B67</f>
        <v>Impianti e Macchinari</v>
      </c>
      <c r="D80" s="137"/>
      <c r="E80" s="137"/>
      <c r="F80" s="137">
        <f t="shared" ref="F80:M82" si="43">+($F24*$C24)/12</f>
        <v>0</v>
      </c>
      <c r="G80" s="137">
        <f t="shared" si="43"/>
        <v>0</v>
      </c>
      <c r="H80" s="137">
        <f t="shared" si="43"/>
        <v>0</v>
      </c>
      <c r="I80" s="137">
        <f t="shared" si="43"/>
        <v>0</v>
      </c>
      <c r="J80" s="137">
        <f t="shared" si="43"/>
        <v>0</v>
      </c>
      <c r="K80" s="137">
        <f t="shared" si="43"/>
        <v>0</v>
      </c>
      <c r="L80" s="137">
        <f t="shared" si="43"/>
        <v>0</v>
      </c>
      <c r="M80" s="137">
        <f t="shared" si="43"/>
        <v>0</v>
      </c>
      <c r="N80" s="137">
        <f t="shared" ref="N80:O80" si="44">+($F24*$C24)/12</f>
        <v>0</v>
      </c>
      <c r="O80" s="137">
        <f t="shared" si="44"/>
        <v>0</v>
      </c>
    </row>
    <row r="81" spans="2:15" x14ac:dyDescent="0.3">
      <c r="B81" s="122" t="str">
        <f t="shared" si="42"/>
        <v>Attrezzature industriali e commerciali</v>
      </c>
      <c r="D81" s="137"/>
      <c r="E81" s="137"/>
      <c r="F81" s="137">
        <f t="shared" si="43"/>
        <v>0</v>
      </c>
      <c r="G81" s="137">
        <f t="shared" si="43"/>
        <v>0</v>
      </c>
      <c r="H81" s="137">
        <f t="shared" si="43"/>
        <v>0</v>
      </c>
      <c r="I81" s="137">
        <f t="shared" si="43"/>
        <v>0</v>
      </c>
      <c r="J81" s="137">
        <f t="shared" si="43"/>
        <v>0</v>
      </c>
      <c r="K81" s="137">
        <f t="shared" si="43"/>
        <v>0</v>
      </c>
      <c r="L81" s="137">
        <f t="shared" si="43"/>
        <v>0</v>
      </c>
      <c r="M81" s="137">
        <f t="shared" si="43"/>
        <v>0</v>
      </c>
      <c r="N81" s="137">
        <f t="shared" ref="N81:O81" si="45">+($F25*$C25)/12</f>
        <v>0</v>
      </c>
      <c r="O81" s="137">
        <f t="shared" si="45"/>
        <v>0</v>
      </c>
    </row>
    <row r="82" spans="2:15" x14ac:dyDescent="0.3">
      <c r="B82" s="122" t="str">
        <f t="shared" si="42"/>
        <v>Altri beni</v>
      </c>
      <c r="D82" s="137"/>
      <c r="E82" s="137"/>
      <c r="F82" s="137">
        <f t="shared" si="43"/>
        <v>0</v>
      </c>
      <c r="G82" s="137">
        <f t="shared" si="43"/>
        <v>0</v>
      </c>
      <c r="H82" s="137">
        <f t="shared" si="43"/>
        <v>0</v>
      </c>
      <c r="I82" s="137">
        <f t="shared" si="43"/>
        <v>0</v>
      </c>
      <c r="J82" s="137">
        <f t="shared" si="43"/>
        <v>0</v>
      </c>
      <c r="K82" s="137">
        <f t="shared" si="43"/>
        <v>0</v>
      </c>
      <c r="L82" s="137">
        <f t="shared" si="43"/>
        <v>0</v>
      </c>
      <c r="M82" s="137">
        <f t="shared" si="43"/>
        <v>0</v>
      </c>
      <c r="N82" s="137">
        <f t="shared" ref="N82:O82" si="46">+($F26*$C26)/12</f>
        <v>0</v>
      </c>
      <c r="O82" s="137">
        <f t="shared" si="46"/>
        <v>0</v>
      </c>
    </row>
    <row r="83" spans="2:15" x14ac:dyDescent="0.3"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</row>
    <row r="84" spans="2:15" x14ac:dyDescent="0.3"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</row>
    <row r="85" spans="2:15" x14ac:dyDescent="0.3"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</row>
    <row r="86" spans="2:15" x14ac:dyDescent="0.3">
      <c r="B86" s="122" t="str">
        <f t="shared" si="42"/>
        <v>Costi d'impianto e ampliamento</v>
      </c>
      <c r="D86" s="137"/>
      <c r="E86" s="137"/>
      <c r="F86" s="137">
        <f>+$F30*$C30</f>
        <v>0</v>
      </c>
      <c r="G86" s="137">
        <f>+$F30*$C30*IF(F86=F30,0,1)</f>
        <v>0</v>
      </c>
      <c r="H86" s="137">
        <f>+$F30*$C30*(IF(SUM($D86:G86)=$F30,0,1))</f>
        <v>0</v>
      </c>
      <c r="I86" s="137">
        <f>+$F30*$C30*(IF(SUM($D86:H86)=$F30,0,1))</f>
        <v>0</v>
      </c>
      <c r="J86" s="137">
        <f>+$F30*$C30*(IF(SUM($D86:I86)=$F30,0,1))</f>
        <v>0</v>
      </c>
      <c r="K86" s="137">
        <f>+$F30*$C30*(IF(SUM($D86:J86)=$F30,0,1))</f>
        <v>0</v>
      </c>
      <c r="L86" s="137">
        <f>+$F30*$C30*(IF(SUM($D86:K86)=$F30,0,1))</f>
        <v>0</v>
      </c>
      <c r="M86" s="137">
        <f>+$F30*$C30*(IF(SUM($D86:L86)=$F30,0,1))</f>
        <v>0</v>
      </c>
      <c r="N86" s="137">
        <f>+$F30*$C30*(IF(SUM($D86:M86)=$F30,0,1))</f>
        <v>0</v>
      </c>
      <c r="O86" s="137">
        <f>+$F30*$C30*(IF(SUM($D86:N86)=$F30,0,1))</f>
        <v>0</v>
      </c>
    </row>
    <row r="87" spans="2:15" x14ac:dyDescent="0.3">
      <c r="B87" s="122" t="str">
        <f t="shared" si="42"/>
        <v>Ricerca&amp; Sviluppo</v>
      </c>
      <c r="D87" s="137"/>
      <c r="E87" s="137"/>
      <c r="F87" s="137">
        <f>+$F31*$C31</f>
        <v>0</v>
      </c>
      <c r="G87" s="137">
        <f>+$F31*$C31*IF(F87=F31,0,1)</f>
        <v>0</v>
      </c>
      <c r="H87" s="137">
        <f>+$F31*$C31*(IF(SUM($D87:G87)=$F31,0,1))</f>
        <v>0</v>
      </c>
      <c r="I87" s="137">
        <f>+$F31*$C31*(IF(SUM($D87:H87)=$F31,0,1))</f>
        <v>0</v>
      </c>
      <c r="J87" s="137">
        <f>+$F31*$C31*(IF(SUM($D87:I87)=$F31,0,1))</f>
        <v>0</v>
      </c>
      <c r="K87" s="137">
        <f>+$F31*$C31*(IF(SUM($D87:J87)=$F31,0,1))</f>
        <v>0</v>
      </c>
      <c r="L87" s="137">
        <f>+$F31*$C31*(IF(SUM($D87:K87)=$F31,0,1))</f>
        <v>0</v>
      </c>
      <c r="M87" s="137">
        <f>+$F31*$C31*(IF(SUM($D87:L87)=$F31,0,1))</f>
        <v>0</v>
      </c>
      <c r="N87" s="137">
        <f>+$F31*$C31*(IF(SUM($D87:M87)=$F31,0,1))</f>
        <v>0</v>
      </c>
      <c r="O87" s="137">
        <f>+$F31*$C31*(IF(SUM($D87:N87)=$F31,0,1))</f>
        <v>0</v>
      </c>
    </row>
    <row r="88" spans="2:15" x14ac:dyDescent="0.3">
      <c r="B88" s="122" t="str">
        <f t="shared" si="42"/>
        <v>Altre immobilizzazioni immateriali</v>
      </c>
      <c r="D88" s="137"/>
      <c r="E88" s="137"/>
      <c r="F88" s="137">
        <f>+$F32*$C32</f>
        <v>0</v>
      </c>
      <c r="G88" s="137">
        <f>+$F32*$C32*IF(F88=F32,0,1)</f>
        <v>0</v>
      </c>
      <c r="H88" s="137">
        <f>+$F32*$C32*(IF(SUM($D88:G88)=$F32,0,1))</f>
        <v>0</v>
      </c>
      <c r="I88" s="137">
        <f>+$F32*$C32*(IF(SUM($D88:H88)=$F32,0,1))</f>
        <v>0</v>
      </c>
      <c r="J88" s="137">
        <f>+$F32*$C32*(IF(SUM($D88:I88)=$F32,0,1))</f>
        <v>0</v>
      </c>
      <c r="K88" s="137">
        <f>+$F32*$C32*(IF(SUM($D88:J88)=$F32,0,1))</f>
        <v>0</v>
      </c>
      <c r="L88" s="137">
        <f>+$F32*$C32*(IF(SUM($D88:K88)=$F32,0,1))</f>
        <v>0</v>
      </c>
      <c r="M88" s="137">
        <f>+$F32*$C32*(IF(SUM($D88:L88)=$F32,0,1))</f>
        <v>0</v>
      </c>
      <c r="N88" s="137">
        <f>+$F32*$C32*(IF(SUM($D88:M88)=$F32,0,1))</f>
        <v>0</v>
      </c>
      <c r="O88" s="137">
        <f>+$F32*$C32*(IF(SUM($D88:N88)=$F32,0,1))</f>
        <v>0</v>
      </c>
    </row>
    <row r="91" spans="2:15" x14ac:dyDescent="0.3">
      <c r="B91" s="118" t="s">
        <v>48</v>
      </c>
      <c r="D91" s="200">
        <f>+D22</f>
        <v>43159</v>
      </c>
      <c r="E91" s="200">
        <f t="shared" ref="E91:M91" si="47">+E22</f>
        <v>43190</v>
      </c>
      <c r="F91" s="200">
        <f t="shared" si="47"/>
        <v>43220</v>
      </c>
      <c r="G91" s="200">
        <f t="shared" si="47"/>
        <v>43251</v>
      </c>
      <c r="H91" s="200">
        <f t="shared" si="47"/>
        <v>43281</v>
      </c>
      <c r="I91" s="200">
        <f t="shared" si="47"/>
        <v>43312</v>
      </c>
      <c r="J91" s="200">
        <f t="shared" si="47"/>
        <v>43343</v>
      </c>
      <c r="K91" s="200">
        <f t="shared" si="47"/>
        <v>43373</v>
      </c>
      <c r="L91" s="200">
        <f t="shared" si="47"/>
        <v>43404</v>
      </c>
      <c r="M91" s="200">
        <f t="shared" si="47"/>
        <v>43434</v>
      </c>
      <c r="N91" s="200">
        <f t="shared" ref="N91:O91" si="48">+N22</f>
        <v>43465</v>
      </c>
      <c r="O91" s="200">
        <f t="shared" si="48"/>
        <v>43496</v>
      </c>
    </row>
    <row r="92" spans="2:15" x14ac:dyDescent="0.3">
      <c r="B92" s="122" t="str">
        <f>+B79</f>
        <v>Fabbricati</v>
      </c>
      <c r="D92" s="137"/>
      <c r="E92" s="137"/>
      <c r="F92" s="137"/>
      <c r="G92" s="137">
        <f>+($G23*$C23)/12</f>
        <v>0</v>
      </c>
      <c r="H92" s="137">
        <f t="shared" ref="H92:M92" si="49">+($G23*$C23)/12</f>
        <v>0</v>
      </c>
      <c r="I92" s="137">
        <f t="shared" si="49"/>
        <v>0</v>
      </c>
      <c r="J92" s="137">
        <f t="shared" si="49"/>
        <v>0</v>
      </c>
      <c r="K92" s="137">
        <f t="shared" si="49"/>
        <v>0</v>
      </c>
      <c r="L92" s="137">
        <f t="shared" si="49"/>
        <v>0</v>
      </c>
      <c r="M92" s="137">
        <f t="shared" si="49"/>
        <v>0</v>
      </c>
      <c r="N92" s="137">
        <f t="shared" ref="N92:O92" si="50">+($G23*$C23)/12</f>
        <v>0</v>
      </c>
      <c r="O92" s="137">
        <f t="shared" si="50"/>
        <v>0</v>
      </c>
    </row>
    <row r="93" spans="2:15" x14ac:dyDescent="0.3">
      <c r="B93" s="122" t="str">
        <f t="shared" ref="B93:B101" si="51">+B80</f>
        <v>Impianti e Macchinari</v>
      </c>
      <c r="D93" s="137"/>
      <c r="E93" s="137"/>
      <c r="F93" s="137"/>
      <c r="G93" s="137">
        <f t="shared" ref="G93:M95" si="52">+($G24*$C24)/12</f>
        <v>0</v>
      </c>
      <c r="H93" s="137">
        <f t="shared" si="52"/>
        <v>0</v>
      </c>
      <c r="I93" s="137">
        <f t="shared" si="52"/>
        <v>0</v>
      </c>
      <c r="J93" s="137">
        <f t="shared" si="52"/>
        <v>0</v>
      </c>
      <c r="K93" s="137">
        <f t="shared" si="52"/>
        <v>0</v>
      </c>
      <c r="L93" s="137">
        <f t="shared" si="52"/>
        <v>0</v>
      </c>
      <c r="M93" s="137">
        <f t="shared" si="52"/>
        <v>0</v>
      </c>
      <c r="N93" s="137">
        <f t="shared" ref="N93:O93" si="53">+($G24*$C24)/12</f>
        <v>0</v>
      </c>
      <c r="O93" s="137">
        <f t="shared" si="53"/>
        <v>0</v>
      </c>
    </row>
    <row r="94" spans="2:15" x14ac:dyDescent="0.3">
      <c r="B94" s="122" t="str">
        <f t="shared" si="51"/>
        <v>Attrezzature industriali e commerciali</v>
      </c>
      <c r="D94" s="137"/>
      <c r="E94" s="137"/>
      <c r="F94" s="137"/>
      <c r="G94" s="137">
        <f t="shared" si="52"/>
        <v>0</v>
      </c>
      <c r="H94" s="137">
        <f t="shared" si="52"/>
        <v>0</v>
      </c>
      <c r="I94" s="137">
        <f t="shared" si="52"/>
        <v>0</v>
      </c>
      <c r="J94" s="137">
        <f t="shared" si="52"/>
        <v>0</v>
      </c>
      <c r="K94" s="137">
        <f t="shared" si="52"/>
        <v>0</v>
      </c>
      <c r="L94" s="137">
        <f t="shared" si="52"/>
        <v>0</v>
      </c>
      <c r="M94" s="137">
        <f t="shared" si="52"/>
        <v>0</v>
      </c>
      <c r="N94" s="137">
        <f t="shared" ref="N94:O94" si="54">+($G25*$C25)/12</f>
        <v>0</v>
      </c>
      <c r="O94" s="137">
        <f t="shared" si="54"/>
        <v>0</v>
      </c>
    </row>
    <row r="95" spans="2:15" x14ac:dyDescent="0.3">
      <c r="B95" s="122" t="str">
        <f t="shared" si="51"/>
        <v>Altri beni</v>
      </c>
      <c r="D95" s="137"/>
      <c r="E95" s="137"/>
      <c r="F95" s="137"/>
      <c r="G95" s="137">
        <f t="shared" si="52"/>
        <v>0</v>
      </c>
      <c r="H95" s="137">
        <f t="shared" si="52"/>
        <v>0</v>
      </c>
      <c r="I95" s="137">
        <f t="shared" si="52"/>
        <v>0</v>
      </c>
      <c r="J95" s="137">
        <f t="shared" si="52"/>
        <v>0</v>
      </c>
      <c r="K95" s="137">
        <f t="shared" si="52"/>
        <v>0</v>
      </c>
      <c r="L95" s="137">
        <f t="shared" si="52"/>
        <v>0</v>
      </c>
      <c r="M95" s="137">
        <f t="shared" si="52"/>
        <v>0</v>
      </c>
      <c r="N95" s="137">
        <f t="shared" ref="N95:O95" si="55">+($G26*$C26)/12</f>
        <v>0</v>
      </c>
      <c r="O95" s="137">
        <f t="shared" si="55"/>
        <v>0</v>
      </c>
    </row>
    <row r="96" spans="2:15" x14ac:dyDescent="0.3"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</row>
    <row r="97" spans="2:15" x14ac:dyDescent="0.3"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</row>
    <row r="98" spans="2:15" x14ac:dyDescent="0.3"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</row>
    <row r="99" spans="2:15" x14ac:dyDescent="0.3">
      <c r="B99" s="122" t="str">
        <f t="shared" si="51"/>
        <v>Costi d'impianto e ampliamento</v>
      </c>
      <c r="D99" s="137"/>
      <c r="E99" s="137"/>
      <c r="F99" s="137"/>
      <c r="G99" s="137">
        <f>+$G30*$C30</f>
        <v>0</v>
      </c>
      <c r="H99" s="137">
        <f>+$G30*$C30*IF(G99=G30,0,1)</f>
        <v>0</v>
      </c>
      <c r="I99" s="137">
        <f>+$G30*$C30*(IF(SUM($D99:H99)=$G30,0,1))</f>
        <v>0</v>
      </c>
      <c r="J99" s="137">
        <f>+$G30*$C30*(IF(SUM($D99:I99)=$G30,0,1))</f>
        <v>0</v>
      </c>
      <c r="K99" s="137">
        <f>+$G30*$C30*(IF(SUM($D99:J99)=$G30,0,1))</f>
        <v>0</v>
      </c>
      <c r="L99" s="137">
        <f>+$G30*$C30*(IF(SUM($D99:K99)=$G30,0,1))</f>
        <v>0</v>
      </c>
      <c r="M99" s="137">
        <f>+$G30*$C30*(IF(SUM($D99:L99)=$G30,0,1))</f>
        <v>0</v>
      </c>
      <c r="N99" s="137">
        <f>+$G30*$C30*(IF(SUM($D99:M99)=$G30,0,1))</f>
        <v>0</v>
      </c>
      <c r="O99" s="137">
        <f>+$G30*$C30*(IF(SUM($D99:N99)=$G30,0,1))</f>
        <v>0</v>
      </c>
    </row>
    <row r="100" spans="2:15" x14ac:dyDescent="0.3">
      <c r="B100" s="122" t="str">
        <f t="shared" si="51"/>
        <v>Ricerca&amp; Sviluppo</v>
      </c>
      <c r="D100" s="137"/>
      <c r="E100" s="137"/>
      <c r="F100" s="137"/>
      <c r="G100" s="137">
        <f>+$G31*$C31</f>
        <v>0</v>
      </c>
      <c r="H100" s="137">
        <f>+$G31*$C31*IF(G100=G31,0,1)</f>
        <v>0</v>
      </c>
      <c r="I100" s="137">
        <f>+$G31*$C31*(IF(SUM($D100:H100)=$G31,0,1))</f>
        <v>0</v>
      </c>
      <c r="J100" s="137">
        <f>+$G31*$C31*(IF(SUM($D100:I100)=$G31,0,1))</f>
        <v>0</v>
      </c>
      <c r="K100" s="137">
        <f>+$G31*$C31*(IF(SUM($D100:J100)=$G31,0,1))</f>
        <v>0</v>
      </c>
      <c r="L100" s="137">
        <f>+$G31*$C31*(IF(SUM($D100:K100)=$G31,0,1))</f>
        <v>0</v>
      </c>
      <c r="M100" s="137">
        <f>+$G31*$C31*(IF(SUM($D100:L100)=$G31,0,1))</f>
        <v>0</v>
      </c>
      <c r="N100" s="137">
        <f>+$G31*$C31*(IF(SUM($D100:M100)=$G31,0,1))</f>
        <v>0</v>
      </c>
      <c r="O100" s="137">
        <f>+$G31*$C31*(IF(SUM($D100:N100)=$G31,0,1))</f>
        <v>0</v>
      </c>
    </row>
    <row r="101" spans="2:15" x14ac:dyDescent="0.3">
      <c r="B101" s="122" t="str">
        <f t="shared" si="51"/>
        <v>Altre immobilizzazioni immateriali</v>
      </c>
      <c r="D101" s="137"/>
      <c r="E101" s="137"/>
      <c r="F101" s="137"/>
      <c r="G101" s="137">
        <f>+$G32*$C32</f>
        <v>0</v>
      </c>
      <c r="H101" s="137">
        <f>+$G32*$C32*IF(G101=G32,0,1)</f>
        <v>0</v>
      </c>
      <c r="I101" s="137">
        <f>+$G32*$C32*(IF(SUM($D101:H101)=$G32,0,1))</f>
        <v>0</v>
      </c>
      <c r="J101" s="137">
        <f>+$G32*$C32*(IF(SUM($D101:I101)=$G32,0,1))</f>
        <v>0</v>
      </c>
      <c r="K101" s="137">
        <f>+$G32*$C32*(IF(SUM($D101:J101)=$G32,0,1))</f>
        <v>0</v>
      </c>
      <c r="L101" s="137">
        <f>+$G32*$C32*(IF(SUM($D101:K101)=$G32,0,1))</f>
        <v>0</v>
      </c>
      <c r="M101" s="137">
        <f>+$G32*$C32*(IF(SUM($D101:L101)=$G32,0,1))</f>
        <v>0</v>
      </c>
      <c r="N101" s="137">
        <f>+$G32*$C32*(IF(SUM($D101:M101)=$G32,0,1))</f>
        <v>0</v>
      </c>
      <c r="O101" s="137">
        <f>+$G32*$C32*(IF(SUM($D101:N101)=$G32,0,1))</f>
        <v>0</v>
      </c>
    </row>
    <row r="102" spans="2:15" x14ac:dyDescent="0.3">
      <c r="I102" s="58"/>
    </row>
    <row r="104" spans="2:15" x14ac:dyDescent="0.3">
      <c r="B104" s="118" t="s">
        <v>49</v>
      </c>
      <c r="D104" s="200">
        <f>+D14</f>
        <v>43159</v>
      </c>
      <c r="E104" s="200">
        <f t="shared" ref="E104:M104" si="56">+E14</f>
        <v>43190</v>
      </c>
      <c r="F104" s="200">
        <f t="shared" si="56"/>
        <v>43220</v>
      </c>
      <c r="G104" s="200">
        <f t="shared" si="56"/>
        <v>43251</v>
      </c>
      <c r="H104" s="200">
        <f t="shared" si="56"/>
        <v>43281</v>
      </c>
      <c r="I104" s="200">
        <f t="shared" si="56"/>
        <v>43312</v>
      </c>
      <c r="J104" s="200">
        <f t="shared" si="56"/>
        <v>43343</v>
      </c>
      <c r="K104" s="200">
        <f t="shared" si="56"/>
        <v>43373</v>
      </c>
      <c r="L104" s="200">
        <f t="shared" si="56"/>
        <v>43404</v>
      </c>
      <c r="M104" s="200">
        <f t="shared" si="56"/>
        <v>43434</v>
      </c>
      <c r="N104" s="200">
        <f t="shared" ref="N104:O104" si="57">+N14</f>
        <v>43465</v>
      </c>
      <c r="O104" s="200">
        <f t="shared" si="57"/>
        <v>43496</v>
      </c>
    </row>
    <row r="105" spans="2:15" x14ac:dyDescent="0.3">
      <c r="B105" s="122" t="str">
        <f>+B92</f>
        <v>Fabbricati</v>
      </c>
      <c r="D105" s="137"/>
      <c r="E105" s="137"/>
      <c r="F105" s="137"/>
      <c r="G105" s="137"/>
      <c r="H105" s="137">
        <f>+($H23*$C23)/12</f>
        <v>0</v>
      </c>
      <c r="I105" s="137">
        <f t="shared" ref="I105:M105" si="58">+($H23*$C23)/12</f>
        <v>0</v>
      </c>
      <c r="J105" s="137">
        <f t="shared" si="58"/>
        <v>0</v>
      </c>
      <c r="K105" s="137">
        <f t="shared" si="58"/>
        <v>0</v>
      </c>
      <c r="L105" s="137">
        <f t="shared" si="58"/>
        <v>0</v>
      </c>
      <c r="M105" s="137">
        <f t="shared" si="58"/>
        <v>0</v>
      </c>
      <c r="N105" s="137">
        <f t="shared" ref="N105:O105" si="59">+($H23*$C23)/12</f>
        <v>0</v>
      </c>
      <c r="O105" s="137">
        <f t="shared" si="59"/>
        <v>0</v>
      </c>
    </row>
    <row r="106" spans="2:15" x14ac:dyDescent="0.3">
      <c r="B106" s="122" t="str">
        <f t="shared" ref="B106:B114" si="60">+B93</f>
        <v>Impianti e Macchinari</v>
      </c>
      <c r="D106" s="137"/>
      <c r="E106" s="137"/>
      <c r="F106" s="137"/>
      <c r="G106" s="137"/>
      <c r="H106" s="137">
        <f t="shared" ref="H106:M108" si="61">+($H24*$C24)/12</f>
        <v>0</v>
      </c>
      <c r="I106" s="137">
        <f t="shared" si="61"/>
        <v>0</v>
      </c>
      <c r="J106" s="137">
        <f t="shared" si="61"/>
        <v>0</v>
      </c>
      <c r="K106" s="137">
        <f t="shared" si="61"/>
        <v>0</v>
      </c>
      <c r="L106" s="137">
        <f t="shared" si="61"/>
        <v>0</v>
      </c>
      <c r="M106" s="137">
        <f t="shared" si="61"/>
        <v>0</v>
      </c>
      <c r="N106" s="137">
        <f t="shared" ref="N106:O106" si="62">+($H24*$C24)/12</f>
        <v>0</v>
      </c>
      <c r="O106" s="137">
        <f t="shared" si="62"/>
        <v>0</v>
      </c>
    </row>
    <row r="107" spans="2:15" x14ac:dyDescent="0.3">
      <c r="B107" s="122" t="str">
        <f t="shared" si="60"/>
        <v>Attrezzature industriali e commerciali</v>
      </c>
      <c r="D107" s="137"/>
      <c r="E107" s="137"/>
      <c r="F107" s="137"/>
      <c r="G107" s="137"/>
      <c r="H107" s="137">
        <f t="shared" si="61"/>
        <v>0</v>
      </c>
      <c r="I107" s="137">
        <f t="shared" si="61"/>
        <v>0</v>
      </c>
      <c r="J107" s="137">
        <f t="shared" si="61"/>
        <v>0</v>
      </c>
      <c r="K107" s="137">
        <f t="shared" si="61"/>
        <v>0</v>
      </c>
      <c r="L107" s="137">
        <f t="shared" si="61"/>
        <v>0</v>
      </c>
      <c r="M107" s="137">
        <f t="shared" si="61"/>
        <v>0</v>
      </c>
      <c r="N107" s="137">
        <f t="shared" ref="N107:O107" si="63">+($H25*$C25)/12</f>
        <v>0</v>
      </c>
      <c r="O107" s="137">
        <f t="shared" si="63"/>
        <v>0</v>
      </c>
    </row>
    <row r="108" spans="2:15" x14ac:dyDescent="0.3">
      <c r="B108" s="122" t="str">
        <f t="shared" si="60"/>
        <v>Altri beni</v>
      </c>
      <c r="D108" s="137"/>
      <c r="E108" s="137"/>
      <c r="F108" s="137"/>
      <c r="G108" s="137"/>
      <c r="H108" s="137">
        <f t="shared" si="61"/>
        <v>0</v>
      </c>
      <c r="I108" s="137">
        <f t="shared" si="61"/>
        <v>0</v>
      </c>
      <c r="J108" s="137">
        <f t="shared" si="61"/>
        <v>0</v>
      </c>
      <c r="K108" s="137">
        <f t="shared" si="61"/>
        <v>0</v>
      </c>
      <c r="L108" s="137">
        <f t="shared" si="61"/>
        <v>0</v>
      </c>
      <c r="M108" s="137">
        <f t="shared" si="61"/>
        <v>0</v>
      </c>
      <c r="N108" s="137">
        <f t="shared" ref="N108:O108" si="64">+($H26*$C26)/12</f>
        <v>0</v>
      </c>
      <c r="O108" s="137">
        <f t="shared" si="64"/>
        <v>0</v>
      </c>
    </row>
    <row r="109" spans="2:15" x14ac:dyDescent="0.3"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</row>
    <row r="110" spans="2:15" x14ac:dyDescent="0.3"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</row>
    <row r="111" spans="2:15" x14ac:dyDescent="0.3"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</row>
    <row r="112" spans="2:15" x14ac:dyDescent="0.3">
      <c r="B112" s="122" t="str">
        <f t="shared" si="60"/>
        <v>Costi d'impianto e ampliamento</v>
      </c>
      <c r="D112" s="137"/>
      <c r="E112" s="137"/>
      <c r="F112" s="137"/>
      <c r="G112" s="137"/>
      <c r="H112" s="137">
        <f>+$H30*$C30</f>
        <v>0</v>
      </c>
      <c r="I112" s="137">
        <f>+$H30*$C30*IF(H112=H30,0,1)</f>
        <v>0</v>
      </c>
      <c r="J112" s="137">
        <f>+$H30*$C30*(IF(SUM($D112:I112)=$H30,0,1))</f>
        <v>0</v>
      </c>
      <c r="K112" s="137">
        <f>+$H30*$C30*(IF(SUM($D112:J112)=$H30,0,1))</f>
        <v>0</v>
      </c>
      <c r="L112" s="137">
        <f>+$H30*$C30*(IF(SUM($D112:K112)=$H30,0,1))</f>
        <v>0</v>
      </c>
      <c r="M112" s="137">
        <f>+$H30*$C30*(IF(SUM($D112:L112)=$H30,0,1))</f>
        <v>0</v>
      </c>
      <c r="N112" s="137">
        <f>+$H30*$C30*(IF(SUM($D112:M112)=$H30,0,1))</f>
        <v>0</v>
      </c>
      <c r="O112" s="137">
        <f>+$H30*$C30*(IF(SUM($D112:N112)=$H30,0,1))</f>
        <v>0</v>
      </c>
    </row>
    <row r="113" spans="2:15" x14ac:dyDescent="0.3">
      <c r="B113" s="122" t="str">
        <f t="shared" si="60"/>
        <v>Ricerca&amp; Sviluppo</v>
      </c>
      <c r="D113" s="137"/>
      <c r="E113" s="137"/>
      <c r="F113" s="137"/>
      <c r="G113" s="137"/>
      <c r="H113" s="137">
        <f>+$H31*$C31</f>
        <v>0</v>
      </c>
      <c r="I113" s="137">
        <f>+$H31*$C31*IF(H113=H31,0,1)</f>
        <v>0</v>
      </c>
      <c r="J113" s="137">
        <f>+$H31*$C31*(IF(SUM($D113:I113)=$H31,0,1))</f>
        <v>0</v>
      </c>
      <c r="K113" s="137">
        <f>+$H31*$C31*(IF(SUM($D113:J113)=$H31,0,1))</f>
        <v>0</v>
      </c>
      <c r="L113" s="137">
        <f>+$H31*$C31*(IF(SUM($D113:K113)=$H31,0,1))</f>
        <v>0</v>
      </c>
      <c r="M113" s="137">
        <f>+$H31*$C31*(IF(SUM($D113:L113)=$H31,0,1))</f>
        <v>0</v>
      </c>
      <c r="N113" s="137">
        <f>+$H31*$C31*(IF(SUM($D113:M113)=$H31,0,1))</f>
        <v>0</v>
      </c>
      <c r="O113" s="137">
        <f>+$H31*$C31*(IF(SUM($D113:N113)=$H31,0,1))</f>
        <v>0</v>
      </c>
    </row>
    <row r="114" spans="2:15" x14ac:dyDescent="0.3">
      <c r="B114" s="122" t="str">
        <f t="shared" si="60"/>
        <v>Altre immobilizzazioni immateriali</v>
      </c>
      <c r="D114" s="137"/>
      <c r="E114" s="137"/>
      <c r="F114" s="137"/>
      <c r="G114" s="137"/>
      <c r="H114" s="137">
        <f>+$H32*$C32</f>
        <v>0</v>
      </c>
      <c r="I114" s="137">
        <f>+$H32*$C32*IF(H114=H32,0,1)</f>
        <v>0</v>
      </c>
      <c r="J114" s="137">
        <f>+$H32*$C32*(IF(SUM($D114:I114)=$H32,0,1))</f>
        <v>0</v>
      </c>
      <c r="K114" s="137">
        <f>+$H32*$C32*(IF(SUM($D114:J114)=$H32,0,1))</f>
        <v>0</v>
      </c>
      <c r="L114" s="137">
        <f>+$H32*$C32*(IF(SUM($D114:K114)=$H32,0,1))</f>
        <v>0</v>
      </c>
      <c r="M114" s="137">
        <f>+$H32*$C32*(IF(SUM($D114:L114)=$H32,0,1))</f>
        <v>0</v>
      </c>
      <c r="N114" s="137">
        <f>+$H32*$C32*(IF(SUM($D114:M114)=$H32,0,1))</f>
        <v>0</v>
      </c>
      <c r="O114" s="137">
        <f>+$H32*$C32*(IF(SUM($D114:N114)=$H32,0,1))</f>
        <v>0</v>
      </c>
    </row>
    <row r="117" spans="2:15" x14ac:dyDescent="0.3">
      <c r="B117" s="118" t="s">
        <v>50</v>
      </c>
      <c r="D117" s="200">
        <f>+D22</f>
        <v>43159</v>
      </c>
      <c r="E117" s="200">
        <f t="shared" ref="E117:M117" si="65">+E22</f>
        <v>43190</v>
      </c>
      <c r="F117" s="200">
        <f t="shared" si="65"/>
        <v>43220</v>
      </c>
      <c r="G117" s="200">
        <f t="shared" si="65"/>
        <v>43251</v>
      </c>
      <c r="H117" s="200">
        <f t="shared" si="65"/>
        <v>43281</v>
      </c>
      <c r="I117" s="200">
        <f t="shared" si="65"/>
        <v>43312</v>
      </c>
      <c r="J117" s="200">
        <f t="shared" si="65"/>
        <v>43343</v>
      </c>
      <c r="K117" s="200">
        <f t="shared" si="65"/>
        <v>43373</v>
      </c>
      <c r="L117" s="200">
        <f t="shared" si="65"/>
        <v>43404</v>
      </c>
      <c r="M117" s="200">
        <f t="shared" si="65"/>
        <v>43434</v>
      </c>
      <c r="N117" s="200">
        <f t="shared" ref="N117:O117" si="66">+N22</f>
        <v>43465</v>
      </c>
      <c r="O117" s="200">
        <f t="shared" si="66"/>
        <v>43496</v>
      </c>
    </row>
    <row r="118" spans="2:15" x14ac:dyDescent="0.3">
      <c r="B118" s="122" t="str">
        <f>+B105</f>
        <v>Fabbricati</v>
      </c>
      <c r="D118" s="137"/>
      <c r="E118" s="137"/>
      <c r="F118" s="137"/>
      <c r="G118" s="137"/>
      <c r="H118" s="137"/>
      <c r="I118" s="137">
        <f>+($I23*$C23)/12</f>
        <v>0</v>
      </c>
      <c r="J118" s="137">
        <f t="shared" ref="J118:M118" si="67">+($I23*$C23)/12</f>
        <v>0</v>
      </c>
      <c r="K118" s="137">
        <f t="shared" si="67"/>
        <v>0</v>
      </c>
      <c r="L118" s="137">
        <f t="shared" si="67"/>
        <v>0</v>
      </c>
      <c r="M118" s="137">
        <f t="shared" si="67"/>
        <v>0</v>
      </c>
      <c r="N118" s="137">
        <f t="shared" ref="N118:O118" si="68">+($I23*$C23)/12</f>
        <v>0</v>
      </c>
      <c r="O118" s="137">
        <f t="shared" si="68"/>
        <v>0</v>
      </c>
    </row>
    <row r="119" spans="2:15" x14ac:dyDescent="0.3">
      <c r="B119" s="122" t="str">
        <f t="shared" ref="B119:B127" si="69">+B106</f>
        <v>Impianti e Macchinari</v>
      </c>
      <c r="D119" s="137"/>
      <c r="E119" s="137"/>
      <c r="F119" s="137"/>
      <c r="G119" s="137"/>
      <c r="H119" s="137"/>
      <c r="I119" s="137">
        <f t="shared" ref="I119:M121" si="70">+($I24*$C24)/12</f>
        <v>0</v>
      </c>
      <c r="J119" s="137">
        <f t="shared" si="70"/>
        <v>0</v>
      </c>
      <c r="K119" s="137">
        <f t="shared" si="70"/>
        <v>0</v>
      </c>
      <c r="L119" s="137">
        <f t="shared" si="70"/>
        <v>0</v>
      </c>
      <c r="M119" s="137">
        <f t="shared" si="70"/>
        <v>0</v>
      </c>
      <c r="N119" s="137">
        <f t="shared" ref="N119:O119" si="71">+($I24*$C24)/12</f>
        <v>0</v>
      </c>
      <c r="O119" s="137">
        <f t="shared" si="71"/>
        <v>0</v>
      </c>
    </row>
    <row r="120" spans="2:15" x14ac:dyDescent="0.3">
      <c r="B120" s="122" t="str">
        <f t="shared" si="69"/>
        <v>Attrezzature industriali e commerciali</v>
      </c>
      <c r="D120" s="137"/>
      <c r="E120" s="137"/>
      <c r="F120" s="137"/>
      <c r="G120" s="137"/>
      <c r="H120" s="137"/>
      <c r="I120" s="137">
        <f t="shared" si="70"/>
        <v>0</v>
      </c>
      <c r="J120" s="137">
        <f t="shared" si="70"/>
        <v>0</v>
      </c>
      <c r="K120" s="137">
        <f t="shared" si="70"/>
        <v>0</v>
      </c>
      <c r="L120" s="137">
        <f t="shared" si="70"/>
        <v>0</v>
      </c>
      <c r="M120" s="137">
        <f t="shared" si="70"/>
        <v>0</v>
      </c>
      <c r="N120" s="137">
        <f t="shared" ref="N120:O120" si="72">+($I25*$C25)/12</f>
        <v>0</v>
      </c>
      <c r="O120" s="137">
        <f t="shared" si="72"/>
        <v>0</v>
      </c>
    </row>
    <row r="121" spans="2:15" x14ac:dyDescent="0.3">
      <c r="B121" s="122" t="str">
        <f t="shared" si="69"/>
        <v>Altri beni</v>
      </c>
      <c r="D121" s="137"/>
      <c r="E121" s="137"/>
      <c r="F121" s="137"/>
      <c r="G121" s="137"/>
      <c r="H121" s="137"/>
      <c r="I121" s="137">
        <f t="shared" si="70"/>
        <v>0</v>
      </c>
      <c r="J121" s="137">
        <f t="shared" si="70"/>
        <v>0</v>
      </c>
      <c r="K121" s="137">
        <f t="shared" si="70"/>
        <v>0</v>
      </c>
      <c r="L121" s="137">
        <f t="shared" si="70"/>
        <v>0</v>
      </c>
      <c r="M121" s="137">
        <f t="shared" si="70"/>
        <v>0</v>
      </c>
      <c r="N121" s="137">
        <f t="shared" ref="N121:O121" si="73">+($I26*$C26)/12</f>
        <v>0</v>
      </c>
      <c r="O121" s="137">
        <f t="shared" si="73"/>
        <v>0</v>
      </c>
    </row>
    <row r="122" spans="2:15" x14ac:dyDescent="0.3"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</row>
    <row r="123" spans="2:15" x14ac:dyDescent="0.3"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</row>
    <row r="124" spans="2:15" x14ac:dyDescent="0.3"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</row>
    <row r="125" spans="2:15" x14ac:dyDescent="0.3">
      <c r="B125" s="122" t="str">
        <f t="shared" si="69"/>
        <v>Costi d'impianto e ampliamento</v>
      </c>
      <c r="D125" s="137"/>
      <c r="E125" s="137"/>
      <c r="F125" s="137"/>
      <c r="G125" s="137"/>
      <c r="H125" s="137"/>
      <c r="I125" s="137">
        <f>+$I30*$C30</f>
        <v>0</v>
      </c>
      <c r="J125" s="137">
        <f>+$I30*$C30*IF(I125=I30,0,1)</f>
        <v>0</v>
      </c>
      <c r="K125" s="137">
        <f>+$I30*$C30*(IF(SUM($D125:J125)=$I30,0,1))</f>
        <v>0</v>
      </c>
      <c r="L125" s="137">
        <f>+$I30*$C30*(IF(SUM($D125:K125)=$I30,0,1))</f>
        <v>0</v>
      </c>
      <c r="M125" s="137">
        <f>+$I30*$C30*(IF(SUM($D125:L125)=$I30,0,1))</f>
        <v>0</v>
      </c>
      <c r="N125" s="137">
        <f>+$I30*$C30*(IF(SUM($D125:M125)=$I30,0,1))</f>
        <v>0</v>
      </c>
      <c r="O125" s="137">
        <f>+$I30*$C30*(IF(SUM($D125:N125)=$I30,0,1))</f>
        <v>0</v>
      </c>
    </row>
    <row r="126" spans="2:15" x14ac:dyDescent="0.3">
      <c r="B126" s="122" t="str">
        <f t="shared" si="69"/>
        <v>Ricerca&amp; Sviluppo</v>
      </c>
      <c r="D126" s="137"/>
      <c r="E126" s="137"/>
      <c r="F126" s="137"/>
      <c r="G126" s="137"/>
      <c r="H126" s="137"/>
      <c r="I126" s="137">
        <f>+$I31*$C31</f>
        <v>0</v>
      </c>
      <c r="J126" s="137">
        <f>+$I31*$C31*IF(I126=I31,0,1)</f>
        <v>0</v>
      </c>
      <c r="K126" s="137">
        <f>+$I31*$C31*(IF(SUM($D126:J126)=$I31,0,1))</f>
        <v>0</v>
      </c>
      <c r="L126" s="137">
        <f>+$I31*$C31*(IF(SUM($D126:K126)=$I31,0,1))</f>
        <v>0</v>
      </c>
      <c r="M126" s="137">
        <f>+$I31*$C31*(IF(SUM($D126:L126)=$I31,0,1))</f>
        <v>0</v>
      </c>
      <c r="N126" s="137">
        <f>+$I31*$C31*(IF(SUM($D126:M126)=$I31,0,1))</f>
        <v>0</v>
      </c>
      <c r="O126" s="137">
        <f>+$I31*$C31*(IF(SUM($D126:N126)=$I31,0,1))</f>
        <v>0</v>
      </c>
    </row>
    <row r="127" spans="2:15" x14ac:dyDescent="0.3">
      <c r="B127" s="122" t="str">
        <f t="shared" si="69"/>
        <v>Altre immobilizzazioni immateriali</v>
      </c>
      <c r="D127" s="137"/>
      <c r="E127" s="137"/>
      <c r="F127" s="137"/>
      <c r="G127" s="137"/>
      <c r="H127" s="137"/>
      <c r="I127" s="137">
        <f>+$I32*$C32</f>
        <v>0</v>
      </c>
      <c r="J127" s="137">
        <f>+$I32*$C32*IF(I127=I32,0,1)</f>
        <v>0</v>
      </c>
      <c r="K127" s="137">
        <f>+$I32*$C32*(IF(SUM($D127:J127)=$I32,0,1))</f>
        <v>0</v>
      </c>
      <c r="L127" s="137">
        <f>+$I32*$C32*(IF(SUM($D127:K127)=$I32,0,1))</f>
        <v>0</v>
      </c>
      <c r="M127" s="137">
        <f>+$I32*$C32*(IF(SUM($D127:L127)=$I32,0,1))</f>
        <v>0</v>
      </c>
      <c r="N127" s="137">
        <f>+$I32*$C32*(IF(SUM($D127:M127)=$I32,0,1))</f>
        <v>0</v>
      </c>
      <c r="O127" s="137">
        <f>+$I32*$C32*(IF(SUM($D127:N127)=$I32,0,1))</f>
        <v>0</v>
      </c>
    </row>
    <row r="130" spans="2:15" x14ac:dyDescent="0.3">
      <c r="B130" s="118" t="s">
        <v>51</v>
      </c>
      <c r="D130" s="200">
        <f>+D22</f>
        <v>43159</v>
      </c>
      <c r="E130" s="200">
        <f t="shared" ref="E130:M130" si="74">+E22</f>
        <v>43190</v>
      </c>
      <c r="F130" s="200">
        <f t="shared" si="74"/>
        <v>43220</v>
      </c>
      <c r="G130" s="200">
        <f t="shared" si="74"/>
        <v>43251</v>
      </c>
      <c r="H130" s="200">
        <f t="shared" si="74"/>
        <v>43281</v>
      </c>
      <c r="I130" s="200">
        <f t="shared" si="74"/>
        <v>43312</v>
      </c>
      <c r="J130" s="200">
        <f t="shared" si="74"/>
        <v>43343</v>
      </c>
      <c r="K130" s="200">
        <f t="shared" si="74"/>
        <v>43373</v>
      </c>
      <c r="L130" s="200">
        <f t="shared" si="74"/>
        <v>43404</v>
      </c>
      <c r="M130" s="200">
        <f t="shared" si="74"/>
        <v>43434</v>
      </c>
      <c r="N130" s="200">
        <f t="shared" ref="N130:O130" si="75">+N22</f>
        <v>43465</v>
      </c>
      <c r="O130" s="200">
        <f t="shared" si="75"/>
        <v>43496</v>
      </c>
    </row>
    <row r="131" spans="2:15" x14ac:dyDescent="0.3">
      <c r="B131" s="122" t="str">
        <f>+B118</f>
        <v>Fabbricati</v>
      </c>
      <c r="D131" s="137"/>
      <c r="E131" s="137"/>
      <c r="F131" s="137"/>
      <c r="G131" s="137"/>
      <c r="H131" s="137"/>
      <c r="I131" s="137"/>
      <c r="J131" s="137">
        <f>+($J23*$C23)/12</f>
        <v>0</v>
      </c>
      <c r="K131" s="137">
        <f t="shared" ref="K131:M131" si="76">+($J23*$C23)/12</f>
        <v>0</v>
      </c>
      <c r="L131" s="137">
        <f t="shared" si="76"/>
        <v>0</v>
      </c>
      <c r="M131" s="137">
        <f t="shared" si="76"/>
        <v>0</v>
      </c>
      <c r="N131" s="137">
        <f t="shared" ref="N131:O131" si="77">+($J23*$C23)/12</f>
        <v>0</v>
      </c>
      <c r="O131" s="137">
        <f t="shared" si="77"/>
        <v>0</v>
      </c>
    </row>
    <row r="132" spans="2:15" x14ac:dyDescent="0.3">
      <c r="B132" s="122" t="str">
        <f t="shared" ref="B132:B140" si="78">+B119</f>
        <v>Impianti e Macchinari</v>
      </c>
      <c r="D132" s="137"/>
      <c r="E132" s="137"/>
      <c r="F132" s="137"/>
      <c r="G132" s="137"/>
      <c r="H132" s="137"/>
      <c r="I132" s="137"/>
      <c r="J132" s="137">
        <f t="shared" ref="J132:M134" si="79">+($J24*$C24)/12</f>
        <v>0</v>
      </c>
      <c r="K132" s="137">
        <f t="shared" si="79"/>
        <v>0</v>
      </c>
      <c r="L132" s="137">
        <f t="shared" si="79"/>
        <v>0</v>
      </c>
      <c r="M132" s="137">
        <f t="shared" si="79"/>
        <v>0</v>
      </c>
      <c r="N132" s="137">
        <f t="shared" ref="N132:O132" si="80">+($J24*$C24)/12</f>
        <v>0</v>
      </c>
      <c r="O132" s="137">
        <f t="shared" si="80"/>
        <v>0</v>
      </c>
    </row>
    <row r="133" spans="2:15" x14ac:dyDescent="0.3">
      <c r="B133" s="122" t="str">
        <f t="shared" si="78"/>
        <v>Attrezzature industriali e commerciali</v>
      </c>
      <c r="D133" s="137"/>
      <c r="E133" s="137"/>
      <c r="F133" s="137"/>
      <c r="G133" s="137"/>
      <c r="H133" s="137"/>
      <c r="I133" s="137"/>
      <c r="J133" s="137">
        <f t="shared" si="79"/>
        <v>0</v>
      </c>
      <c r="K133" s="137">
        <f t="shared" si="79"/>
        <v>0</v>
      </c>
      <c r="L133" s="137">
        <f t="shared" si="79"/>
        <v>0</v>
      </c>
      <c r="M133" s="137">
        <f t="shared" si="79"/>
        <v>0</v>
      </c>
      <c r="N133" s="137">
        <f t="shared" ref="N133:O133" si="81">+($J25*$C25)/12</f>
        <v>0</v>
      </c>
      <c r="O133" s="137">
        <f t="shared" si="81"/>
        <v>0</v>
      </c>
    </row>
    <row r="134" spans="2:15" x14ac:dyDescent="0.3">
      <c r="B134" s="122" t="str">
        <f t="shared" si="78"/>
        <v>Altri beni</v>
      </c>
      <c r="D134" s="137"/>
      <c r="E134" s="137"/>
      <c r="F134" s="137"/>
      <c r="G134" s="137"/>
      <c r="H134" s="137"/>
      <c r="I134" s="137"/>
      <c r="J134" s="137">
        <f t="shared" si="79"/>
        <v>0</v>
      </c>
      <c r="K134" s="137">
        <f t="shared" si="79"/>
        <v>0</v>
      </c>
      <c r="L134" s="137">
        <f t="shared" si="79"/>
        <v>0</v>
      </c>
      <c r="M134" s="137">
        <f t="shared" si="79"/>
        <v>0</v>
      </c>
      <c r="N134" s="137">
        <f t="shared" ref="N134:O134" si="82">+($J26*$C26)/12</f>
        <v>0</v>
      </c>
      <c r="O134" s="137">
        <f t="shared" si="82"/>
        <v>0</v>
      </c>
    </row>
    <row r="135" spans="2:15" x14ac:dyDescent="0.3"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</row>
    <row r="136" spans="2:15" x14ac:dyDescent="0.3"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</row>
    <row r="137" spans="2:15" x14ac:dyDescent="0.3"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</row>
    <row r="138" spans="2:15" x14ac:dyDescent="0.3">
      <c r="B138" s="122" t="str">
        <f t="shared" si="78"/>
        <v>Costi d'impianto e ampliamento</v>
      </c>
      <c r="D138" s="137"/>
      <c r="E138" s="137"/>
      <c r="F138" s="137"/>
      <c r="G138" s="137"/>
      <c r="H138" s="137"/>
      <c r="I138" s="137"/>
      <c r="J138" s="137">
        <f>+$J30*$C30</f>
        <v>0</v>
      </c>
      <c r="K138" s="137">
        <f>+$J30*$C30*IF(J138=J30,0,1)</f>
        <v>0</v>
      </c>
      <c r="L138" s="137">
        <f>+$J30*$C30*(IF(SUM($D138:K138)=$I30,0,1))</f>
        <v>0</v>
      </c>
      <c r="M138" s="137">
        <f>+$J30*$C30*(IF(SUM($D138:L138)=$I30,0,1))</f>
        <v>0</v>
      </c>
      <c r="N138" s="137">
        <f>+$J30*$C30*(IF(SUM($D138:M138)=$I30,0,1))</f>
        <v>0</v>
      </c>
      <c r="O138" s="137">
        <f>+$J30*$C30*(IF(SUM($D138:N138)=$I30,0,1))</f>
        <v>0</v>
      </c>
    </row>
    <row r="139" spans="2:15" x14ac:dyDescent="0.3">
      <c r="B139" s="122" t="str">
        <f t="shared" si="78"/>
        <v>Ricerca&amp; Sviluppo</v>
      </c>
      <c r="D139" s="137"/>
      <c r="E139" s="137"/>
      <c r="F139" s="137"/>
      <c r="G139" s="137"/>
      <c r="H139" s="137"/>
      <c r="I139" s="137"/>
      <c r="J139" s="137">
        <f>+$J31*$C31</f>
        <v>0</v>
      </c>
      <c r="K139" s="137">
        <f>+$J31*$C31*IF(J139=J31,0,1)</f>
        <v>0</v>
      </c>
      <c r="L139" s="137">
        <f>+$J31*$C31*(IF(SUM($D139:K139)=$I31,0,1))</f>
        <v>0</v>
      </c>
      <c r="M139" s="137">
        <f>+$J31*$C31*(IF(SUM($D139:L139)=$I31,0,1))</f>
        <v>0</v>
      </c>
      <c r="N139" s="137">
        <f>+$J31*$C31*(IF(SUM($D139:M139)=$I31,0,1))</f>
        <v>0</v>
      </c>
      <c r="O139" s="137">
        <f>+$J31*$C31*(IF(SUM($D139:N139)=$I31,0,1))</f>
        <v>0</v>
      </c>
    </row>
    <row r="140" spans="2:15" x14ac:dyDescent="0.3">
      <c r="B140" s="122" t="str">
        <f t="shared" si="78"/>
        <v>Altre immobilizzazioni immateriali</v>
      </c>
      <c r="D140" s="137"/>
      <c r="E140" s="137"/>
      <c r="F140" s="137"/>
      <c r="G140" s="137"/>
      <c r="H140" s="137"/>
      <c r="I140" s="137"/>
      <c r="J140" s="137">
        <f>+$J32*$C32</f>
        <v>0</v>
      </c>
      <c r="K140" s="137">
        <f>+$J32*$C32*IF(J140=J32,0,1)</f>
        <v>0</v>
      </c>
      <c r="L140" s="137">
        <f>+$J32*$C32*(IF(SUM($D140:K140)=$I32,0,1))</f>
        <v>0</v>
      </c>
      <c r="M140" s="137">
        <f>+$J32*$C32*(IF(SUM($D140:L140)=$I32,0,1))</f>
        <v>0</v>
      </c>
      <c r="N140" s="137">
        <f>+$J32*$C32*(IF(SUM($D140:M140)=$I32,0,1))</f>
        <v>0</v>
      </c>
      <c r="O140" s="137">
        <f>+$J32*$C32*(IF(SUM($D140:N140)=$I32,0,1))</f>
        <v>0</v>
      </c>
    </row>
    <row r="143" spans="2:15" x14ac:dyDescent="0.3">
      <c r="B143" s="118" t="s">
        <v>52</v>
      </c>
      <c r="D143" s="200">
        <f>+D22</f>
        <v>43159</v>
      </c>
      <c r="E143" s="200">
        <f t="shared" ref="E143:M143" si="83">+E22</f>
        <v>43190</v>
      </c>
      <c r="F143" s="200">
        <f t="shared" si="83"/>
        <v>43220</v>
      </c>
      <c r="G143" s="200">
        <f t="shared" si="83"/>
        <v>43251</v>
      </c>
      <c r="H143" s="200">
        <f t="shared" si="83"/>
        <v>43281</v>
      </c>
      <c r="I143" s="200">
        <f t="shared" si="83"/>
        <v>43312</v>
      </c>
      <c r="J143" s="200">
        <f t="shared" si="83"/>
        <v>43343</v>
      </c>
      <c r="K143" s="200">
        <f t="shared" si="83"/>
        <v>43373</v>
      </c>
      <c r="L143" s="200">
        <f t="shared" si="83"/>
        <v>43404</v>
      </c>
      <c r="M143" s="200">
        <f t="shared" si="83"/>
        <v>43434</v>
      </c>
      <c r="N143" s="200">
        <f t="shared" ref="N143:O143" si="84">+N22</f>
        <v>43465</v>
      </c>
      <c r="O143" s="200">
        <f t="shared" si="84"/>
        <v>43496</v>
      </c>
    </row>
    <row r="144" spans="2:15" x14ac:dyDescent="0.3">
      <c r="B144" s="122" t="str">
        <f>+B131</f>
        <v>Fabbricati</v>
      </c>
      <c r="D144" s="137"/>
      <c r="E144" s="137"/>
      <c r="F144" s="137"/>
      <c r="G144" s="137"/>
      <c r="H144" s="137"/>
      <c r="I144" s="137"/>
      <c r="J144" s="137"/>
      <c r="K144" s="137">
        <f>+($K23*$C23)/12</f>
        <v>0</v>
      </c>
      <c r="L144" s="137">
        <f t="shared" ref="L144:M144" si="85">+($K23*$C23)/12</f>
        <v>0</v>
      </c>
      <c r="M144" s="137">
        <f t="shared" si="85"/>
        <v>0</v>
      </c>
      <c r="N144" s="137">
        <f t="shared" ref="N144:O144" si="86">+($K23*$C23)/12</f>
        <v>0</v>
      </c>
      <c r="O144" s="137">
        <f t="shared" si="86"/>
        <v>0</v>
      </c>
    </row>
    <row r="145" spans="2:15" x14ac:dyDescent="0.3">
      <c r="B145" s="122" t="str">
        <f t="shared" ref="B145:B153" si="87">+B132</f>
        <v>Impianti e Macchinari</v>
      </c>
      <c r="D145" s="137"/>
      <c r="E145" s="137"/>
      <c r="F145" s="137"/>
      <c r="G145" s="137"/>
      <c r="H145" s="137"/>
      <c r="I145" s="137"/>
      <c r="J145" s="137"/>
      <c r="K145" s="137">
        <f t="shared" ref="K145:M147" si="88">+($K24*$C24)/12</f>
        <v>0</v>
      </c>
      <c r="L145" s="137">
        <f t="shared" si="88"/>
        <v>0</v>
      </c>
      <c r="M145" s="137">
        <f t="shared" si="88"/>
        <v>0</v>
      </c>
      <c r="N145" s="137">
        <f t="shared" ref="N145:O145" si="89">+($K24*$C24)/12</f>
        <v>0</v>
      </c>
      <c r="O145" s="137">
        <f t="shared" si="89"/>
        <v>0</v>
      </c>
    </row>
    <row r="146" spans="2:15" x14ac:dyDescent="0.3">
      <c r="B146" s="122" t="str">
        <f t="shared" si="87"/>
        <v>Attrezzature industriali e commerciali</v>
      </c>
      <c r="D146" s="137"/>
      <c r="E146" s="137"/>
      <c r="F146" s="137"/>
      <c r="G146" s="137"/>
      <c r="H146" s="137"/>
      <c r="I146" s="137"/>
      <c r="J146" s="137"/>
      <c r="K146" s="137">
        <f t="shared" si="88"/>
        <v>0</v>
      </c>
      <c r="L146" s="137">
        <f t="shared" si="88"/>
        <v>0</v>
      </c>
      <c r="M146" s="137">
        <f t="shared" si="88"/>
        <v>0</v>
      </c>
      <c r="N146" s="137">
        <f t="shared" ref="N146:O146" si="90">+($K25*$C25)/12</f>
        <v>0</v>
      </c>
      <c r="O146" s="137">
        <f t="shared" si="90"/>
        <v>0</v>
      </c>
    </row>
    <row r="147" spans="2:15" x14ac:dyDescent="0.3">
      <c r="B147" s="122" t="str">
        <f t="shared" si="87"/>
        <v>Altri beni</v>
      </c>
      <c r="D147" s="137"/>
      <c r="E147" s="137"/>
      <c r="F147" s="137"/>
      <c r="G147" s="137"/>
      <c r="H147" s="137"/>
      <c r="I147" s="137"/>
      <c r="J147" s="137"/>
      <c r="K147" s="137">
        <f t="shared" si="88"/>
        <v>0</v>
      </c>
      <c r="L147" s="137">
        <f t="shared" si="88"/>
        <v>0</v>
      </c>
      <c r="M147" s="137">
        <f t="shared" si="88"/>
        <v>0</v>
      </c>
      <c r="N147" s="137">
        <f t="shared" ref="N147:O147" si="91">+($K26*$C26)/12</f>
        <v>0</v>
      </c>
      <c r="O147" s="137">
        <f t="shared" si="91"/>
        <v>0</v>
      </c>
    </row>
    <row r="148" spans="2:15" x14ac:dyDescent="0.3"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</row>
    <row r="149" spans="2:15" x14ac:dyDescent="0.3"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</row>
    <row r="150" spans="2:15" x14ac:dyDescent="0.3"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</row>
    <row r="151" spans="2:15" x14ac:dyDescent="0.3">
      <c r="B151" s="122" t="str">
        <f t="shared" si="87"/>
        <v>Costi d'impianto e ampliamento</v>
      </c>
      <c r="D151" s="137"/>
      <c r="E151" s="137"/>
      <c r="F151" s="137"/>
      <c r="G151" s="137"/>
      <c r="H151" s="137"/>
      <c r="I151" s="137"/>
      <c r="J151" s="137"/>
      <c r="K151" s="137">
        <f>+$K30*$C30</f>
        <v>0</v>
      </c>
      <c r="L151" s="137">
        <f t="shared" ref="L151:M153" si="92">+$K30*$C30*IF(K151=K30,0,1)</f>
        <v>0</v>
      </c>
      <c r="M151" s="137">
        <f t="shared" si="92"/>
        <v>0</v>
      </c>
      <c r="N151" s="137">
        <f t="shared" ref="N151:N153" si="93">+$K30*$C30*IF(M151=M30,0,1)</f>
        <v>0</v>
      </c>
      <c r="O151" s="137">
        <f t="shared" ref="O151:O153" si="94">+$K30*$C30*IF(N151=N30,0,1)</f>
        <v>0</v>
      </c>
    </row>
    <row r="152" spans="2:15" x14ac:dyDescent="0.3">
      <c r="B152" s="122" t="str">
        <f t="shared" si="87"/>
        <v>Ricerca&amp; Sviluppo</v>
      </c>
      <c r="D152" s="137"/>
      <c r="E152" s="137"/>
      <c r="F152" s="137"/>
      <c r="G152" s="137"/>
      <c r="H152" s="137"/>
      <c r="I152" s="137"/>
      <c r="J152" s="137"/>
      <c r="K152" s="137">
        <f>+$K31*$C31</f>
        <v>0</v>
      </c>
      <c r="L152" s="137">
        <f t="shared" si="92"/>
        <v>0</v>
      </c>
      <c r="M152" s="137">
        <f t="shared" si="92"/>
        <v>0</v>
      </c>
      <c r="N152" s="137">
        <f t="shared" si="93"/>
        <v>0</v>
      </c>
      <c r="O152" s="137">
        <f t="shared" si="94"/>
        <v>0</v>
      </c>
    </row>
    <row r="153" spans="2:15" x14ac:dyDescent="0.3">
      <c r="B153" s="122" t="str">
        <f t="shared" si="87"/>
        <v>Altre immobilizzazioni immateriali</v>
      </c>
      <c r="D153" s="137"/>
      <c r="E153" s="137"/>
      <c r="F153" s="137"/>
      <c r="G153" s="137"/>
      <c r="H153" s="137"/>
      <c r="I153" s="137"/>
      <c r="J153" s="137"/>
      <c r="K153" s="137">
        <f>+$K32*$C32</f>
        <v>0</v>
      </c>
      <c r="L153" s="137">
        <f t="shared" si="92"/>
        <v>0</v>
      </c>
      <c r="M153" s="137">
        <f t="shared" si="92"/>
        <v>0</v>
      </c>
      <c r="N153" s="137">
        <f t="shared" si="93"/>
        <v>0</v>
      </c>
      <c r="O153" s="137">
        <f t="shared" si="94"/>
        <v>0</v>
      </c>
    </row>
    <row r="156" spans="2:15" x14ac:dyDescent="0.3">
      <c r="B156" s="118" t="s">
        <v>53</v>
      </c>
      <c r="D156" s="200">
        <f>+D14</f>
        <v>43159</v>
      </c>
      <c r="E156" s="200">
        <f t="shared" ref="E156:M156" si="95">+E14</f>
        <v>43190</v>
      </c>
      <c r="F156" s="200">
        <f t="shared" si="95"/>
        <v>43220</v>
      </c>
      <c r="G156" s="200">
        <f t="shared" si="95"/>
        <v>43251</v>
      </c>
      <c r="H156" s="200">
        <f t="shared" si="95"/>
        <v>43281</v>
      </c>
      <c r="I156" s="200">
        <f t="shared" si="95"/>
        <v>43312</v>
      </c>
      <c r="J156" s="200">
        <f t="shared" si="95"/>
        <v>43343</v>
      </c>
      <c r="K156" s="200">
        <f t="shared" si="95"/>
        <v>43373</v>
      </c>
      <c r="L156" s="200">
        <f t="shared" si="95"/>
        <v>43404</v>
      </c>
      <c r="M156" s="200">
        <f t="shared" si="95"/>
        <v>43434</v>
      </c>
      <c r="N156" s="200">
        <f t="shared" ref="N156:O156" si="96">+N14</f>
        <v>43465</v>
      </c>
      <c r="O156" s="200">
        <f t="shared" si="96"/>
        <v>43496</v>
      </c>
    </row>
    <row r="157" spans="2:15" x14ac:dyDescent="0.3">
      <c r="B157" s="122" t="str">
        <f>+B144</f>
        <v>Fabbricati</v>
      </c>
      <c r="D157" s="137"/>
      <c r="E157" s="137"/>
      <c r="F157" s="137"/>
      <c r="G157" s="137"/>
      <c r="H157" s="137"/>
      <c r="I157" s="137"/>
      <c r="J157" s="137"/>
      <c r="K157" s="137"/>
      <c r="L157" s="137">
        <f>+($L23*$C23)/12</f>
        <v>0</v>
      </c>
      <c r="M157" s="137">
        <f>+($L23*$C23)/12</f>
        <v>0</v>
      </c>
      <c r="N157" s="137">
        <f t="shared" ref="N157:O157" si="97">+($L23*$C23)/12</f>
        <v>0</v>
      </c>
      <c r="O157" s="137">
        <f t="shared" si="97"/>
        <v>0</v>
      </c>
    </row>
    <row r="158" spans="2:15" x14ac:dyDescent="0.3">
      <c r="B158" s="122" t="str">
        <f t="shared" ref="B158:B166" si="98">+B145</f>
        <v>Impianti e Macchinari</v>
      </c>
      <c r="D158" s="137"/>
      <c r="E158" s="137"/>
      <c r="F158" s="137"/>
      <c r="G158" s="137"/>
      <c r="H158" s="137"/>
      <c r="I158" s="137"/>
      <c r="J158" s="137"/>
      <c r="K158" s="137"/>
      <c r="L158" s="137">
        <f t="shared" ref="L158:M160" si="99">+($L24*$C24)/12</f>
        <v>0</v>
      </c>
      <c r="M158" s="137">
        <f t="shared" si="99"/>
        <v>0</v>
      </c>
      <c r="N158" s="137">
        <f t="shared" ref="N158:O158" si="100">+($L24*$C24)/12</f>
        <v>0</v>
      </c>
      <c r="O158" s="137">
        <f t="shared" si="100"/>
        <v>0</v>
      </c>
    </row>
    <row r="159" spans="2:15" x14ac:dyDescent="0.3">
      <c r="B159" s="122" t="str">
        <f t="shared" si="98"/>
        <v>Attrezzature industriali e commerciali</v>
      </c>
      <c r="D159" s="137"/>
      <c r="E159" s="137"/>
      <c r="F159" s="137"/>
      <c r="G159" s="137"/>
      <c r="H159" s="137"/>
      <c r="I159" s="137"/>
      <c r="J159" s="137"/>
      <c r="K159" s="137"/>
      <c r="L159" s="137">
        <f t="shared" si="99"/>
        <v>0</v>
      </c>
      <c r="M159" s="137">
        <f t="shared" si="99"/>
        <v>0</v>
      </c>
      <c r="N159" s="137">
        <f t="shared" ref="N159:O159" si="101">+($L25*$C25)/12</f>
        <v>0</v>
      </c>
      <c r="O159" s="137">
        <f t="shared" si="101"/>
        <v>0</v>
      </c>
    </row>
    <row r="160" spans="2:15" x14ac:dyDescent="0.3">
      <c r="B160" s="122" t="str">
        <f t="shared" si="98"/>
        <v>Altri beni</v>
      </c>
      <c r="D160" s="137"/>
      <c r="E160" s="137"/>
      <c r="F160" s="137"/>
      <c r="G160" s="137"/>
      <c r="H160" s="137"/>
      <c r="I160" s="137"/>
      <c r="J160" s="137"/>
      <c r="K160" s="137"/>
      <c r="L160" s="137">
        <f t="shared" si="99"/>
        <v>0</v>
      </c>
      <c r="M160" s="137">
        <f t="shared" si="99"/>
        <v>0</v>
      </c>
      <c r="N160" s="137">
        <f t="shared" ref="N160:O160" si="102">+($L26*$C26)/12</f>
        <v>0</v>
      </c>
      <c r="O160" s="137">
        <f t="shared" si="102"/>
        <v>0</v>
      </c>
    </row>
    <row r="161" spans="2:15" x14ac:dyDescent="0.3"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</row>
    <row r="162" spans="2:15" x14ac:dyDescent="0.3"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</row>
    <row r="163" spans="2:15" x14ac:dyDescent="0.3"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</row>
    <row r="164" spans="2:15" x14ac:dyDescent="0.3">
      <c r="B164" s="122" t="str">
        <f t="shared" si="98"/>
        <v>Costi d'impianto e ampliamento</v>
      </c>
      <c r="D164" s="137"/>
      <c r="E164" s="137"/>
      <c r="F164" s="137"/>
      <c r="G164" s="137"/>
      <c r="H164" s="137"/>
      <c r="I164" s="137"/>
      <c r="J164" s="137"/>
      <c r="K164" s="137"/>
      <c r="L164" s="137">
        <f>+$L30*$C30</f>
        <v>0</v>
      </c>
      <c r="M164" s="137">
        <f>+$L30*$C30*IF(L164=L30,0,1)</f>
        <v>0</v>
      </c>
      <c r="N164" s="137">
        <f t="shared" ref="N164:O164" si="103">+$L30*$C30*IF(M164=M30,0,1)</f>
        <v>0</v>
      </c>
      <c r="O164" s="137">
        <f t="shared" si="103"/>
        <v>0</v>
      </c>
    </row>
    <row r="165" spans="2:15" x14ac:dyDescent="0.3">
      <c r="B165" s="122" t="str">
        <f t="shared" si="98"/>
        <v>Ricerca&amp; Sviluppo</v>
      </c>
      <c r="D165" s="137"/>
      <c r="E165" s="137"/>
      <c r="F165" s="137"/>
      <c r="G165" s="137"/>
      <c r="H165" s="137"/>
      <c r="I165" s="137"/>
      <c r="J165" s="137"/>
      <c r="K165" s="137"/>
      <c r="L165" s="137">
        <f>+$L31*$C31</f>
        <v>0</v>
      </c>
      <c r="M165" s="137">
        <f>+$L31*$C31*IF(L165=L31,0,1)</f>
        <v>0</v>
      </c>
      <c r="N165" s="137">
        <f t="shared" ref="N165:O165" si="104">+$L31*$C31*IF(M165=M31,0,1)</f>
        <v>0</v>
      </c>
      <c r="O165" s="137">
        <f t="shared" si="104"/>
        <v>0</v>
      </c>
    </row>
    <row r="166" spans="2:15" x14ac:dyDescent="0.3">
      <c r="B166" s="122" t="str">
        <f t="shared" si="98"/>
        <v>Altre immobilizzazioni immateriali</v>
      </c>
      <c r="D166" s="137"/>
      <c r="E166" s="137"/>
      <c r="F166" s="137"/>
      <c r="G166" s="137"/>
      <c r="H166" s="137"/>
      <c r="I166" s="137"/>
      <c r="J166" s="137"/>
      <c r="K166" s="137"/>
      <c r="L166" s="137">
        <f>+$L32*$C32</f>
        <v>0</v>
      </c>
      <c r="M166" s="137">
        <f>+$L32*$C32*IF(L166=L32,0,1)</f>
        <v>0</v>
      </c>
      <c r="N166" s="137">
        <f t="shared" ref="N166:O166" si="105">+$L32*$C32*IF(M166=M32,0,1)</f>
        <v>0</v>
      </c>
      <c r="O166" s="137">
        <f t="shared" si="105"/>
        <v>0</v>
      </c>
    </row>
    <row r="169" spans="2:15" x14ac:dyDescent="0.3">
      <c r="B169" s="118" t="s">
        <v>54</v>
      </c>
      <c r="D169" s="200">
        <f>+D14</f>
        <v>43159</v>
      </c>
      <c r="E169" s="200">
        <f t="shared" ref="E169:M169" si="106">+E14</f>
        <v>43190</v>
      </c>
      <c r="F169" s="200">
        <f t="shared" si="106"/>
        <v>43220</v>
      </c>
      <c r="G169" s="200">
        <f t="shared" si="106"/>
        <v>43251</v>
      </c>
      <c r="H169" s="200">
        <f t="shared" si="106"/>
        <v>43281</v>
      </c>
      <c r="I169" s="200">
        <f t="shared" si="106"/>
        <v>43312</v>
      </c>
      <c r="J169" s="200">
        <f t="shared" si="106"/>
        <v>43343</v>
      </c>
      <c r="K169" s="200">
        <f t="shared" si="106"/>
        <v>43373</v>
      </c>
      <c r="L169" s="200">
        <f t="shared" si="106"/>
        <v>43404</v>
      </c>
      <c r="M169" s="200">
        <f t="shared" si="106"/>
        <v>43434</v>
      </c>
      <c r="N169" s="200">
        <f t="shared" ref="N169:O169" si="107">+N14</f>
        <v>43465</v>
      </c>
      <c r="O169" s="200">
        <f t="shared" si="107"/>
        <v>43496</v>
      </c>
    </row>
    <row r="170" spans="2:15" x14ac:dyDescent="0.3">
      <c r="B170" s="122" t="str">
        <f>+B157</f>
        <v>Fabbricati</v>
      </c>
      <c r="D170" s="137"/>
      <c r="E170" s="137"/>
      <c r="F170" s="137"/>
      <c r="G170" s="137"/>
      <c r="H170" s="137"/>
      <c r="I170" s="137"/>
      <c r="J170" s="137"/>
      <c r="K170" s="137"/>
      <c r="L170" s="137"/>
      <c r="M170" s="137">
        <f>+($M23*$C23)/12</f>
        <v>0</v>
      </c>
      <c r="N170" s="137">
        <f t="shared" ref="N170:O170" si="108">+($M23*$C23)/12</f>
        <v>0</v>
      </c>
      <c r="O170" s="137">
        <f t="shared" si="108"/>
        <v>0</v>
      </c>
    </row>
    <row r="171" spans="2:15" x14ac:dyDescent="0.3">
      <c r="B171" s="122" t="str">
        <f t="shared" ref="B171:B179" si="109">+B158</f>
        <v>Impianti e Macchinari</v>
      </c>
      <c r="D171" s="137"/>
      <c r="E171" s="137"/>
      <c r="F171" s="137"/>
      <c r="G171" s="137"/>
      <c r="H171" s="137"/>
      <c r="I171" s="137"/>
      <c r="J171" s="137"/>
      <c r="K171" s="137"/>
      <c r="L171" s="137"/>
      <c r="M171" s="137">
        <f t="shared" ref="M171:O173" si="110">+($M24*$C24)/12</f>
        <v>0</v>
      </c>
      <c r="N171" s="137">
        <f t="shared" si="110"/>
        <v>0</v>
      </c>
      <c r="O171" s="137">
        <f t="shared" si="110"/>
        <v>0</v>
      </c>
    </row>
    <row r="172" spans="2:15" x14ac:dyDescent="0.3">
      <c r="B172" s="122" t="str">
        <f t="shared" si="109"/>
        <v>Attrezzature industriali e commerciali</v>
      </c>
      <c r="D172" s="137"/>
      <c r="E172" s="137"/>
      <c r="F172" s="137"/>
      <c r="G172" s="137"/>
      <c r="H172" s="137"/>
      <c r="I172" s="137"/>
      <c r="J172" s="137"/>
      <c r="K172" s="137"/>
      <c r="L172" s="137"/>
      <c r="M172" s="137">
        <f t="shared" si="110"/>
        <v>0</v>
      </c>
      <c r="N172" s="137">
        <f t="shared" si="110"/>
        <v>0</v>
      </c>
      <c r="O172" s="137">
        <f t="shared" si="110"/>
        <v>0</v>
      </c>
    </row>
    <row r="173" spans="2:15" x14ac:dyDescent="0.3">
      <c r="B173" s="122" t="str">
        <f t="shared" si="109"/>
        <v>Altri beni</v>
      </c>
      <c r="D173" s="137"/>
      <c r="E173" s="137"/>
      <c r="F173" s="137"/>
      <c r="G173" s="137"/>
      <c r="H173" s="137"/>
      <c r="I173" s="137"/>
      <c r="J173" s="137"/>
      <c r="K173" s="137"/>
      <c r="L173" s="137"/>
      <c r="M173" s="137">
        <f t="shared" si="110"/>
        <v>0</v>
      </c>
      <c r="N173" s="137">
        <f t="shared" si="110"/>
        <v>0</v>
      </c>
      <c r="O173" s="137">
        <f t="shared" si="110"/>
        <v>0</v>
      </c>
    </row>
    <row r="174" spans="2:15" x14ac:dyDescent="0.3"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</row>
    <row r="175" spans="2:15" x14ac:dyDescent="0.3"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</row>
    <row r="176" spans="2:15" x14ac:dyDescent="0.3"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</row>
    <row r="177" spans="2:15" x14ac:dyDescent="0.3">
      <c r="B177" s="122" t="str">
        <f t="shared" si="109"/>
        <v>Costi d'impianto e ampliamento</v>
      </c>
      <c r="D177" s="137"/>
      <c r="E177" s="137"/>
      <c r="F177" s="137"/>
      <c r="G177" s="137"/>
      <c r="H177" s="137"/>
      <c r="I177" s="137"/>
      <c r="J177" s="137"/>
      <c r="K177" s="137"/>
      <c r="L177" s="137"/>
      <c r="M177" s="137">
        <f>+$M30*$C30</f>
        <v>0</v>
      </c>
      <c r="N177" s="137">
        <f t="shared" ref="N177:O177" si="111">+$M30*$C30</f>
        <v>0</v>
      </c>
      <c r="O177" s="137">
        <f t="shared" si="111"/>
        <v>0</v>
      </c>
    </row>
    <row r="178" spans="2:15" x14ac:dyDescent="0.3">
      <c r="B178" s="122" t="str">
        <f t="shared" si="109"/>
        <v>Ricerca&amp; Sviluppo</v>
      </c>
      <c r="D178" s="137"/>
      <c r="E178" s="137"/>
      <c r="F178" s="137"/>
      <c r="G178" s="137"/>
      <c r="H178" s="137"/>
      <c r="I178" s="137"/>
      <c r="J178" s="137"/>
      <c r="K178" s="137"/>
      <c r="L178" s="137"/>
      <c r="M178" s="137">
        <f>+$M31*$C31</f>
        <v>0</v>
      </c>
      <c r="N178" s="137">
        <f t="shared" ref="N178:O178" si="112">+$M31*$C31</f>
        <v>0</v>
      </c>
      <c r="O178" s="137">
        <f t="shared" si="112"/>
        <v>0</v>
      </c>
    </row>
    <row r="179" spans="2:15" x14ac:dyDescent="0.3">
      <c r="B179" s="122" t="str">
        <f t="shared" si="109"/>
        <v>Altre immobilizzazioni immateriali</v>
      </c>
      <c r="D179" s="137"/>
      <c r="E179" s="137"/>
      <c r="F179" s="137"/>
      <c r="G179" s="137"/>
      <c r="H179" s="137"/>
      <c r="I179" s="137"/>
      <c r="J179" s="137"/>
      <c r="K179" s="137"/>
      <c r="L179" s="137"/>
      <c r="M179" s="137">
        <f>+$M32*$C32</f>
        <v>0</v>
      </c>
      <c r="N179" s="137">
        <f t="shared" ref="N179:O179" si="113">+$M32*$C32</f>
        <v>0</v>
      </c>
      <c r="O179" s="137">
        <f t="shared" si="113"/>
        <v>0</v>
      </c>
    </row>
    <row r="182" spans="2:15" x14ac:dyDescent="0.3">
      <c r="B182" s="118" t="s">
        <v>55</v>
      </c>
      <c r="D182" s="200">
        <f>+D169</f>
        <v>43159</v>
      </c>
      <c r="E182" s="200">
        <f t="shared" ref="E182:M182" si="114">+E169</f>
        <v>43190</v>
      </c>
      <c r="F182" s="200">
        <f t="shared" si="114"/>
        <v>43220</v>
      </c>
      <c r="G182" s="200">
        <f t="shared" si="114"/>
        <v>43251</v>
      </c>
      <c r="H182" s="200">
        <f t="shared" si="114"/>
        <v>43281</v>
      </c>
      <c r="I182" s="200">
        <f t="shared" si="114"/>
        <v>43312</v>
      </c>
      <c r="J182" s="200">
        <f t="shared" si="114"/>
        <v>43343</v>
      </c>
      <c r="K182" s="200">
        <f t="shared" si="114"/>
        <v>43373</v>
      </c>
      <c r="L182" s="200">
        <f t="shared" si="114"/>
        <v>43404</v>
      </c>
      <c r="M182" s="200">
        <f t="shared" si="114"/>
        <v>43434</v>
      </c>
      <c r="N182" s="200">
        <f t="shared" ref="N182:O182" si="115">+N169</f>
        <v>43465</v>
      </c>
      <c r="O182" s="200">
        <f t="shared" si="115"/>
        <v>43496</v>
      </c>
    </row>
    <row r="183" spans="2:15" x14ac:dyDescent="0.3">
      <c r="B183" s="122" t="str">
        <f>+B170</f>
        <v>Fabbricati</v>
      </c>
      <c r="D183" s="137">
        <f>+D53+D66+D79+D92+D105+D118+D131+D144+D157+D170</f>
        <v>0</v>
      </c>
      <c r="E183" s="137">
        <f t="shared" ref="E183:M183" si="116">+E53+E66+E79+E92+E105+E118+E131+E144+E157+E170</f>
        <v>0</v>
      </c>
      <c r="F183" s="137">
        <f t="shared" si="116"/>
        <v>0</v>
      </c>
      <c r="G183" s="137">
        <f t="shared" si="116"/>
        <v>0</v>
      </c>
      <c r="H183" s="137">
        <f t="shared" si="116"/>
        <v>0</v>
      </c>
      <c r="I183" s="137">
        <f t="shared" si="116"/>
        <v>0</v>
      </c>
      <c r="J183" s="137">
        <f t="shared" si="116"/>
        <v>0</v>
      </c>
      <c r="K183" s="137">
        <f t="shared" si="116"/>
        <v>0</v>
      </c>
      <c r="L183" s="137">
        <f t="shared" si="116"/>
        <v>0</v>
      </c>
      <c r="M183" s="137">
        <f t="shared" si="116"/>
        <v>0</v>
      </c>
      <c r="N183" s="137">
        <f t="shared" ref="N183:O183" si="117">+N53+N66+N79+N92+N105+N118+N131+N144+N157+N170</f>
        <v>0</v>
      </c>
      <c r="O183" s="137">
        <f t="shared" si="117"/>
        <v>0</v>
      </c>
    </row>
    <row r="184" spans="2:15" x14ac:dyDescent="0.3">
      <c r="B184" s="122" t="str">
        <f t="shared" ref="B184:B192" si="118">+B171</f>
        <v>Impianti e Macchinari</v>
      </c>
      <c r="D184" s="137">
        <f t="shared" ref="D184:M186" si="119">+D54+D67+D80+D93+D106+D119+D132+D145+D158+D171</f>
        <v>0</v>
      </c>
      <c r="E184" s="137">
        <f t="shared" si="119"/>
        <v>0</v>
      </c>
      <c r="F184" s="137">
        <f t="shared" si="119"/>
        <v>0</v>
      </c>
      <c r="G184" s="137">
        <f t="shared" si="119"/>
        <v>0</v>
      </c>
      <c r="H184" s="137">
        <f t="shared" si="119"/>
        <v>0</v>
      </c>
      <c r="I184" s="137">
        <f t="shared" si="119"/>
        <v>0</v>
      </c>
      <c r="J184" s="137">
        <f t="shared" si="119"/>
        <v>0</v>
      </c>
      <c r="K184" s="137">
        <f t="shared" si="119"/>
        <v>0</v>
      </c>
      <c r="L184" s="137">
        <f t="shared" si="119"/>
        <v>0</v>
      </c>
      <c r="M184" s="137">
        <f t="shared" si="119"/>
        <v>0</v>
      </c>
      <c r="N184" s="137">
        <f t="shared" ref="N184:O184" si="120">+N54+N67+N80+N93+N106+N119+N132+N145+N158+N171</f>
        <v>0</v>
      </c>
      <c r="O184" s="137">
        <f t="shared" si="120"/>
        <v>0</v>
      </c>
    </row>
    <row r="185" spans="2:15" x14ac:dyDescent="0.3">
      <c r="B185" s="122" t="str">
        <f t="shared" si="118"/>
        <v>Attrezzature industriali e commerciali</v>
      </c>
      <c r="D185" s="137">
        <f t="shared" si="119"/>
        <v>0</v>
      </c>
      <c r="E185" s="137">
        <f t="shared" si="119"/>
        <v>0</v>
      </c>
      <c r="F185" s="137">
        <f t="shared" si="119"/>
        <v>0</v>
      </c>
      <c r="G185" s="137">
        <f t="shared" si="119"/>
        <v>0</v>
      </c>
      <c r="H185" s="137">
        <f t="shared" si="119"/>
        <v>0</v>
      </c>
      <c r="I185" s="137">
        <f t="shared" si="119"/>
        <v>0</v>
      </c>
      <c r="J185" s="137">
        <f t="shared" si="119"/>
        <v>0</v>
      </c>
      <c r="K185" s="137">
        <f t="shared" si="119"/>
        <v>0</v>
      </c>
      <c r="L185" s="137">
        <f t="shared" si="119"/>
        <v>0</v>
      </c>
      <c r="M185" s="137">
        <f t="shared" si="119"/>
        <v>0</v>
      </c>
      <c r="N185" s="137">
        <f t="shared" ref="N185:O185" si="121">+N55+N68+N81+N94+N107+N120+N133+N146+N159+N172</f>
        <v>0</v>
      </c>
      <c r="O185" s="137">
        <f t="shared" si="121"/>
        <v>0</v>
      </c>
    </row>
    <row r="186" spans="2:15" x14ac:dyDescent="0.3">
      <c r="B186" s="122" t="str">
        <f t="shared" si="118"/>
        <v>Altri beni</v>
      </c>
      <c r="D186" s="137">
        <f t="shared" si="119"/>
        <v>0</v>
      </c>
      <c r="E186" s="137">
        <f t="shared" si="119"/>
        <v>0</v>
      </c>
      <c r="F186" s="137">
        <f t="shared" si="119"/>
        <v>0</v>
      </c>
      <c r="G186" s="137">
        <f t="shared" si="119"/>
        <v>0</v>
      </c>
      <c r="H186" s="137">
        <f t="shared" si="119"/>
        <v>0</v>
      </c>
      <c r="I186" s="137">
        <f t="shared" si="119"/>
        <v>0</v>
      </c>
      <c r="J186" s="137">
        <f t="shared" si="119"/>
        <v>0</v>
      </c>
      <c r="K186" s="137">
        <f t="shared" si="119"/>
        <v>0</v>
      </c>
      <c r="L186" s="137">
        <f t="shared" si="119"/>
        <v>0</v>
      </c>
      <c r="M186" s="137">
        <f t="shared" si="119"/>
        <v>0</v>
      </c>
      <c r="N186" s="137">
        <f t="shared" ref="N186:O186" si="122">+N56+N69+N82+N95+N108+N121+N134+N147+N160+N173</f>
        <v>0</v>
      </c>
      <c r="O186" s="137">
        <f t="shared" si="122"/>
        <v>0</v>
      </c>
    </row>
    <row r="187" spans="2:15" x14ac:dyDescent="0.3">
      <c r="B187" s="2" t="s">
        <v>56</v>
      </c>
      <c r="C187" s="2"/>
      <c r="D187" s="61">
        <f>SUM(D183:D186)</f>
        <v>0</v>
      </c>
      <c r="E187" s="61">
        <f t="shared" ref="E187:M187" si="123">SUM(E183:E186)</f>
        <v>0</v>
      </c>
      <c r="F187" s="61">
        <f t="shared" si="123"/>
        <v>0</v>
      </c>
      <c r="G187" s="61">
        <f t="shared" si="123"/>
        <v>0</v>
      </c>
      <c r="H187" s="61">
        <f t="shared" si="123"/>
        <v>0</v>
      </c>
      <c r="I187" s="61">
        <f t="shared" si="123"/>
        <v>0</v>
      </c>
      <c r="J187" s="61">
        <f t="shared" si="123"/>
        <v>0</v>
      </c>
      <c r="K187" s="61">
        <f t="shared" si="123"/>
        <v>0</v>
      </c>
      <c r="L187" s="61">
        <f t="shared" si="123"/>
        <v>0</v>
      </c>
      <c r="M187" s="61">
        <f t="shared" si="123"/>
        <v>0</v>
      </c>
      <c r="N187" s="61">
        <f t="shared" ref="N187:O187" si="124">SUM(N183:N186)</f>
        <v>0</v>
      </c>
      <c r="O187" s="61">
        <f t="shared" si="124"/>
        <v>0</v>
      </c>
    </row>
    <row r="188" spans="2:15" x14ac:dyDescent="0.3"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</row>
    <row r="189" spans="2:15" x14ac:dyDescent="0.3"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</row>
    <row r="190" spans="2:15" x14ac:dyDescent="0.3">
      <c r="B190" s="122" t="str">
        <f t="shared" si="118"/>
        <v>Costi d'impianto e ampliamento</v>
      </c>
      <c r="D190" s="137">
        <f>+D60+D73+D86+D99+D112+D125+D138+D151+D164+D177</f>
        <v>0</v>
      </c>
      <c r="E190" s="137">
        <f t="shared" ref="E190:M190" si="125">+E60+E73+E86+E99+E112+E125+E138+E151+E164+E177</f>
        <v>0</v>
      </c>
      <c r="F190" s="137">
        <f t="shared" si="125"/>
        <v>0</v>
      </c>
      <c r="G190" s="137">
        <f t="shared" si="125"/>
        <v>0</v>
      </c>
      <c r="H190" s="137">
        <f t="shared" si="125"/>
        <v>0</v>
      </c>
      <c r="I190" s="137">
        <f t="shared" si="125"/>
        <v>0</v>
      </c>
      <c r="J190" s="137">
        <f t="shared" si="125"/>
        <v>0</v>
      </c>
      <c r="K190" s="137">
        <f t="shared" si="125"/>
        <v>0</v>
      </c>
      <c r="L190" s="137">
        <f t="shared" si="125"/>
        <v>0</v>
      </c>
      <c r="M190" s="137">
        <f t="shared" si="125"/>
        <v>0</v>
      </c>
      <c r="N190" s="137">
        <f t="shared" ref="N190:O190" si="126">+N60+N73+N86+N99+N112+N125+N138+N151+N164+N177</f>
        <v>0</v>
      </c>
      <c r="O190" s="137">
        <f t="shared" si="126"/>
        <v>0</v>
      </c>
    </row>
    <row r="191" spans="2:15" x14ac:dyDescent="0.3">
      <c r="B191" s="122" t="str">
        <f t="shared" si="118"/>
        <v>Ricerca&amp; Sviluppo</v>
      </c>
      <c r="D191" s="137">
        <f t="shared" ref="D191:M192" si="127">+D61+D74+D87+D100+D113+D126+D139+D152+D165+D178</f>
        <v>0</v>
      </c>
      <c r="E191" s="137">
        <f t="shared" si="127"/>
        <v>0</v>
      </c>
      <c r="F191" s="137">
        <f t="shared" si="127"/>
        <v>0</v>
      </c>
      <c r="G191" s="137">
        <f t="shared" si="127"/>
        <v>0</v>
      </c>
      <c r="H191" s="137">
        <f t="shared" si="127"/>
        <v>0</v>
      </c>
      <c r="I191" s="137">
        <f t="shared" si="127"/>
        <v>0</v>
      </c>
      <c r="J191" s="137">
        <f t="shared" si="127"/>
        <v>0</v>
      </c>
      <c r="K191" s="137">
        <f t="shared" si="127"/>
        <v>0</v>
      </c>
      <c r="L191" s="137">
        <f t="shared" si="127"/>
        <v>0</v>
      </c>
      <c r="M191" s="137">
        <f t="shared" si="127"/>
        <v>0</v>
      </c>
      <c r="N191" s="137">
        <f t="shared" ref="N191:O191" si="128">+N61+N74+N87+N100+N113+N126+N139+N152+N165+N178</f>
        <v>0</v>
      </c>
      <c r="O191" s="137">
        <f t="shared" si="128"/>
        <v>0</v>
      </c>
    </row>
    <row r="192" spans="2:15" x14ac:dyDescent="0.3">
      <c r="B192" s="122" t="str">
        <f t="shared" si="118"/>
        <v>Altre immobilizzazioni immateriali</v>
      </c>
      <c r="D192" s="137">
        <f t="shared" si="127"/>
        <v>0</v>
      </c>
      <c r="E192" s="137">
        <f t="shared" si="127"/>
        <v>0</v>
      </c>
      <c r="F192" s="137">
        <f t="shared" si="127"/>
        <v>0</v>
      </c>
      <c r="G192" s="137">
        <f t="shared" si="127"/>
        <v>0</v>
      </c>
      <c r="H192" s="137">
        <f t="shared" si="127"/>
        <v>0</v>
      </c>
      <c r="I192" s="137">
        <f t="shared" si="127"/>
        <v>0</v>
      </c>
      <c r="J192" s="137">
        <f t="shared" si="127"/>
        <v>0</v>
      </c>
      <c r="K192" s="137">
        <f t="shared" si="127"/>
        <v>0</v>
      </c>
      <c r="L192" s="137">
        <f t="shared" si="127"/>
        <v>0</v>
      </c>
      <c r="M192" s="137">
        <f t="shared" si="127"/>
        <v>0</v>
      </c>
      <c r="N192" s="137">
        <f t="shared" ref="N192:O192" si="129">+N62+N75+N88+N101+N114+N127+N140+N153+N166+N179</f>
        <v>0</v>
      </c>
      <c r="O192" s="137">
        <f t="shared" si="129"/>
        <v>0</v>
      </c>
    </row>
    <row r="193" spans="2:15" x14ac:dyDescent="0.3">
      <c r="B193" s="2" t="s">
        <v>57</v>
      </c>
      <c r="D193" s="61">
        <f>SUM(D190:D192)</f>
        <v>0</v>
      </c>
      <c r="E193" s="61">
        <f t="shared" ref="E193:M193" si="130">SUM(E190:E192)</f>
        <v>0</v>
      </c>
      <c r="F193" s="61">
        <f t="shared" si="130"/>
        <v>0</v>
      </c>
      <c r="G193" s="61">
        <f t="shared" si="130"/>
        <v>0</v>
      </c>
      <c r="H193" s="61">
        <f t="shared" si="130"/>
        <v>0</v>
      </c>
      <c r="I193" s="61">
        <f t="shared" si="130"/>
        <v>0</v>
      </c>
      <c r="J193" s="61">
        <f t="shared" si="130"/>
        <v>0</v>
      </c>
      <c r="K193" s="61">
        <f t="shared" si="130"/>
        <v>0</v>
      </c>
      <c r="L193" s="61">
        <f t="shared" si="130"/>
        <v>0</v>
      </c>
      <c r="M193" s="61">
        <f t="shared" si="130"/>
        <v>0</v>
      </c>
      <c r="N193" s="61">
        <f t="shared" ref="N193:O193" si="131">SUM(N190:N192)</f>
        <v>0</v>
      </c>
      <c r="O193" s="61">
        <f t="shared" si="131"/>
        <v>0</v>
      </c>
    </row>
  </sheetData>
  <conditionalFormatting sqref="C23:C26">
    <cfRule type="expression" dxfId="36" priority="23" stopIfTrue="1">
      <formula>ABS(SUM(C23)-SUM(#REF!))&gt;=1</formula>
    </cfRule>
  </conditionalFormatting>
  <conditionalFormatting sqref="C49:C50">
    <cfRule type="expression" dxfId="35" priority="10" stopIfTrue="1">
      <formula>ABS(SUM(C49)-SUM(#REF!))&gt;=1</formula>
    </cfRule>
  </conditionalFormatting>
  <conditionalFormatting sqref="D4:D7">
    <cfRule type="expression" dxfId="34" priority="9" stopIfTrue="1">
      <formula>ABS(SUM(D4)-SUM(#REF!))&gt;=1</formula>
    </cfRule>
  </conditionalFormatting>
  <conditionalFormatting sqref="D10:D12">
    <cfRule type="expression" dxfId="33" priority="8" stopIfTrue="1">
      <formula>ABS(SUM(D10)-SUM(#REF!))&gt;=1</formula>
    </cfRule>
  </conditionalFormatting>
  <conditionalFormatting sqref="D15:O15">
    <cfRule type="expression" dxfId="32" priority="7" stopIfTrue="1">
      <formula>ABS(SUM(D15)-SUM(#REF!))&gt;=1</formula>
    </cfRule>
  </conditionalFormatting>
  <conditionalFormatting sqref="D23:O26">
    <cfRule type="expression" dxfId="31" priority="6" stopIfTrue="1">
      <formula>ABS(SUM(D23)-SUM(#REF!))&gt;=1</formula>
    </cfRule>
  </conditionalFormatting>
  <conditionalFormatting sqref="C30:C32">
    <cfRule type="expression" dxfId="30" priority="5" stopIfTrue="1">
      <formula>ABS(SUM(C30)-SUM(#REF!))&gt;=1</formula>
    </cfRule>
  </conditionalFormatting>
  <conditionalFormatting sqref="D30:O32">
    <cfRule type="expression" dxfId="29" priority="4" stopIfTrue="1">
      <formula>ABS(SUM(D30)-SUM(#REF!))&gt;=1</formula>
    </cfRule>
  </conditionalFormatting>
  <conditionalFormatting sqref="D35:O35">
    <cfRule type="expression" dxfId="28" priority="3" stopIfTrue="1">
      <formula>ABS(SUM(D35)-SUM(#REF!))&gt;=1</formula>
    </cfRule>
  </conditionalFormatting>
  <conditionalFormatting sqref="C39:C42">
    <cfRule type="expression" dxfId="27" priority="2" stopIfTrue="1">
      <formula>ABS(SUM(C39)-SUM(#REF!))&gt;=1</formula>
    </cfRule>
  </conditionalFormatting>
  <conditionalFormatting sqref="C46:C48">
    <cfRule type="expression" dxfId="26" priority="1" stopIfTrue="1">
      <formula>ABS(SUM(C46)-SUM(#REF!))&gt;=1</formula>
    </cfRule>
  </conditionalFormatting>
  <hyperlinks>
    <hyperlink ref="A1" location="Menu!A1" display="MENU" xr:uid="{00000000-0004-0000-0500-000000000000}"/>
    <hyperlink ref="A20" location="Menu!A1" display="MENU" xr:uid="{00000000-0004-0000-0500-000001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32"/>
  <sheetViews>
    <sheetView showGridLines="0" topLeftCell="A104" workbookViewId="0">
      <selection activeCell="C67" sqref="C67"/>
    </sheetView>
  </sheetViews>
  <sheetFormatPr defaultColWidth="8.6640625" defaultRowHeight="14.4" x14ac:dyDescent="0.3"/>
  <cols>
    <col min="2" max="2" width="40.109375" bestFit="1" customWidth="1"/>
    <col min="3" max="12" width="11.5546875" bestFit="1" customWidth="1"/>
  </cols>
  <sheetData>
    <row r="2" spans="2:14" x14ac:dyDescent="0.3">
      <c r="B2" s="2" t="s">
        <v>667</v>
      </c>
    </row>
    <row r="3" spans="2:14" x14ac:dyDescent="0.3">
      <c r="B3" s="2" t="s">
        <v>668</v>
      </c>
      <c r="C3" s="201">
        <f>+'CE Previsionale'!C2</f>
        <v>43159</v>
      </c>
      <c r="D3" s="201">
        <f>+'CE Previsionale'!D2</f>
        <v>43190</v>
      </c>
      <c r="E3" s="201">
        <f>+'CE Previsionale'!E2</f>
        <v>43220</v>
      </c>
      <c r="F3" s="201">
        <f>+'CE Previsionale'!F2</f>
        <v>43251</v>
      </c>
      <c r="G3" s="201">
        <f>+'CE Previsionale'!G2</f>
        <v>43281</v>
      </c>
      <c r="H3" s="201">
        <f>+'CE Previsionale'!H2</f>
        <v>43312</v>
      </c>
      <c r="I3" s="201">
        <f>+'CE Previsionale'!I2</f>
        <v>43343</v>
      </c>
      <c r="J3" s="201">
        <f>+'CE Previsionale'!J2</f>
        <v>43373</v>
      </c>
      <c r="K3" s="201">
        <f>+'CE Previsionale'!K2</f>
        <v>43404</v>
      </c>
      <c r="L3" s="201">
        <f>+'CE Previsionale'!L2</f>
        <v>43434</v>
      </c>
      <c r="M3" s="201">
        <f>+'CE Previsionale'!M2</f>
        <v>43465</v>
      </c>
      <c r="N3" s="201">
        <f>+'CE Previsionale'!N2</f>
        <v>43496</v>
      </c>
    </row>
    <row r="4" spans="2:14" x14ac:dyDescent="0.3">
      <c r="B4" s="59" t="str">
        <f>+'Scheda Inv'!B4</f>
        <v>Fabbricati</v>
      </c>
      <c r="C4" s="58">
        <f>+IF('Scheda Inv'!$D4=0,0,('Scheda Inv'!$C4/'Scheda Inv'!$D4)/12)</f>
        <v>507.66666666666669</v>
      </c>
      <c r="D4" s="58">
        <f>+IF('Scheda Inv'!$D4=0,0,('Scheda Inv'!$C4/'Scheda Inv'!$D4)/12)</f>
        <v>507.66666666666669</v>
      </c>
      <c r="E4" s="58">
        <f>+IF('Scheda Inv'!$D4=0,0,('Scheda Inv'!$C4/'Scheda Inv'!$D4)/12)</f>
        <v>507.66666666666669</v>
      </c>
      <c r="F4" s="58">
        <f>+IF('Scheda Inv'!$D4=0,0,('Scheda Inv'!$C4/'Scheda Inv'!$D4)/12)</f>
        <v>507.66666666666669</v>
      </c>
      <c r="G4" s="58">
        <f>+IF('Scheda Inv'!$D4=0,0,('Scheda Inv'!$C4/'Scheda Inv'!$D4)/12)</f>
        <v>507.66666666666669</v>
      </c>
      <c r="H4" s="58">
        <f>+IF('Scheda Inv'!$D4=0,0,('Scheda Inv'!$C4/'Scheda Inv'!$D4)/12)</f>
        <v>507.66666666666669</v>
      </c>
      <c r="I4" s="58">
        <f>+IF('Scheda Inv'!$D4=0,0,('Scheda Inv'!$C4/'Scheda Inv'!$D4)/12)</f>
        <v>507.66666666666669</v>
      </c>
      <c r="J4" s="58">
        <f>+IF('Scheda Inv'!$D4=0,0,('Scheda Inv'!$C4/'Scheda Inv'!$D4)/12)</f>
        <v>507.66666666666669</v>
      </c>
      <c r="K4" s="58">
        <f>+IF('Scheda Inv'!$D4=0,0,('Scheda Inv'!$C4/'Scheda Inv'!$D4)/12)</f>
        <v>507.66666666666669</v>
      </c>
      <c r="L4" s="58">
        <f>+IF('Scheda Inv'!$D4=0,0,('Scheda Inv'!$C4/'Scheda Inv'!$D4)/12)</f>
        <v>507.66666666666669</v>
      </c>
      <c r="M4" s="58">
        <f>+IF('Scheda Inv'!$D4=0,0,('Scheda Inv'!$C4/'Scheda Inv'!$D4)/12)</f>
        <v>507.66666666666669</v>
      </c>
      <c r="N4" s="58">
        <f>+IF('Scheda Inv'!$D4=0,0,('Scheda Inv'!$C4/'Scheda Inv'!$D4)/12)</f>
        <v>507.66666666666669</v>
      </c>
    </row>
    <row r="5" spans="2:14" x14ac:dyDescent="0.3">
      <c r="B5" s="59" t="str">
        <f>+'Scheda Inv'!B5</f>
        <v>Impianti e Macchinari</v>
      </c>
      <c r="C5" s="58">
        <f>+IF('Scheda Inv'!$D5=0,0,('Scheda Inv'!$C5/'Scheda Inv'!$D5)/12)</f>
        <v>0</v>
      </c>
      <c r="D5" s="58">
        <f>+IF('Scheda Inv'!$D5=0,0,('Scheda Inv'!$C5/'Scheda Inv'!$D5)/12)</f>
        <v>0</v>
      </c>
      <c r="E5" s="58">
        <f>+IF('Scheda Inv'!$D5=0,0,('Scheda Inv'!$C5/'Scheda Inv'!$D5)/12)</f>
        <v>0</v>
      </c>
      <c r="F5" s="58">
        <f>+IF('Scheda Inv'!$D5=0,0,('Scheda Inv'!$C5/'Scheda Inv'!$D5)/12)</f>
        <v>0</v>
      </c>
      <c r="G5" s="58">
        <f>+IF('Scheda Inv'!$D5=0,0,('Scheda Inv'!$C5/'Scheda Inv'!$D5)/12)</f>
        <v>0</v>
      </c>
      <c r="H5" s="58">
        <f>+IF('Scheda Inv'!$D5=0,0,('Scheda Inv'!$C5/'Scheda Inv'!$D5)/12)</f>
        <v>0</v>
      </c>
      <c r="I5" s="58">
        <f>+IF('Scheda Inv'!$D5=0,0,('Scheda Inv'!$C5/'Scheda Inv'!$D5)/12)</f>
        <v>0</v>
      </c>
      <c r="J5" s="58">
        <f>+IF('Scheda Inv'!$D5=0,0,('Scheda Inv'!$C5/'Scheda Inv'!$D5)/12)</f>
        <v>0</v>
      </c>
      <c r="K5" s="58">
        <f>+IF('Scheda Inv'!$D5=0,0,('Scheda Inv'!$C5/'Scheda Inv'!$D5)/12)</f>
        <v>0</v>
      </c>
      <c r="L5" s="58">
        <f>+IF('Scheda Inv'!$D5=0,0,('Scheda Inv'!$C5/'Scheda Inv'!$D5)/12)</f>
        <v>0</v>
      </c>
      <c r="M5" s="58">
        <f>+IF('Scheda Inv'!$D5=0,0,('Scheda Inv'!$C5/'Scheda Inv'!$D5)/12)</f>
        <v>0</v>
      </c>
      <c r="N5" s="58">
        <f>+IF('Scheda Inv'!$D5=0,0,('Scheda Inv'!$C5/'Scheda Inv'!$D5)/12)</f>
        <v>0</v>
      </c>
    </row>
    <row r="6" spans="2:14" x14ac:dyDescent="0.3">
      <c r="B6" s="59" t="str">
        <f>+'Scheda Inv'!B6</f>
        <v>Attrezzature industriali e commerciali</v>
      </c>
      <c r="C6" s="58">
        <f>+IF('Scheda Inv'!$D6=0,0,('Scheda Inv'!$C6/'Scheda Inv'!$D6)/12)</f>
        <v>333.33333333333331</v>
      </c>
      <c r="D6" s="58">
        <f>+IF('Scheda Inv'!$D6=0,0,('Scheda Inv'!$C6/'Scheda Inv'!$D6)/12)</f>
        <v>333.33333333333331</v>
      </c>
      <c r="E6" s="58">
        <f>+IF('Scheda Inv'!$D6=0,0,('Scheda Inv'!$C6/'Scheda Inv'!$D6)/12)</f>
        <v>333.33333333333331</v>
      </c>
      <c r="F6" s="58">
        <f>+IF('Scheda Inv'!$D6=0,0,('Scheda Inv'!$C6/'Scheda Inv'!$D6)/12)</f>
        <v>333.33333333333331</v>
      </c>
      <c r="G6" s="58">
        <f>+IF('Scheda Inv'!$D6=0,0,('Scheda Inv'!$C6/'Scheda Inv'!$D6)/12)</f>
        <v>333.33333333333331</v>
      </c>
      <c r="H6" s="58">
        <f>+IF('Scheda Inv'!$D6=0,0,('Scheda Inv'!$C6/'Scheda Inv'!$D6)/12)</f>
        <v>333.33333333333331</v>
      </c>
      <c r="I6" s="58">
        <f>+IF('Scheda Inv'!$D6=0,0,('Scheda Inv'!$C6/'Scheda Inv'!$D6)/12)</f>
        <v>333.33333333333331</v>
      </c>
      <c r="J6" s="58">
        <f>+IF('Scheda Inv'!$D6=0,0,('Scheda Inv'!$C6/'Scheda Inv'!$D6)/12)</f>
        <v>333.33333333333331</v>
      </c>
      <c r="K6" s="58">
        <f>+IF('Scheda Inv'!$D6=0,0,('Scheda Inv'!$C6/'Scheda Inv'!$D6)/12)</f>
        <v>333.33333333333331</v>
      </c>
      <c r="L6" s="58">
        <f>+IF('Scheda Inv'!$D6=0,0,('Scheda Inv'!$C6/'Scheda Inv'!$D6)/12)</f>
        <v>333.33333333333331</v>
      </c>
      <c r="M6" s="58">
        <f>+IF('Scheda Inv'!$D6=0,0,('Scheda Inv'!$C6/'Scheda Inv'!$D6)/12)</f>
        <v>333.33333333333331</v>
      </c>
      <c r="N6" s="58">
        <f>+IF('Scheda Inv'!$D6=0,0,('Scheda Inv'!$C6/'Scheda Inv'!$D6)/12)</f>
        <v>333.33333333333331</v>
      </c>
    </row>
    <row r="7" spans="2:14" x14ac:dyDescent="0.3">
      <c r="B7" s="59" t="str">
        <f>+'Scheda Inv'!B7</f>
        <v>Altri beni</v>
      </c>
      <c r="C7" s="58">
        <f>+IF('Scheda Inv'!$D7=0,0,('Scheda Inv'!$C7/'Scheda Inv'!$D7)/12)</f>
        <v>0</v>
      </c>
      <c r="D7" s="58">
        <f>+IF('Scheda Inv'!$D7=0,0,('Scheda Inv'!$C7/'Scheda Inv'!$D7)/12)</f>
        <v>0</v>
      </c>
      <c r="E7" s="58">
        <f>+IF('Scheda Inv'!$D7=0,0,('Scheda Inv'!$C7/'Scheda Inv'!$D7)/12)</f>
        <v>0</v>
      </c>
      <c r="F7" s="58">
        <f>+IF('Scheda Inv'!$D7=0,0,('Scheda Inv'!$C7/'Scheda Inv'!$D7)/12)</f>
        <v>0</v>
      </c>
      <c r="G7" s="58">
        <f>+IF('Scheda Inv'!$D7=0,0,('Scheda Inv'!$C7/'Scheda Inv'!$D7)/12)</f>
        <v>0</v>
      </c>
      <c r="H7" s="58">
        <f>+IF('Scheda Inv'!$D7=0,0,('Scheda Inv'!$C7/'Scheda Inv'!$D7)/12)</f>
        <v>0</v>
      </c>
      <c r="I7" s="58">
        <f>+IF('Scheda Inv'!$D7=0,0,('Scheda Inv'!$C7/'Scheda Inv'!$D7)/12)</f>
        <v>0</v>
      </c>
      <c r="J7" s="58">
        <f>+IF('Scheda Inv'!$D7=0,0,('Scheda Inv'!$C7/'Scheda Inv'!$D7)/12)</f>
        <v>0</v>
      </c>
      <c r="K7" s="58">
        <f>+IF('Scheda Inv'!$D7=0,0,('Scheda Inv'!$C7/'Scheda Inv'!$D7)/12)</f>
        <v>0</v>
      </c>
      <c r="L7" s="58">
        <f>+IF('Scheda Inv'!$D7=0,0,('Scheda Inv'!$C7/'Scheda Inv'!$D7)/12)</f>
        <v>0</v>
      </c>
      <c r="M7" s="58">
        <f>+IF('Scheda Inv'!$D7=0,0,('Scheda Inv'!$C7/'Scheda Inv'!$D7)/12)</f>
        <v>0</v>
      </c>
      <c r="N7" s="58">
        <f>+IF('Scheda Inv'!$D7=0,0,('Scheda Inv'!$C7/'Scheda Inv'!$D7)/12)</f>
        <v>0</v>
      </c>
    </row>
    <row r="8" spans="2:14" x14ac:dyDescent="0.3">
      <c r="B8" s="59" t="s">
        <v>669</v>
      </c>
      <c r="C8" s="61">
        <f>SUM(C4:C7)</f>
        <v>841</v>
      </c>
      <c r="D8" s="61">
        <f t="shared" ref="D8:L8" si="0">SUM(D4:D7)</f>
        <v>841</v>
      </c>
      <c r="E8" s="61">
        <f t="shared" si="0"/>
        <v>841</v>
      </c>
      <c r="F8" s="61">
        <f t="shared" si="0"/>
        <v>841</v>
      </c>
      <c r="G8" s="61">
        <f t="shared" si="0"/>
        <v>841</v>
      </c>
      <c r="H8" s="61">
        <f t="shared" si="0"/>
        <v>841</v>
      </c>
      <c r="I8" s="61">
        <f t="shared" si="0"/>
        <v>841</v>
      </c>
      <c r="J8" s="61">
        <f t="shared" si="0"/>
        <v>841</v>
      </c>
      <c r="K8" s="61">
        <f t="shared" si="0"/>
        <v>841</v>
      </c>
      <c r="L8" s="61">
        <f t="shared" si="0"/>
        <v>841</v>
      </c>
      <c r="M8" s="61">
        <f t="shared" ref="M8:N8" si="1">SUM(M4:M7)</f>
        <v>841</v>
      </c>
      <c r="N8" s="61">
        <f t="shared" si="1"/>
        <v>841</v>
      </c>
    </row>
    <row r="10" spans="2:14" x14ac:dyDescent="0.3">
      <c r="B10" s="2" t="s">
        <v>670</v>
      </c>
      <c r="C10" s="201">
        <f>+C3</f>
        <v>43159</v>
      </c>
      <c r="D10" s="201">
        <f t="shared" ref="D10:L10" si="2">+D3</f>
        <v>43190</v>
      </c>
      <c r="E10" s="201">
        <f t="shared" si="2"/>
        <v>43220</v>
      </c>
      <c r="F10" s="201">
        <f t="shared" si="2"/>
        <v>43251</v>
      </c>
      <c r="G10" s="201">
        <f t="shared" si="2"/>
        <v>43281</v>
      </c>
      <c r="H10" s="201">
        <f t="shared" si="2"/>
        <v>43312</v>
      </c>
      <c r="I10" s="201">
        <f t="shared" si="2"/>
        <v>43343</v>
      </c>
      <c r="J10" s="201">
        <f t="shared" si="2"/>
        <v>43373</v>
      </c>
      <c r="K10" s="201">
        <f t="shared" si="2"/>
        <v>43404</v>
      </c>
      <c r="L10" s="201">
        <f t="shared" si="2"/>
        <v>43434</v>
      </c>
      <c r="M10" s="201">
        <f t="shared" ref="M10:N10" si="3">+M3</f>
        <v>43465</v>
      </c>
      <c r="N10" s="201">
        <f t="shared" si="3"/>
        <v>43496</v>
      </c>
    </row>
    <row r="11" spans="2:14" x14ac:dyDescent="0.3">
      <c r="B11" s="59" t="str">
        <f>+B4</f>
        <v>Fabbricati</v>
      </c>
      <c r="C11" s="58">
        <f>+C4</f>
        <v>507.66666666666669</v>
      </c>
      <c r="D11" s="58">
        <f>+C11+D4</f>
        <v>1015.3333333333334</v>
      </c>
      <c r="E11" s="58">
        <f t="shared" ref="E11:L11" si="4">+D11+E4</f>
        <v>1523</v>
      </c>
      <c r="F11" s="58">
        <f t="shared" si="4"/>
        <v>2030.6666666666667</v>
      </c>
      <c r="G11" s="58">
        <f t="shared" si="4"/>
        <v>2538.3333333333335</v>
      </c>
      <c r="H11" s="58">
        <f t="shared" si="4"/>
        <v>3046</v>
      </c>
      <c r="I11" s="58">
        <f t="shared" si="4"/>
        <v>3553.6666666666665</v>
      </c>
      <c r="J11" s="58">
        <f t="shared" si="4"/>
        <v>4061.333333333333</v>
      </c>
      <c r="K11" s="58">
        <f t="shared" si="4"/>
        <v>4569</v>
      </c>
      <c r="L11" s="58">
        <f t="shared" si="4"/>
        <v>5076.666666666667</v>
      </c>
      <c r="M11" s="58">
        <f t="shared" ref="M11:M14" si="5">+L11+M4</f>
        <v>5584.3333333333339</v>
      </c>
      <c r="N11" s="58">
        <f t="shared" ref="N11:N14" si="6">+M11+N4</f>
        <v>6092.0000000000009</v>
      </c>
    </row>
    <row r="12" spans="2:14" x14ac:dyDescent="0.3">
      <c r="B12" s="59" t="str">
        <f t="shared" ref="B12:C14" si="7">+B5</f>
        <v>Impianti e Macchinari</v>
      </c>
      <c r="C12" s="58">
        <f>+C5</f>
        <v>0</v>
      </c>
      <c r="D12" s="58">
        <f>+C12+D5</f>
        <v>0</v>
      </c>
      <c r="E12" s="58">
        <f t="shared" ref="E12:L14" si="8">+D12+E5</f>
        <v>0</v>
      </c>
      <c r="F12" s="58">
        <f t="shared" si="8"/>
        <v>0</v>
      </c>
      <c r="G12" s="58">
        <f t="shared" si="8"/>
        <v>0</v>
      </c>
      <c r="H12" s="58">
        <f t="shared" si="8"/>
        <v>0</v>
      </c>
      <c r="I12" s="58">
        <f t="shared" si="8"/>
        <v>0</v>
      </c>
      <c r="J12" s="58">
        <f t="shared" si="8"/>
        <v>0</v>
      </c>
      <c r="K12" s="58">
        <f t="shared" si="8"/>
        <v>0</v>
      </c>
      <c r="L12" s="58">
        <f t="shared" si="8"/>
        <v>0</v>
      </c>
      <c r="M12" s="58">
        <f t="shared" si="5"/>
        <v>0</v>
      </c>
      <c r="N12" s="58">
        <f t="shared" si="6"/>
        <v>0</v>
      </c>
    </row>
    <row r="13" spans="2:14" x14ac:dyDescent="0.3">
      <c r="B13" s="59" t="str">
        <f t="shared" si="7"/>
        <v>Attrezzature industriali e commerciali</v>
      </c>
      <c r="C13" s="58">
        <f t="shared" si="7"/>
        <v>333.33333333333331</v>
      </c>
      <c r="D13" s="58">
        <f>+C13+D6</f>
        <v>666.66666666666663</v>
      </c>
      <c r="E13" s="58">
        <f t="shared" si="8"/>
        <v>1000</v>
      </c>
      <c r="F13" s="58">
        <f t="shared" si="8"/>
        <v>1333.3333333333333</v>
      </c>
      <c r="G13" s="58">
        <f t="shared" si="8"/>
        <v>1666.6666666666665</v>
      </c>
      <c r="H13" s="58">
        <f t="shared" si="8"/>
        <v>1999.9999999999998</v>
      </c>
      <c r="I13" s="58">
        <f t="shared" si="8"/>
        <v>2333.333333333333</v>
      </c>
      <c r="J13" s="58">
        <f t="shared" si="8"/>
        <v>2666.6666666666665</v>
      </c>
      <c r="K13" s="58">
        <f t="shared" si="8"/>
        <v>3000</v>
      </c>
      <c r="L13" s="58">
        <f t="shared" si="8"/>
        <v>3333.3333333333335</v>
      </c>
      <c r="M13" s="58">
        <f t="shared" si="5"/>
        <v>3666.666666666667</v>
      </c>
      <c r="N13" s="58">
        <f t="shared" si="6"/>
        <v>4000.0000000000005</v>
      </c>
    </row>
    <row r="14" spans="2:14" x14ac:dyDescent="0.3">
      <c r="B14" s="59" t="str">
        <f t="shared" si="7"/>
        <v>Altri beni</v>
      </c>
      <c r="C14" s="58">
        <f t="shared" si="7"/>
        <v>0</v>
      </c>
      <c r="D14" s="58">
        <f>+C14+D7</f>
        <v>0</v>
      </c>
      <c r="E14" s="58">
        <f t="shared" si="8"/>
        <v>0</v>
      </c>
      <c r="F14" s="58">
        <f t="shared" si="8"/>
        <v>0</v>
      </c>
      <c r="G14" s="58">
        <f t="shared" si="8"/>
        <v>0</v>
      </c>
      <c r="H14" s="58">
        <f t="shared" si="8"/>
        <v>0</v>
      </c>
      <c r="I14" s="58">
        <f t="shared" si="8"/>
        <v>0</v>
      </c>
      <c r="J14" s="58">
        <f t="shared" si="8"/>
        <v>0</v>
      </c>
      <c r="K14" s="58">
        <f t="shared" si="8"/>
        <v>0</v>
      </c>
      <c r="L14" s="58">
        <f t="shared" si="8"/>
        <v>0</v>
      </c>
      <c r="M14" s="58">
        <f t="shared" si="5"/>
        <v>0</v>
      </c>
      <c r="N14" s="58">
        <f t="shared" si="6"/>
        <v>0</v>
      </c>
    </row>
    <row r="15" spans="2:14" x14ac:dyDescent="0.3">
      <c r="B15" s="59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</row>
    <row r="16" spans="2:14" x14ac:dyDescent="0.3">
      <c r="B16" s="2" t="s">
        <v>668</v>
      </c>
      <c r="C16" s="201">
        <f>+C3</f>
        <v>43159</v>
      </c>
      <c r="D16" s="201">
        <f t="shared" ref="D16:K16" si="9">+D3</f>
        <v>43190</v>
      </c>
      <c r="E16" s="201">
        <f t="shared" si="9"/>
        <v>43220</v>
      </c>
      <c r="F16" s="201">
        <f t="shared" si="9"/>
        <v>43251</v>
      </c>
      <c r="G16" s="201">
        <f t="shared" si="9"/>
        <v>43281</v>
      </c>
      <c r="H16" s="201">
        <f t="shared" si="9"/>
        <v>43312</v>
      </c>
      <c r="I16" s="201">
        <f t="shared" si="9"/>
        <v>43343</v>
      </c>
      <c r="J16" s="201">
        <f t="shared" si="9"/>
        <v>43373</v>
      </c>
      <c r="K16" s="201">
        <f t="shared" si="9"/>
        <v>43404</v>
      </c>
      <c r="L16" s="201">
        <f t="shared" ref="L16:N16" si="10">+L3</f>
        <v>43434</v>
      </c>
      <c r="M16" s="201">
        <f t="shared" si="10"/>
        <v>43465</v>
      </c>
      <c r="N16" s="201">
        <f t="shared" si="10"/>
        <v>43496</v>
      </c>
    </row>
    <row r="17" spans="1:16" x14ac:dyDescent="0.3">
      <c r="B17" s="59" t="s">
        <v>626</v>
      </c>
      <c r="C17" s="58">
        <f>+IF('Scheda Inv'!$D10=0,0,('Scheda Inv'!$C10/'Scheda Inv'!$D10)/12)</f>
        <v>32</v>
      </c>
      <c r="D17" s="58">
        <f>+IF('Scheda Inv'!$D10=0,0,('Scheda Inv'!$C10/'Scheda Inv'!$D10)/12)</f>
        <v>32</v>
      </c>
      <c r="E17" s="58">
        <f>+IF('Scheda Inv'!$D10=0,0,('Scheda Inv'!$C10/'Scheda Inv'!$D10)/12)</f>
        <v>32</v>
      </c>
      <c r="F17" s="58">
        <f>+IF('Scheda Inv'!$D10=0,0,('Scheda Inv'!$C10/'Scheda Inv'!$D10)/12)</f>
        <v>32</v>
      </c>
      <c r="G17" s="58">
        <f>+IF('Scheda Inv'!$D10=0,0,('Scheda Inv'!$C10/'Scheda Inv'!$D10)/12)</f>
        <v>32</v>
      </c>
      <c r="H17" s="58">
        <f>+IF('Scheda Inv'!$D10=0,0,('Scheda Inv'!$C10/'Scheda Inv'!$D10)/12)</f>
        <v>32</v>
      </c>
      <c r="I17" s="58">
        <f>+IF('Scheda Inv'!$D10=0,0,('Scheda Inv'!$C10/'Scheda Inv'!$D10)/12)</f>
        <v>32</v>
      </c>
      <c r="J17" s="58">
        <f>+IF('Scheda Inv'!$D10=0,0,('Scheda Inv'!$C10/'Scheda Inv'!$D10)/12)</f>
        <v>32</v>
      </c>
      <c r="K17" s="58">
        <f>+IF('Scheda Inv'!$D10=0,0,('Scheda Inv'!$C10/'Scheda Inv'!$D10)/12)</f>
        <v>32</v>
      </c>
      <c r="L17" s="58">
        <f>+IF('Scheda Inv'!$D10=0,0,('Scheda Inv'!$C10/'Scheda Inv'!$D10)/12)</f>
        <v>32</v>
      </c>
      <c r="M17" s="58">
        <f>+IF('Scheda Inv'!$D10=0,0,('Scheda Inv'!$C10/'Scheda Inv'!$D10)/12)</f>
        <v>32</v>
      </c>
      <c r="N17" s="58">
        <f>+IF('Scheda Inv'!$D10=0,0,('Scheda Inv'!$C10/'Scheda Inv'!$D10)/12)</f>
        <v>32</v>
      </c>
    </row>
    <row r="18" spans="1:16" x14ac:dyDescent="0.3">
      <c r="B18" s="59" t="s">
        <v>627</v>
      </c>
      <c r="C18" s="58">
        <f>+IF('Scheda Inv'!$D11=0,0,('Scheda Inv'!$C11/'Scheda Inv'!$D11)/12)</f>
        <v>0</v>
      </c>
      <c r="D18" s="58">
        <f>+IF('Scheda Inv'!$D11=0,0,('Scheda Inv'!$C11/'Scheda Inv'!$D11)/12)</f>
        <v>0</v>
      </c>
      <c r="E18" s="58">
        <f>+IF('Scheda Inv'!$D11=0,0,('Scheda Inv'!$C11/'Scheda Inv'!$D11)/12)</f>
        <v>0</v>
      </c>
      <c r="F18" s="58">
        <f>+IF('Scheda Inv'!$D11=0,0,('Scheda Inv'!$C11/'Scheda Inv'!$D11)/12)</f>
        <v>0</v>
      </c>
      <c r="G18" s="58">
        <f>+IF('Scheda Inv'!$D11=0,0,('Scheda Inv'!$C11/'Scheda Inv'!$D11)/12)</f>
        <v>0</v>
      </c>
      <c r="H18" s="58">
        <f>+IF('Scheda Inv'!$D11=0,0,('Scheda Inv'!$C11/'Scheda Inv'!$D11)/12)</f>
        <v>0</v>
      </c>
      <c r="I18" s="58">
        <f>+IF('Scheda Inv'!$D11=0,0,('Scheda Inv'!$C11/'Scheda Inv'!$D11)/12)</f>
        <v>0</v>
      </c>
      <c r="J18" s="58">
        <f>+IF('Scheda Inv'!$D11=0,0,('Scheda Inv'!$C11/'Scheda Inv'!$D11)/12)</f>
        <v>0</v>
      </c>
      <c r="K18" s="58">
        <f>+IF('Scheda Inv'!$D11=0,0,('Scheda Inv'!$C11/'Scheda Inv'!$D11)/12)</f>
        <v>0</v>
      </c>
      <c r="L18" s="58">
        <f>+IF('Scheda Inv'!$D11=0,0,('Scheda Inv'!$C11/'Scheda Inv'!$D11)/12)</f>
        <v>0</v>
      </c>
      <c r="M18" s="58">
        <f>+IF('Scheda Inv'!$D11=0,0,('Scheda Inv'!$C11/'Scheda Inv'!$D11)/12)</f>
        <v>0</v>
      </c>
      <c r="N18" s="58">
        <f>+IF('Scheda Inv'!$D11=0,0,('Scheda Inv'!$C11/'Scheda Inv'!$D11)/12)</f>
        <v>0</v>
      </c>
    </row>
    <row r="19" spans="1:16" x14ac:dyDescent="0.3">
      <c r="B19" s="59" t="s">
        <v>628</v>
      </c>
      <c r="C19" s="58">
        <f>+IF('Scheda Inv'!$D12=0,0,('Scheda Inv'!$C12/'Scheda Inv'!$D12)/12)</f>
        <v>534.375</v>
      </c>
      <c r="D19" s="58">
        <f>+IF('Scheda Inv'!$D12=0,0,('Scheda Inv'!$C12/'Scheda Inv'!$D12)/12)</f>
        <v>534.375</v>
      </c>
      <c r="E19" s="58">
        <f>+IF('Scheda Inv'!$D12=0,0,('Scheda Inv'!$C12/'Scheda Inv'!$D12)/12)</f>
        <v>534.375</v>
      </c>
      <c r="F19" s="58">
        <f>+IF('Scheda Inv'!$D12=0,0,('Scheda Inv'!$C12/'Scheda Inv'!$D12)/12)</f>
        <v>534.375</v>
      </c>
      <c r="G19" s="58">
        <f>+IF('Scheda Inv'!$D12=0,0,('Scheda Inv'!$C12/'Scheda Inv'!$D12)/12)</f>
        <v>534.375</v>
      </c>
      <c r="H19" s="58">
        <f>+IF('Scheda Inv'!$D12=0,0,('Scheda Inv'!$C12/'Scheda Inv'!$D12)/12)</f>
        <v>534.375</v>
      </c>
      <c r="I19" s="58">
        <f>+IF('Scheda Inv'!$D12=0,0,('Scheda Inv'!$C12/'Scheda Inv'!$D12)/12)</f>
        <v>534.375</v>
      </c>
      <c r="J19" s="58">
        <f>+IF('Scheda Inv'!$D12=0,0,('Scheda Inv'!$C12/'Scheda Inv'!$D12)/12)</f>
        <v>534.375</v>
      </c>
      <c r="K19" s="58">
        <f>+IF('Scheda Inv'!$D12=0,0,('Scheda Inv'!$C12/'Scheda Inv'!$D12)/12)</f>
        <v>534.375</v>
      </c>
      <c r="L19" s="58">
        <f>+IF('Scheda Inv'!$D12=0,0,('Scheda Inv'!$C12/'Scheda Inv'!$D12)/12)</f>
        <v>534.375</v>
      </c>
      <c r="M19" s="58">
        <f>+IF('Scheda Inv'!$D12=0,0,('Scheda Inv'!$C12/'Scheda Inv'!$D12)/12)</f>
        <v>534.375</v>
      </c>
      <c r="N19" s="58">
        <f>+IF('Scheda Inv'!$D12=0,0,('Scheda Inv'!$C12/'Scheda Inv'!$D12)/12)</f>
        <v>534.375</v>
      </c>
    </row>
    <row r="20" spans="1:16" x14ac:dyDescent="0.3">
      <c r="B20" s="59" t="s">
        <v>669</v>
      </c>
      <c r="C20" s="61">
        <f t="shared" ref="C20:L20" si="11">SUM(C17:C19)</f>
        <v>566.375</v>
      </c>
      <c r="D20" s="61">
        <f t="shared" si="11"/>
        <v>566.375</v>
      </c>
      <c r="E20" s="61">
        <f t="shared" si="11"/>
        <v>566.375</v>
      </c>
      <c r="F20" s="61">
        <f t="shared" si="11"/>
        <v>566.375</v>
      </c>
      <c r="G20" s="61">
        <f t="shared" si="11"/>
        <v>566.375</v>
      </c>
      <c r="H20" s="61">
        <f t="shared" si="11"/>
        <v>566.375</v>
      </c>
      <c r="I20" s="61">
        <f t="shared" si="11"/>
        <v>566.375</v>
      </c>
      <c r="J20" s="61">
        <f t="shared" si="11"/>
        <v>566.375</v>
      </c>
      <c r="K20" s="61">
        <f t="shared" si="11"/>
        <v>566.375</v>
      </c>
      <c r="L20" s="61">
        <f t="shared" si="11"/>
        <v>566.375</v>
      </c>
      <c r="M20" s="61">
        <f t="shared" ref="M20:N20" si="12">SUM(M17:M19)</f>
        <v>566.375</v>
      </c>
      <c r="N20" s="61">
        <f t="shared" si="12"/>
        <v>566.375</v>
      </c>
    </row>
    <row r="22" spans="1:16" x14ac:dyDescent="0.3">
      <c r="B22" s="2" t="s">
        <v>670</v>
      </c>
      <c r="C22" s="201">
        <f>+C3</f>
        <v>43159</v>
      </c>
      <c r="D22" s="201">
        <f t="shared" ref="D22:L22" si="13">+D3</f>
        <v>43190</v>
      </c>
      <c r="E22" s="201">
        <f t="shared" si="13"/>
        <v>43220</v>
      </c>
      <c r="F22" s="201">
        <f t="shared" si="13"/>
        <v>43251</v>
      </c>
      <c r="G22" s="201">
        <f t="shared" si="13"/>
        <v>43281</v>
      </c>
      <c r="H22" s="201">
        <f t="shared" si="13"/>
        <v>43312</v>
      </c>
      <c r="I22" s="201">
        <f t="shared" si="13"/>
        <v>43343</v>
      </c>
      <c r="J22" s="201">
        <f t="shared" si="13"/>
        <v>43373</v>
      </c>
      <c r="K22" s="201">
        <f t="shared" si="13"/>
        <v>43404</v>
      </c>
      <c r="L22" s="201">
        <f t="shared" si="13"/>
        <v>43434</v>
      </c>
      <c r="M22" s="201">
        <f t="shared" ref="M22:N22" si="14">+M3</f>
        <v>43465</v>
      </c>
      <c r="N22" s="201">
        <f t="shared" si="14"/>
        <v>43496</v>
      </c>
    </row>
    <row r="23" spans="1:16" x14ac:dyDescent="0.3">
      <c r="B23" s="59" t="str">
        <f t="shared" ref="B23:C25" si="15">+B17</f>
        <v xml:space="preserve">           1) Costi d'impianto e ampliamento</v>
      </c>
      <c r="C23" s="58">
        <f t="shared" si="15"/>
        <v>32</v>
      </c>
      <c r="D23" s="58">
        <f t="shared" ref="D23:L23" si="16">+C23+D17</f>
        <v>64</v>
      </c>
      <c r="E23" s="58">
        <f t="shared" si="16"/>
        <v>96</v>
      </c>
      <c r="F23" s="58">
        <f t="shared" si="16"/>
        <v>128</v>
      </c>
      <c r="G23" s="58">
        <f t="shared" si="16"/>
        <v>160</v>
      </c>
      <c r="H23" s="58">
        <f t="shared" si="16"/>
        <v>192</v>
      </c>
      <c r="I23" s="58">
        <f t="shared" si="16"/>
        <v>224</v>
      </c>
      <c r="J23" s="58">
        <f t="shared" si="16"/>
        <v>256</v>
      </c>
      <c r="K23" s="58">
        <f t="shared" si="16"/>
        <v>288</v>
      </c>
      <c r="L23" s="58">
        <f t="shared" si="16"/>
        <v>320</v>
      </c>
      <c r="M23" s="58">
        <f t="shared" ref="M23:M25" si="17">+L23+M17</f>
        <v>352</v>
      </c>
      <c r="N23" s="58">
        <f t="shared" ref="N23:N25" si="18">+M23+N17</f>
        <v>384</v>
      </c>
    </row>
    <row r="24" spans="1:16" x14ac:dyDescent="0.3">
      <c r="B24" s="59" t="str">
        <f t="shared" si="15"/>
        <v xml:space="preserve">           2) Ricerca&amp; Sviluppo</v>
      </c>
      <c r="C24" s="58">
        <f>+C18</f>
        <v>0</v>
      </c>
      <c r="D24" s="58">
        <f t="shared" ref="D24:L24" si="19">+C24+D18</f>
        <v>0</v>
      </c>
      <c r="E24" s="58">
        <f t="shared" si="19"/>
        <v>0</v>
      </c>
      <c r="F24" s="58">
        <f t="shared" si="19"/>
        <v>0</v>
      </c>
      <c r="G24" s="58">
        <f t="shared" si="19"/>
        <v>0</v>
      </c>
      <c r="H24" s="58">
        <f t="shared" si="19"/>
        <v>0</v>
      </c>
      <c r="I24" s="58">
        <f t="shared" si="19"/>
        <v>0</v>
      </c>
      <c r="J24" s="58">
        <f t="shared" si="19"/>
        <v>0</v>
      </c>
      <c r="K24" s="58">
        <f t="shared" si="19"/>
        <v>0</v>
      </c>
      <c r="L24" s="58">
        <f t="shared" si="19"/>
        <v>0</v>
      </c>
      <c r="M24" s="58">
        <f t="shared" si="17"/>
        <v>0</v>
      </c>
      <c r="N24" s="58">
        <f t="shared" si="18"/>
        <v>0</v>
      </c>
    </row>
    <row r="25" spans="1:16" x14ac:dyDescent="0.3">
      <c r="B25" s="59" t="str">
        <f t="shared" si="15"/>
        <v xml:space="preserve">           3) Altre immobilizzazioni immateriali</v>
      </c>
      <c r="C25" s="58">
        <f t="shared" si="15"/>
        <v>534.375</v>
      </c>
      <c r="D25" s="58">
        <f t="shared" ref="D25:L25" si="20">+C25+D19</f>
        <v>1068.75</v>
      </c>
      <c r="E25" s="58">
        <f t="shared" si="20"/>
        <v>1603.125</v>
      </c>
      <c r="F25" s="58">
        <f t="shared" si="20"/>
        <v>2137.5</v>
      </c>
      <c r="G25" s="58">
        <f t="shared" si="20"/>
        <v>2671.875</v>
      </c>
      <c r="H25" s="58">
        <f t="shared" si="20"/>
        <v>3206.25</v>
      </c>
      <c r="I25" s="58">
        <f t="shared" si="20"/>
        <v>3740.625</v>
      </c>
      <c r="J25" s="58">
        <f t="shared" si="20"/>
        <v>4275</v>
      </c>
      <c r="K25" s="58">
        <f t="shared" si="20"/>
        <v>4809.375</v>
      </c>
      <c r="L25" s="58">
        <f t="shared" si="20"/>
        <v>5343.75</v>
      </c>
      <c r="M25" s="58">
        <f t="shared" si="17"/>
        <v>5878.125</v>
      </c>
      <c r="N25" s="58">
        <f t="shared" si="18"/>
        <v>6412.5</v>
      </c>
    </row>
    <row r="26" spans="1:16" x14ac:dyDescent="0.3">
      <c r="B26" s="59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</row>
    <row r="27" spans="1:16" x14ac:dyDescent="0.3">
      <c r="B27" s="59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</row>
    <row r="28" spans="1:16" x14ac:dyDescent="0.3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</row>
    <row r="30" spans="1:16" x14ac:dyDescent="0.3">
      <c r="B30" t="s">
        <v>43</v>
      </c>
    </row>
    <row r="31" spans="1:16" x14ac:dyDescent="0.3">
      <c r="B31" s="2" t="str">
        <f>+B3</f>
        <v>Ammortamenti Materiali</v>
      </c>
      <c r="C31" s="203">
        <f>+C3</f>
        <v>43159</v>
      </c>
      <c r="D31" s="203">
        <f t="shared" ref="D31:L31" si="21">+D3</f>
        <v>43190</v>
      </c>
      <c r="E31" s="203">
        <f t="shared" si="21"/>
        <v>43220</v>
      </c>
      <c r="F31" s="203">
        <f t="shared" si="21"/>
        <v>43251</v>
      </c>
      <c r="G31" s="203">
        <f t="shared" si="21"/>
        <v>43281</v>
      </c>
      <c r="H31" s="203">
        <f t="shared" si="21"/>
        <v>43312</v>
      </c>
      <c r="I31" s="203">
        <f t="shared" si="21"/>
        <v>43343</v>
      </c>
      <c r="J31" s="203">
        <f t="shared" si="21"/>
        <v>43373</v>
      </c>
      <c r="K31" s="203">
        <f t="shared" si="21"/>
        <v>43404</v>
      </c>
      <c r="L31" s="203">
        <f t="shared" si="21"/>
        <v>43434</v>
      </c>
      <c r="M31" s="203">
        <f t="shared" ref="M31:N31" si="22">+M3</f>
        <v>43465</v>
      </c>
      <c r="N31" s="203">
        <f t="shared" si="22"/>
        <v>43496</v>
      </c>
    </row>
    <row r="32" spans="1:16" x14ac:dyDescent="0.3">
      <c r="B32" s="59" t="str">
        <f>+B4</f>
        <v>Fabbricati</v>
      </c>
      <c r="C32" s="58">
        <f>+'Scheda Inv'!D23</f>
        <v>0</v>
      </c>
      <c r="D32" s="58">
        <f>+'Scheda Inv'!E23</f>
        <v>0</v>
      </c>
      <c r="E32" s="58">
        <f>+'Scheda Inv'!F23</f>
        <v>0</v>
      </c>
      <c r="F32" s="58">
        <f>+'Scheda Inv'!G23</f>
        <v>0</v>
      </c>
      <c r="G32" s="58">
        <f>+'Scheda Inv'!H23</f>
        <v>0</v>
      </c>
      <c r="H32" s="58">
        <f>+'Scheda Inv'!I23</f>
        <v>0</v>
      </c>
      <c r="I32" s="58">
        <f>+'Scheda Inv'!J23</f>
        <v>0</v>
      </c>
      <c r="J32" s="58">
        <f>+'Scheda Inv'!K23</f>
        <v>0</v>
      </c>
      <c r="K32" s="58">
        <f>+'Scheda Inv'!L23</f>
        <v>0</v>
      </c>
      <c r="L32" s="58">
        <f>+'Scheda Inv'!M23</f>
        <v>0</v>
      </c>
      <c r="M32" s="58">
        <f>+'Scheda Inv'!N23</f>
        <v>0</v>
      </c>
      <c r="N32" s="58">
        <f>+'Scheda Inv'!O23</f>
        <v>0</v>
      </c>
    </row>
    <row r="33" spans="2:14" x14ac:dyDescent="0.3">
      <c r="B33" s="59" t="str">
        <f t="shared" ref="B33:B35" si="23">+B5</f>
        <v>Impianti e Macchinari</v>
      </c>
      <c r="C33" s="58">
        <f>+'Scheda Inv'!D24</f>
        <v>0</v>
      </c>
      <c r="D33" s="58">
        <f>+'Scheda Inv'!E24</f>
        <v>0</v>
      </c>
      <c r="E33" s="58">
        <f>+'Scheda Inv'!F24</f>
        <v>0</v>
      </c>
      <c r="F33" s="58">
        <f>+'Scheda Inv'!G24</f>
        <v>0</v>
      </c>
      <c r="G33" s="58">
        <f>+'Scheda Inv'!H24</f>
        <v>0</v>
      </c>
      <c r="H33" s="58">
        <f>+'Scheda Inv'!I24</f>
        <v>0</v>
      </c>
      <c r="I33" s="58">
        <f>+'Scheda Inv'!J24</f>
        <v>0</v>
      </c>
      <c r="J33" s="58">
        <f>+'Scheda Inv'!K24</f>
        <v>0</v>
      </c>
      <c r="K33" s="58">
        <f>+'Scheda Inv'!L24</f>
        <v>0</v>
      </c>
      <c r="L33" s="58">
        <f>+'Scheda Inv'!M24</f>
        <v>0</v>
      </c>
      <c r="M33" s="58">
        <f>+'Scheda Inv'!N24</f>
        <v>0</v>
      </c>
      <c r="N33" s="58">
        <f>+'Scheda Inv'!O24</f>
        <v>0</v>
      </c>
    </row>
    <row r="34" spans="2:14" x14ac:dyDescent="0.3">
      <c r="B34" s="59" t="str">
        <f t="shared" si="23"/>
        <v>Attrezzature industriali e commerciali</v>
      </c>
      <c r="C34" s="58">
        <f>+'Scheda Inv'!D25</f>
        <v>0</v>
      </c>
      <c r="D34" s="58">
        <f>+'Scheda Inv'!E25</f>
        <v>0</v>
      </c>
      <c r="E34" s="58">
        <f>+'Scheda Inv'!F25</f>
        <v>0</v>
      </c>
      <c r="F34" s="58">
        <f>+'Scheda Inv'!G25</f>
        <v>0</v>
      </c>
      <c r="G34" s="58">
        <f>+'Scheda Inv'!H25</f>
        <v>0</v>
      </c>
      <c r="H34" s="58">
        <f>+'Scheda Inv'!I25</f>
        <v>0</v>
      </c>
      <c r="I34" s="58">
        <f>+'Scheda Inv'!J25</f>
        <v>0</v>
      </c>
      <c r="J34" s="58">
        <f>+'Scheda Inv'!K25</f>
        <v>0</v>
      </c>
      <c r="K34" s="58">
        <f>+'Scheda Inv'!L25</f>
        <v>0</v>
      </c>
      <c r="L34" s="58">
        <f>+'Scheda Inv'!M25</f>
        <v>0</v>
      </c>
      <c r="M34" s="58">
        <f>+'Scheda Inv'!N25</f>
        <v>0</v>
      </c>
      <c r="N34" s="58">
        <f>+'Scheda Inv'!O25</f>
        <v>0</v>
      </c>
    </row>
    <row r="35" spans="2:14" x14ac:dyDescent="0.3">
      <c r="B35" s="59" t="str">
        <f t="shared" si="23"/>
        <v>Altri beni</v>
      </c>
      <c r="C35" s="58">
        <f>+'Scheda Inv'!D26</f>
        <v>0</v>
      </c>
      <c r="D35" s="58">
        <f>+'Scheda Inv'!E26</f>
        <v>0</v>
      </c>
      <c r="E35" s="58">
        <f>+'Scheda Inv'!F26</f>
        <v>0</v>
      </c>
      <c r="F35" s="58">
        <f>+'Scheda Inv'!G26</f>
        <v>0</v>
      </c>
      <c r="G35" s="58">
        <f>+'Scheda Inv'!H26</f>
        <v>0</v>
      </c>
      <c r="H35" s="58">
        <f>+'Scheda Inv'!I26</f>
        <v>0</v>
      </c>
      <c r="I35" s="58">
        <f>+'Scheda Inv'!J26</f>
        <v>0</v>
      </c>
      <c r="J35" s="58">
        <f>+'Scheda Inv'!K26</f>
        <v>0</v>
      </c>
      <c r="K35" s="58">
        <f>+'Scheda Inv'!L26</f>
        <v>0</v>
      </c>
      <c r="L35" s="58">
        <f>+'Scheda Inv'!M26</f>
        <v>0</v>
      </c>
      <c r="M35" s="58">
        <f>+'Scheda Inv'!N26</f>
        <v>0</v>
      </c>
      <c r="N35" s="58">
        <f>+'Scheda Inv'!O26</f>
        <v>0</v>
      </c>
    </row>
    <row r="55" spans="2:14" x14ac:dyDescent="0.3">
      <c r="B55" t="s">
        <v>671</v>
      </c>
      <c r="C55" s="201">
        <f t="shared" ref="C55:L55" si="24">+C3</f>
        <v>43159</v>
      </c>
      <c r="D55" s="201">
        <f t="shared" si="24"/>
        <v>43190</v>
      </c>
      <c r="E55" s="201">
        <f t="shared" si="24"/>
        <v>43220</v>
      </c>
      <c r="F55" s="201">
        <f t="shared" si="24"/>
        <v>43251</v>
      </c>
      <c r="G55" s="201">
        <f t="shared" si="24"/>
        <v>43281</v>
      </c>
      <c r="H55" s="201">
        <f t="shared" si="24"/>
        <v>43312</v>
      </c>
      <c r="I55" s="201">
        <f t="shared" si="24"/>
        <v>43343</v>
      </c>
      <c r="J55" s="201">
        <f t="shared" si="24"/>
        <v>43373</v>
      </c>
      <c r="K55" s="201">
        <f t="shared" si="24"/>
        <v>43404</v>
      </c>
      <c r="L55" s="201">
        <f t="shared" si="24"/>
        <v>43434</v>
      </c>
      <c r="M55" s="201">
        <f t="shared" ref="M55:N55" si="25">+M3</f>
        <v>43465</v>
      </c>
      <c r="N55" s="201">
        <f t="shared" si="25"/>
        <v>43496</v>
      </c>
    </row>
    <row r="56" spans="2:14" x14ac:dyDescent="0.3">
      <c r="B56" t="s">
        <v>672</v>
      </c>
      <c r="C56" s="58">
        <f>+'CE Previsionale'!C5+'CE Previsionale'!C6</f>
        <v>130000</v>
      </c>
      <c r="D56" s="58">
        <f>+'CE Previsionale'!D5+'CE Previsionale'!D6</f>
        <v>130000</v>
      </c>
      <c r="E56" s="58">
        <f>+'CE Previsionale'!E5+'CE Previsionale'!E6</f>
        <v>130000</v>
      </c>
      <c r="F56" s="58">
        <f>+'CE Previsionale'!F5+'CE Previsionale'!F6</f>
        <v>130000</v>
      </c>
      <c r="G56" s="58">
        <f>+'CE Previsionale'!G5+'CE Previsionale'!G6</f>
        <v>130000</v>
      </c>
      <c r="H56" s="58">
        <f>+'CE Previsionale'!H5+'CE Previsionale'!H6</f>
        <v>130000</v>
      </c>
      <c r="I56" s="58">
        <f>+'CE Previsionale'!I5+'CE Previsionale'!I6</f>
        <v>130000</v>
      </c>
      <c r="J56" s="58">
        <f>+'CE Previsionale'!J5+'CE Previsionale'!J6</f>
        <v>130000</v>
      </c>
      <c r="K56" s="58">
        <f>+'CE Previsionale'!K5+'CE Previsionale'!K6</f>
        <v>130000</v>
      </c>
      <c r="L56" s="58">
        <f>+'CE Previsionale'!L5+'CE Previsionale'!L6</f>
        <v>130000</v>
      </c>
      <c r="M56" s="58">
        <f>+'CE Previsionale'!M5+'CE Previsionale'!M6</f>
        <v>130000</v>
      </c>
      <c r="N56" s="58">
        <f>+'CE Previsionale'!N5+'CE Previsionale'!N6</f>
        <v>130000</v>
      </c>
    </row>
    <row r="57" spans="2:14" x14ac:dyDescent="0.3">
      <c r="B57" t="s">
        <v>673</v>
      </c>
      <c r="C57" s="58">
        <f>+C56*'Input Previsionale'!$E$2</f>
        <v>28600</v>
      </c>
      <c r="D57" s="58">
        <f>+D56*'Input Previsionale'!$E$2</f>
        <v>28600</v>
      </c>
      <c r="E57" s="58">
        <f>+E56*'Input Previsionale'!$E$2</f>
        <v>28600</v>
      </c>
      <c r="F57" s="58">
        <f>+F56*'Input Previsionale'!$E$2</f>
        <v>28600</v>
      </c>
      <c r="G57" s="58">
        <f>+G56*'Input Previsionale'!$E$2</f>
        <v>28600</v>
      </c>
      <c r="H57" s="58">
        <f>+H56*'Input Previsionale'!$E$2</f>
        <v>28600</v>
      </c>
      <c r="I57" s="58">
        <f>+I56*'Input Previsionale'!$E$2</f>
        <v>28600</v>
      </c>
      <c r="J57" s="58">
        <f>+J56*'Input Previsionale'!$E$2</f>
        <v>28600</v>
      </c>
      <c r="K57" s="58">
        <f>+K56*'Input Previsionale'!$E$2</f>
        <v>28600</v>
      </c>
      <c r="L57" s="58">
        <f>+L56*'Input Previsionale'!$E$2</f>
        <v>28600</v>
      </c>
      <c r="M57" s="58">
        <f>+M56*'Input Previsionale'!$E$2</f>
        <v>28600</v>
      </c>
      <c r="N57" s="58">
        <f>+N56*'Input Previsionale'!$E$2</f>
        <v>28600</v>
      </c>
    </row>
    <row r="58" spans="2:14" x14ac:dyDescent="0.3">
      <c r="B58" t="s">
        <v>674</v>
      </c>
      <c r="C58" s="58">
        <f>+C56+C57-C59</f>
        <v>0</v>
      </c>
      <c r="D58" s="58">
        <f>+D56+D57-D59+C58</f>
        <v>0</v>
      </c>
      <c r="E58" s="58">
        <f>+E56+E57-E59+D58</f>
        <v>0</v>
      </c>
      <c r="F58" s="58">
        <f t="shared" ref="F58:N58" si="26">+F56+F57-F59+E58</f>
        <v>0</v>
      </c>
      <c r="G58" s="58">
        <f t="shared" si="26"/>
        <v>0</v>
      </c>
      <c r="H58" s="58">
        <f t="shared" si="26"/>
        <v>0</v>
      </c>
      <c r="I58" s="58">
        <f t="shared" si="26"/>
        <v>0</v>
      </c>
      <c r="J58" s="58">
        <f t="shared" si="26"/>
        <v>0</v>
      </c>
      <c r="K58" s="58">
        <f t="shared" si="26"/>
        <v>0</v>
      </c>
      <c r="L58" s="58">
        <f t="shared" si="26"/>
        <v>0</v>
      </c>
      <c r="M58" s="58">
        <f t="shared" si="26"/>
        <v>0</v>
      </c>
      <c r="N58" s="58">
        <f t="shared" si="26"/>
        <v>0</v>
      </c>
    </row>
    <row r="59" spans="2:14" x14ac:dyDescent="0.3">
      <c r="B59" t="s">
        <v>675</v>
      </c>
      <c r="C59" s="58">
        <f>+IF('Input Previsionale'!$D$9=0,Calcoli!C56+Calcoli!C57,0)</f>
        <v>158600</v>
      </c>
      <c r="D59" s="58">
        <f>+IF('Input Previsionale'!$D$9=0,Calcoli!D56+Calcoli!D57,+IF('Input Previsionale'!$D$9=30,Calcoli!C56+Calcoli!C57,0))</f>
        <v>158600</v>
      </c>
      <c r="E59" s="58">
        <f>+IF('Input Previsionale'!$D$9=0,Calcoli!E56+Calcoli!E57,+IF('Input Previsionale'!$D$9=30,Calcoli!D56+Calcoli!D57,+IF('Input Previsionale'!$D$9=60,Calcoli!C56+Calcoli!C57,0)))</f>
        <v>158600</v>
      </c>
      <c r="F59" s="58">
        <f>+IF('Input Previsionale'!$D$9=0,Calcoli!F56+Calcoli!F57,+IF('Input Previsionale'!$D$9=30,Calcoli!E56+Calcoli!E57,+IF('Input Previsionale'!$D$9=60,Calcoli!D56+Calcoli!D57,C56+C57)))</f>
        <v>158600</v>
      </c>
      <c r="G59" s="58">
        <f>+IF('Input Previsionale'!$D$9=0,Calcoli!G56+Calcoli!G57,+IF('Input Previsionale'!$D$9=30,Calcoli!F56+Calcoli!F57,+IF('Input Previsionale'!$D$9=60,Calcoli!E56+Calcoli!E57,D56+D57)))</f>
        <v>158600</v>
      </c>
      <c r="H59" s="58">
        <f>+IF('Input Previsionale'!$D$9=0,Calcoli!H56+Calcoli!H57,+IF('Input Previsionale'!$D$9=30,Calcoli!G56+Calcoli!G57,+IF('Input Previsionale'!$D$9=60,Calcoli!F56+Calcoli!F57,E56+E57)))</f>
        <v>158600</v>
      </c>
      <c r="I59" s="58">
        <f>+IF('Input Previsionale'!$D$9=0,Calcoli!I56+Calcoli!I57,+IF('Input Previsionale'!$D$9=30,Calcoli!H56+Calcoli!H57,+IF('Input Previsionale'!$D$9=60,Calcoli!G56+Calcoli!G57,F56+F57)))</f>
        <v>158600</v>
      </c>
      <c r="J59" s="58">
        <f>+IF('Input Previsionale'!$D$9=0,Calcoli!J56+Calcoli!J57,+IF('Input Previsionale'!$D$9=30,Calcoli!I56+Calcoli!I57,+IF('Input Previsionale'!$D$9=60,Calcoli!H56+Calcoli!H57,G56+G57)))</f>
        <v>158600</v>
      </c>
      <c r="K59" s="58">
        <f>+IF('Input Previsionale'!$D$9=0,Calcoli!K56+Calcoli!K57,+IF('Input Previsionale'!$D$9=30,Calcoli!J56+Calcoli!J57,+IF('Input Previsionale'!$D$9=60,Calcoli!I56+Calcoli!I57,H56+H57)))</f>
        <v>158600</v>
      </c>
      <c r="L59" s="58">
        <f>+IF('Input Previsionale'!$D$9=0,Calcoli!L56+Calcoli!L57,+IF('Input Previsionale'!$D$9=30,Calcoli!K56+Calcoli!K57,+IF('Input Previsionale'!$D$9=60,Calcoli!J56+Calcoli!J57,I56+I57)))</f>
        <v>158600</v>
      </c>
      <c r="M59" s="58">
        <f>+IF('Input Previsionale'!$D$9=0,Calcoli!M56+Calcoli!M57,+IF('Input Previsionale'!$D$9=30,Calcoli!L56+Calcoli!L57,+IF('Input Previsionale'!$D$9=60,Calcoli!K56+Calcoli!K57,J56+J57)))</f>
        <v>158600</v>
      </c>
      <c r="N59" s="58">
        <f>+IF('Input Previsionale'!$D$9=0,Calcoli!N56+Calcoli!N57,+IF('Input Previsionale'!$D$9=30,Calcoli!M56+Calcoli!M57,+IF('Input Previsionale'!$D$9=60,Calcoli!L56+Calcoli!L57,K56+K57)))</f>
        <v>158600</v>
      </c>
    </row>
    <row r="60" spans="2:14" x14ac:dyDescent="0.3">
      <c r="D60" s="49"/>
      <c r="E60" s="49"/>
    </row>
    <row r="61" spans="2:14" ht="15.6" customHeight="1" x14ac:dyDescent="0.3">
      <c r="B61" t="s">
        <v>676</v>
      </c>
      <c r="C61" s="49">
        <f>+C56+C57-C58-C59</f>
        <v>0</v>
      </c>
      <c r="D61" s="49">
        <f>+D56+D57-(D59+D58-C58)</f>
        <v>0</v>
      </c>
      <c r="E61" s="49">
        <f t="shared" ref="E61:L61" si="27">+E56+E57-(E59+E58-D58)</f>
        <v>0</v>
      </c>
      <c r="F61" s="49">
        <f t="shared" si="27"/>
        <v>0</v>
      </c>
      <c r="G61" s="49">
        <f t="shared" si="27"/>
        <v>0</v>
      </c>
      <c r="H61" s="49">
        <f t="shared" si="27"/>
        <v>0</v>
      </c>
      <c r="I61" s="49">
        <f t="shared" si="27"/>
        <v>0</v>
      </c>
      <c r="J61" s="49">
        <f t="shared" si="27"/>
        <v>0</v>
      </c>
      <c r="K61" s="49">
        <f t="shared" si="27"/>
        <v>0</v>
      </c>
      <c r="L61" s="49">
        <f t="shared" si="27"/>
        <v>0</v>
      </c>
      <c r="M61" s="49">
        <f t="shared" ref="M61" si="28">+M56+M57-(M59+M58-L58)</f>
        <v>0</v>
      </c>
      <c r="N61" s="49">
        <f t="shared" ref="N61" si="29">+N56+N57-(N59+N58-M58)</f>
        <v>0</v>
      </c>
    </row>
    <row r="64" spans="2:14" x14ac:dyDescent="0.3">
      <c r="B64" s="2" t="s">
        <v>677</v>
      </c>
      <c r="C64" s="201">
        <f>+C3</f>
        <v>43159</v>
      </c>
      <c r="D64" s="201">
        <f t="shared" ref="D64:L64" si="30">+D3</f>
        <v>43190</v>
      </c>
      <c r="E64" s="201">
        <f t="shared" si="30"/>
        <v>43220</v>
      </c>
      <c r="F64" s="201">
        <f t="shared" si="30"/>
        <v>43251</v>
      </c>
      <c r="G64" s="201">
        <f t="shared" si="30"/>
        <v>43281</v>
      </c>
      <c r="H64" s="201">
        <f t="shared" si="30"/>
        <v>43312</v>
      </c>
      <c r="I64" s="201">
        <f t="shared" si="30"/>
        <v>43343</v>
      </c>
      <c r="J64" s="201">
        <f t="shared" si="30"/>
        <v>43373</v>
      </c>
      <c r="K64" s="201">
        <f t="shared" si="30"/>
        <v>43404</v>
      </c>
      <c r="L64" s="201">
        <f t="shared" si="30"/>
        <v>43434</v>
      </c>
      <c r="M64" s="201">
        <f t="shared" ref="M64:N64" si="31">+M3</f>
        <v>43465</v>
      </c>
      <c r="N64" s="201">
        <f t="shared" si="31"/>
        <v>43496</v>
      </c>
    </row>
    <row r="65" spans="2:14" x14ac:dyDescent="0.3">
      <c r="B65" t="s">
        <v>678</v>
      </c>
      <c r="C65" s="58">
        <f>+'CE Previsionale'!C11</f>
        <v>81047.450000000012</v>
      </c>
      <c r="D65" s="58">
        <f>+'CE Previsionale'!D11</f>
        <v>71500</v>
      </c>
      <c r="E65" s="58">
        <f>+'CE Previsionale'!E11</f>
        <v>71500</v>
      </c>
      <c r="F65" s="58">
        <f>+'CE Previsionale'!F11</f>
        <v>71500</v>
      </c>
      <c r="G65" s="58">
        <f>+'CE Previsionale'!G11</f>
        <v>71500</v>
      </c>
      <c r="H65" s="58">
        <f>+'CE Previsionale'!H11</f>
        <v>71500</v>
      </c>
      <c r="I65" s="58">
        <f>+'CE Previsionale'!I11</f>
        <v>71500</v>
      </c>
      <c r="J65" s="58">
        <f>+'CE Previsionale'!J11</f>
        <v>71500</v>
      </c>
      <c r="K65" s="58">
        <f>+'CE Previsionale'!K11</f>
        <v>71500</v>
      </c>
      <c r="L65" s="58">
        <f>+'CE Previsionale'!L11</f>
        <v>71500</v>
      </c>
      <c r="M65" s="58">
        <f>+'CE Previsionale'!M11</f>
        <v>71500</v>
      </c>
      <c r="N65" s="58">
        <f>+'CE Previsionale'!N11</f>
        <v>71500</v>
      </c>
    </row>
    <row r="66" spans="2:14" x14ac:dyDescent="0.3">
      <c r="B66" t="s">
        <v>679</v>
      </c>
      <c r="C66" s="58">
        <f>+C65*'Input Previsionale'!$E$3</f>
        <v>17830.439000000002</v>
      </c>
      <c r="D66" s="58">
        <f>+D65*'Input Previsionale'!$E$3</f>
        <v>15730</v>
      </c>
      <c r="E66" s="58">
        <f>+E65*'Input Previsionale'!$E$3</f>
        <v>15730</v>
      </c>
      <c r="F66" s="58">
        <f>+F65*'Input Previsionale'!$E$3</f>
        <v>15730</v>
      </c>
      <c r="G66" s="58">
        <f>+G65*'Input Previsionale'!$E$3</f>
        <v>15730</v>
      </c>
      <c r="H66" s="58">
        <f>+H65*'Input Previsionale'!$E$3</f>
        <v>15730</v>
      </c>
      <c r="I66" s="58">
        <f>+I65*'Input Previsionale'!$E$3</f>
        <v>15730</v>
      </c>
      <c r="J66" s="58">
        <f>+J65*'Input Previsionale'!$E$3</f>
        <v>15730</v>
      </c>
      <c r="K66" s="58">
        <f>+K65*'Input Previsionale'!$E$3</f>
        <v>15730</v>
      </c>
      <c r="L66" s="58">
        <f>+L65*'Input Previsionale'!$E$3</f>
        <v>15730</v>
      </c>
      <c r="M66" s="58">
        <f>+M65*'Input Previsionale'!$E$3</f>
        <v>15730</v>
      </c>
      <c r="N66" s="58">
        <f>+N65*'Input Previsionale'!$E$3</f>
        <v>15730</v>
      </c>
    </row>
    <row r="67" spans="2:14" x14ac:dyDescent="0.3">
      <c r="B67" t="s">
        <v>680</v>
      </c>
      <c r="C67" s="58">
        <f>+C65+C66-C68</f>
        <v>98877.88900000001</v>
      </c>
      <c r="D67" s="58">
        <f>+D65+D66-D68+C67</f>
        <v>186107.88900000002</v>
      </c>
      <c r="E67" s="58">
        <f>+E65+E66-E68+D67</f>
        <v>273337.88900000002</v>
      </c>
      <c r="F67" s="58">
        <f t="shared" ref="F67" si="32">+F65+F66-F68+E67</f>
        <v>261690</v>
      </c>
      <c r="G67" s="58">
        <f t="shared" ref="G67" si="33">+G65+G66-G68+F67</f>
        <v>261690</v>
      </c>
      <c r="H67" s="58">
        <f t="shared" ref="H67" si="34">+H65+H66-H68+G67</f>
        <v>261690</v>
      </c>
      <c r="I67" s="58">
        <f t="shared" ref="I67" si="35">+I65+I66-I68+H67</f>
        <v>261690</v>
      </c>
      <c r="J67" s="58">
        <f t="shared" ref="J67" si="36">+J65+J66-J68+I67</f>
        <v>261690</v>
      </c>
      <c r="K67" s="58">
        <f t="shared" ref="K67" si="37">+K65+K66-K68+J67</f>
        <v>261690</v>
      </c>
      <c r="L67" s="58">
        <f t="shared" ref="L67" si="38">+L65+L66-L68+K67</f>
        <v>261690</v>
      </c>
      <c r="M67" s="58">
        <f t="shared" ref="M67" si="39">+M65+M66-M68+L67</f>
        <v>261690</v>
      </c>
      <c r="N67" s="58">
        <f t="shared" ref="N67" si="40">+N65+N66-N68+M67</f>
        <v>261690</v>
      </c>
    </row>
    <row r="68" spans="2:14" x14ac:dyDescent="0.3">
      <c r="B68" t="s">
        <v>681</v>
      </c>
      <c r="C68" s="58">
        <f>+IF('Input Previsionale'!$D$14=0,Calcoli!C65+Calcoli!C66,0)</f>
        <v>0</v>
      </c>
      <c r="D68" s="58">
        <f>+IF('Input Previsionale'!$D$14=0,Calcoli!D65+Calcoli!D66,+IF('Input Previsionale'!$D$14=30,Calcoli!C65+Calcoli!C66,0))</f>
        <v>0</v>
      </c>
      <c r="E68" s="58">
        <f>+IF('Input Previsionale'!$D$14=0,Calcoli!E65+Calcoli!E66,+IF('Input Previsionale'!$D$14=30,Calcoli!D65+Calcoli!D66,+IF('Input Previsionale'!$D$14=60,Calcoli!C65+Calcoli!C66,0)))</f>
        <v>0</v>
      </c>
      <c r="F68" s="58">
        <f>+IF('Input Previsionale'!$D$14=0,Calcoli!F65+Calcoli!F66,+IF('Input Previsionale'!$D$14=30,Calcoli!E65+Calcoli!E66,+IF('Input Previsionale'!$D$14=60,Calcoli!D65+Calcoli!D66,C65+C66)))</f>
        <v>98877.88900000001</v>
      </c>
      <c r="G68" s="58">
        <f>+IF('Input Previsionale'!$D$14=0,Calcoli!G65+Calcoli!G66,+IF('Input Previsionale'!$D$14=30,Calcoli!F65+Calcoli!F66,+IF('Input Previsionale'!$D$14=60,Calcoli!E65+Calcoli!E66,D65+D66)))</f>
        <v>87230</v>
      </c>
      <c r="H68" s="58">
        <f>+IF('Input Previsionale'!$D$14=0,Calcoli!H65+Calcoli!H66,+IF('Input Previsionale'!$D$14=30,Calcoli!G65+Calcoli!G66,+IF('Input Previsionale'!$D$14=60,Calcoli!F65+Calcoli!F66,E65+E66)))</f>
        <v>87230</v>
      </c>
      <c r="I68" s="58">
        <f>+IF('Input Previsionale'!$D$14=0,Calcoli!I65+Calcoli!I66,+IF('Input Previsionale'!$D$14=30,Calcoli!H65+Calcoli!H66,+IF('Input Previsionale'!$D$14=60,Calcoli!G65+Calcoli!G66,F65+F66)))</f>
        <v>87230</v>
      </c>
      <c r="J68" s="58">
        <f>+IF('Input Previsionale'!$D$14=0,Calcoli!J65+Calcoli!J66,+IF('Input Previsionale'!$D$14=30,Calcoli!I65+Calcoli!I66,+IF('Input Previsionale'!$D$14=60,Calcoli!H65+Calcoli!H66,G65+G66)))</f>
        <v>87230</v>
      </c>
      <c r="K68" s="58">
        <f>+IF('Input Previsionale'!$D$14=0,Calcoli!K65+Calcoli!K66,+IF('Input Previsionale'!$D$14=30,Calcoli!J65+Calcoli!J66,+IF('Input Previsionale'!$D$14=60,Calcoli!I65+Calcoli!I66,H65+H66)))</f>
        <v>87230</v>
      </c>
      <c r="L68" s="58">
        <f>+IF('Input Previsionale'!$D$14=0,Calcoli!L65+Calcoli!L66,+IF('Input Previsionale'!$D$14=30,Calcoli!K65+Calcoli!K66,+IF('Input Previsionale'!$D$14=60,Calcoli!J65+Calcoli!J66,I65+I66)))</f>
        <v>87230</v>
      </c>
      <c r="M68" s="58">
        <f>+IF('Input Previsionale'!$D$14=0,Calcoli!M65+Calcoli!M66,+IF('Input Previsionale'!$D$14=30,Calcoli!L65+Calcoli!L66,+IF('Input Previsionale'!$D$14=60,Calcoli!K65+Calcoli!K66,J65+J66)))</f>
        <v>87230</v>
      </c>
      <c r="N68" s="58">
        <f>+IF('Input Previsionale'!$D$14=0,Calcoli!N65+Calcoli!N66,+IF('Input Previsionale'!$D$14=30,Calcoli!M65+Calcoli!M66,+IF('Input Previsionale'!$D$14=60,Calcoli!L65+Calcoli!L66,K65+K66)))</f>
        <v>87230</v>
      </c>
    </row>
    <row r="69" spans="2:14" x14ac:dyDescent="0.3">
      <c r="D69" s="49"/>
      <c r="E69" s="49"/>
    </row>
    <row r="70" spans="2:14" x14ac:dyDescent="0.3">
      <c r="B70" t="s">
        <v>676</v>
      </c>
      <c r="C70" s="49">
        <f>+C65+C66-C67-C68</f>
        <v>0</v>
      </c>
      <c r="D70" s="49">
        <f>+D65+D66-(D68+D67-C67)</f>
        <v>0</v>
      </c>
      <c r="E70" s="49">
        <f t="shared" ref="E70:L70" si="41">+E65+E66-(E68+E67-D67)</f>
        <v>0</v>
      </c>
      <c r="F70" s="49">
        <f t="shared" si="41"/>
        <v>0</v>
      </c>
      <c r="G70" s="49">
        <f t="shared" si="41"/>
        <v>0</v>
      </c>
      <c r="H70" s="49">
        <f t="shared" si="41"/>
        <v>0</v>
      </c>
      <c r="I70" s="49">
        <f t="shared" si="41"/>
        <v>0</v>
      </c>
      <c r="J70" s="49">
        <f t="shared" si="41"/>
        <v>0</v>
      </c>
      <c r="K70" s="49">
        <f t="shared" si="41"/>
        <v>0</v>
      </c>
      <c r="L70" s="49">
        <f t="shared" si="41"/>
        <v>0</v>
      </c>
      <c r="M70" s="49">
        <f t="shared" ref="M70" si="42">+M65+M66-(M68+M67-L67)</f>
        <v>0</v>
      </c>
      <c r="N70" s="49">
        <f t="shared" ref="N70" si="43">+N65+N66-(N68+N67-M67)</f>
        <v>0</v>
      </c>
    </row>
    <row r="73" spans="2:14" x14ac:dyDescent="0.3">
      <c r="B73" s="2" t="s">
        <v>682</v>
      </c>
      <c r="C73" s="201">
        <f>+C3</f>
        <v>43159</v>
      </c>
      <c r="D73" s="201">
        <f t="shared" ref="D73:L73" si="44">+D3</f>
        <v>43190</v>
      </c>
      <c r="E73" s="201">
        <f t="shared" si="44"/>
        <v>43220</v>
      </c>
      <c r="F73" s="201">
        <f t="shared" si="44"/>
        <v>43251</v>
      </c>
      <c r="G73" s="201">
        <f t="shared" si="44"/>
        <v>43281</v>
      </c>
      <c r="H73" s="201">
        <f t="shared" si="44"/>
        <v>43312</v>
      </c>
      <c r="I73" s="201">
        <f t="shared" si="44"/>
        <v>43343</v>
      </c>
      <c r="J73" s="201">
        <f t="shared" si="44"/>
        <v>43373</v>
      </c>
      <c r="K73" s="201">
        <f t="shared" si="44"/>
        <v>43404</v>
      </c>
      <c r="L73" s="201">
        <f t="shared" si="44"/>
        <v>43434</v>
      </c>
      <c r="M73" s="201">
        <f t="shared" ref="M73:N73" si="45">+M3</f>
        <v>43465</v>
      </c>
      <c r="N73" s="201">
        <f t="shared" si="45"/>
        <v>43496</v>
      </c>
    </row>
    <row r="74" spans="2:14" x14ac:dyDescent="0.3">
      <c r="B74" t="s">
        <v>682</v>
      </c>
      <c r="C74" s="58">
        <f>+'CE Previsionale'!C17+'CE Previsionale'!C18</f>
        <v>6000</v>
      </c>
      <c r="D74" s="58">
        <f>+'CE Previsionale'!D17+'CE Previsionale'!D18</f>
        <v>6000</v>
      </c>
      <c r="E74" s="58">
        <f>+'CE Previsionale'!E17+'CE Previsionale'!E18</f>
        <v>6000</v>
      </c>
      <c r="F74" s="58">
        <f>+'CE Previsionale'!F17+'CE Previsionale'!F18</f>
        <v>6000</v>
      </c>
      <c r="G74" s="58">
        <f>+'CE Previsionale'!G17+'CE Previsionale'!G18</f>
        <v>6000</v>
      </c>
      <c r="H74" s="58">
        <f>+'CE Previsionale'!H17+'CE Previsionale'!H18</f>
        <v>6000</v>
      </c>
      <c r="I74" s="58">
        <f>+'CE Previsionale'!I17+'CE Previsionale'!I18</f>
        <v>6000</v>
      </c>
      <c r="J74" s="58">
        <f>+'CE Previsionale'!J17+'CE Previsionale'!J18</f>
        <v>6000</v>
      </c>
      <c r="K74" s="58">
        <f>+'CE Previsionale'!K17+'CE Previsionale'!K18</f>
        <v>6000</v>
      </c>
      <c r="L74" s="58">
        <f>+'CE Previsionale'!L17+'CE Previsionale'!L18</f>
        <v>6000</v>
      </c>
      <c r="M74" s="58">
        <f>+'CE Previsionale'!M17+'CE Previsionale'!M18</f>
        <v>6000</v>
      </c>
      <c r="N74" s="58">
        <f>+'CE Previsionale'!N17+'CE Previsionale'!N18</f>
        <v>6000</v>
      </c>
    </row>
    <row r="75" spans="2:14" x14ac:dyDescent="0.3">
      <c r="B75" t="s">
        <v>679</v>
      </c>
      <c r="C75" s="58">
        <f>+C74*'Input Previsionale'!$E$3</f>
        <v>1320</v>
      </c>
      <c r="D75" s="58">
        <f>+D74*'Input Previsionale'!$E$3</f>
        <v>1320</v>
      </c>
      <c r="E75" s="58">
        <f>+E74*'Input Previsionale'!$E$3</f>
        <v>1320</v>
      </c>
      <c r="F75" s="58">
        <f>+F74*'Input Previsionale'!$E$3</f>
        <v>1320</v>
      </c>
      <c r="G75" s="58">
        <f>+G74*'Input Previsionale'!$E$3</f>
        <v>1320</v>
      </c>
      <c r="H75" s="58">
        <f>+H74*'Input Previsionale'!$E$3</f>
        <v>1320</v>
      </c>
      <c r="I75" s="58">
        <f>+I74*'Input Previsionale'!$E$3</f>
        <v>1320</v>
      </c>
      <c r="J75" s="58">
        <f>+J74*'Input Previsionale'!$E$3</f>
        <v>1320</v>
      </c>
      <c r="K75" s="58">
        <f>+K74*'Input Previsionale'!$E$3</f>
        <v>1320</v>
      </c>
      <c r="L75" s="58">
        <f>+L74*'Input Previsionale'!$E$3</f>
        <v>1320</v>
      </c>
      <c r="M75" s="58">
        <f>+M74*'Input Previsionale'!$E$3</f>
        <v>1320</v>
      </c>
      <c r="N75" s="58">
        <f>+N74*'Input Previsionale'!$E$3</f>
        <v>1320</v>
      </c>
    </row>
    <row r="76" spans="2:14" x14ac:dyDescent="0.3">
      <c r="B76" t="s">
        <v>680</v>
      </c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</row>
    <row r="77" spans="2:14" x14ac:dyDescent="0.3">
      <c r="B77" t="s">
        <v>681</v>
      </c>
      <c r="C77" s="49">
        <f>+C74+C75-C76</f>
        <v>7320</v>
      </c>
      <c r="D77" s="49">
        <f>+D74+D75+C76-D76</f>
        <v>7320</v>
      </c>
      <c r="E77" s="49">
        <f t="shared" ref="E77" si="46">+E74+E75+D76-E76</f>
        <v>7320</v>
      </c>
      <c r="F77" s="49">
        <f t="shared" ref="F77" si="47">+F74+F75+E76-F76</f>
        <v>7320</v>
      </c>
      <c r="G77" s="49">
        <f t="shared" ref="G77" si="48">+G74+G75+F76-G76</f>
        <v>7320</v>
      </c>
      <c r="H77" s="49">
        <f t="shared" ref="H77" si="49">+H74+H75+G76-H76</f>
        <v>7320</v>
      </c>
      <c r="I77" s="49">
        <f t="shared" ref="I77" si="50">+I74+I75+H76-I76</f>
        <v>7320</v>
      </c>
      <c r="J77" s="49">
        <f t="shared" ref="J77" si="51">+J74+J75+I76-J76</f>
        <v>7320</v>
      </c>
      <c r="K77" s="49">
        <f t="shared" ref="K77" si="52">+K74+K75+J76-K76</f>
        <v>7320</v>
      </c>
      <c r="L77" s="49">
        <f t="shared" ref="L77" si="53">+L74+L75+K76-L76</f>
        <v>7320</v>
      </c>
      <c r="M77" s="49">
        <f t="shared" ref="M77" si="54">+M74+M75+L76-M76</f>
        <v>7320</v>
      </c>
      <c r="N77" s="49">
        <f t="shared" ref="N77" si="55">+N74+N75+M76-N76</f>
        <v>7320</v>
      </c>
    </row>
    <row r="78" spans="2:14" x14ac:dyDescent="0.3">
      <c r="D78" s="49"/>
      <c r="E78" s="49"/>
    </row>
    <row r="79" spans="2:14" x14ac:dyDescent="0.3">
      <c r="B79" t="s">
        <v>676</v>
      </c>
      <c r="C79" s="49">
        <f>+C74+C75-C76-C77</f>
        <v>0</v>
      </c>
      <c r="D79" s="49">
        <f>+D74+D75-(D77+D76-C76)</f>
        <v>0</v>
      </c>
      <c r="E79" s="49">
        <f t="shared" ref="E79:L79" si="56">+E74+E75-(E77+E76-D76)</f>
        <v>0</v>
      </c>
      <c r="F79" s="49">
        <f t="shared" si="56"/>
        <v>0</v>
      </c>
      <c r="G79" s="49">
        <f t="shared" si="56"/>
        <v>0</v>
      </c>
      <c r="H79" s="49">
        <f t="shared" si="56"/>
        <v>0</v>
      </c>
      <c r="I79" s="49">
        <f t="shared" si="56"/>
        <v>0</v>
      </c>
      <c r="J79" s="49">
        <f t="shared" si="56"/>
        <v>0</v>
      </c>
      <c r="K79" s="49">
        <f t="shared" si="56"/>
        <v>0</v>
      </c>
      <c r="L79" s="49">
        <f t="shared" si="56"/>
        <v>0</v>
      </c>
      <c r="M79" s="49">
        <f t="shared" ref="M79" si="57">+M74+M75-(M77+M76-L76)</f>
        <v>0</v>
      </c>
      <c r="N79" s="49">
        <f t="shared" ref="N79" si="58">+N74+N75-(N77+N76-M76)</f>
        <v>0</v>
      </c>
    </row>
    <row r="80" spans="2:14" x14ac:dyDescent="0.3"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</row>
    <row r="81" spans="2:14" x14ac:dyDescent="0.3">
      <c r="B81" t="s">
        <v>683</v>
      </c>
      <c r="C81" s="49">
        <f>+'CE Previsionale'!C27</f>
        <v>20000</v>
      </c>
      <c r="D81" s="49">
        <f>+'CE Previsionale'!D27</f>
        <v>20000</v>
      </c>
      <c r="E81" s="49">
        <f>+'CE Previsionale'!E27</f>
        <v>20000</v>
      </c>
      <c r="F81" s="49">
        <f>+'CE Previsionale'!F27</f>
        <v>20000</v>
      </c>
      <c r="G81" s="49">
        <f>+'CE Previsionale'!G27</f>
        <v>20000</v>
      </c>
      <c r="H81" s="49">
        <f>+'CE Previsionale'!H27</f>
        <v>20000</v>
      </c>
      <c r="I81" s="49">
        <f>+'CE Previsionale'!I27</f>
        <v>20000</v>
      </c>
      <c r="J81" s="49">
        <f>+'CE Previsionale'!J27</f>
        <v>20000</v>
      </c>
      <c r="K81" s="49">
        <f>+'CE Previsionale'!K27</f>
        <v>20000</v>
      </c>
      <c r="L81" s="49">
        <f>+'CE Previsionale'!L27</f>
        <v>20000</v>
      </c>
      <c r="M81" s="49">
        <f>+'CE Previsionale'!M27</f>
        <v>20000</v>
      </c>
      <c r="N81" s="49">
        <f>+'CE Previsionale'!N27</f>
        <v>20000</v>
      </c>
    </row>
    <row r="82" spans="2:14" x14ac:dyDescent="0.3">
      <c r="B82" t="s">
        <v>684</v>
      </c>
      <c r="C82" s="49" t="e">
        <f>+'CE Previsionale'!#REF!</f>
        <v>#REF!</v>
      </c>
      <c r="D82" s="49">
        <f>+'CE Previsionale'!C28</f>
        <v>21500</v>
      </c>
      <c r="E82" s="49">
        <f>+'CE Previsionale'!D28</f>
        <v>21500</v>
      </c>
      <c r="F82" s="49">
        <f>+'CE Previsionale'!E28</f>
        <v>21500</v>
      </c>
      <c r="G82" s="49">
        <f>+'CE Previsionale'!F28</f>
        <v>21500</v>
      </c>
      <c r="H82" s="49">
        <f>+'CE Previsionale'!G28</f>
        <v>21500</v>
      </c>
      <c r="I82" s="49">
        <f>+'CE Previsionale'!H28</f>
        <v>21500</v>
      </c>
      <c r="J82" s="49">
        <f>+'CE Previsionale'!I28</f>
        <v>21500</v>
      </c>
      <c r="K82" s="49">
        <f>+'CE Previsionale'!J28</f>
        <v>21500</v>
      </c>
      <c r="L82" s="49">
        <f>+'CE Previsionale'!K28</f>
        <v>21500</v>
      </c>
      <c r="M82" s="49">
        <f>+'CE Previsionale'!L28</f>
        <v>21500</v>
      </c>
      <c r="N82" s="49">
        <f>+'CE Previsionale'!M28</f>
        <v>21500</v>
      </c>
    </row>
    <row r="83" spans="2:14" x14ac:dyDescent="0.3">
      <c r="B83" t="s">
        <v>681</v>
      </c>
      <c r="C83" s="49">
        <f>+C81</f>
        <v>20000</v>
      </c>
      <c r="D83" s="49">
        <f t="shared" ref="D83:L83" si="59">+D81</f>
        <v>20000</v>
      </c>
      <c r="E83" s="49">
        <f t="shared" si="59"/>
        <v>20000</v>
      </c>
      <c r="F83" s="49">
        <f t="shared" si="59"/>
        <v>20000</v>
      </c>
      <c r="G83" s="49">
        <f t="shared" si="59"/>
        <v>20000</v>
      </c>
      <c r="H83" s="49">
        <f t="shared" si="59"/>
        <v>20000</v>
      </c>
      <c r="I83" s="49">
        <f t="shared" si="59"/>
        <v>20000</v>
      </c>
      <c r="J83" s="49">
        <f t="shared" si="59"/>
        <v>20000</v>
      </c>
      <c r="K83" s="49">
        <f t="shared" si="59"/>
        <v>20000</v>
      </c>
      <c r="L83" s="49">
        <f t="shared" si="59"/>
        <v>20000</v>
      </c>
      <c r="M83" s="49">
        <f t="shared" ref="M83:N83" si="60">+M81</f>
        <v>20000</v>
      </c>
      <c r="N83" s="49">
        <f t="shared" si="60"/>
        <v>20000</v>
      </c>
    </row>
    <row r="84" spans="2:14" x14ac:dyDescent="0.3">
      <c r="C84" s="49"/>
      <c r="D84" s="49"/>
      <c r="E84" s="49"/>
      <c r="F84" s="49"/>
      <c r="G84" s="49"/>
      <c r="H84" s="49"/>
      <c r="I84" s="49"/>
      <c r="J84" s="49"/>
      <c r="K84" s="49"/>
      <c r="L84" s="49"/>
    </row>
    <row r="91" spans="2:14" x14ac:dyDescent="0.3">
      <c r="B91" t="s">
        <v>685</v>
      </c>
      <c r="C91" s="201">
        <f>+C55</f>
        <v>43159</v>
      </c>
      <c r="D91" s="201">
        <f t="shared" ref="D91:N91" si="61">+D55</f>
        <v>43190</v>
      </c>
      <c r="E91" s="201">
        <f t="shared" si="61"/>
        <v>43220</v>
      </c>
      <c r="F91" s="201">
        <f t="shared" si="61"/>
        <v>43251</v>
      </c>
      <c r="G91" s="201">
        <f t="shared" si="61"/>
        <v>43281</v>
      </c>
      <c r="H91" s="201">
        <f t="shared" si="61"/>
        <v>43312</v>
      </c>
      <c r="I91" s="201">
        <f t="shared" si="61"/>
        <v>43343</v>
      </c>
      <c r="J91" s="201">
        <f t="shared" si="61"/>
        <v>43373</v>
      </c>
      <c r="K91" s="201">
        <f t="shared" si="61"/>
        <v>43404</v>
      </c>
      <c r="L91" s="201">
        <f t="shared" si="61"/>
        <v>43434</v>
      </c>
      <c r="M91" s="201">
        <f t="shared" si="61"/>
        <v>43465</v>
      </c>
      <c r="N91" s="201">
        <f t="shared" si="61"/>
        <v>43496</v>
      </c>
    </row>
    <row r="92" spans="2:14" x14ac:dyDescent="0.3">
      <c r="C92" s="48"/>
      <c r="D92" s="48"/>
      <c r="E92" s="48"/>
      <c r="F92" s="48"/>
      <c r="G92" s="48"/>
      <c r="H92" s="48"/>
      <c r="I92" s="48"/>
      <c r="J92" s="48"/>
      <c r="K92" s="48"/>
      <c r="L92" s="48"/>
    </row>
    <row r="93" spans="2:14" x14ac:dyDescent="0.3">
      <c r="B93" t="s">
        <v>675</v>
      </c>
      <c r="C93" s="58">
        <f>+C59+'Scheda Crediti'!E6+'Scheda Crediti'!E7+'Scheda Crediti'!E8+'Scheda Crediti'!E9</f>
        <v>219192</v>
      </c>
      <c r="D93" s="58">
        <f>+D59+'Scheda Crediti'!F6+'Scheda Crediti'!F7+'Scheda Crediti'!F8+'Scheda Crediti'!F9</f>
        <v>158600</v>
      </c>
      <c r="E93" s="58">
        <f>+E59+'Scheda Crediti'!G6+'Scheda Crediti'!G7+'Scheda Crediti'!G8+'Scheda Crediti'!G9</f>
        <v>158600</v>
      </c>
      <c r="F93" s="58">
        <f>+F59+'Scheda Crediti'!H6+'Scheda Crediti'!H7+'Scheda Crediti'!H8+'Scheda Crediti'!H9</f>
        <v>158600</v>
      </c>
      <c r="G93" s="58">
        <f>+G59+'Scheda Crediti'!I6+'Scheda Crediti'!I7+'Scheda Crediti'!I8+'Scheda Crediti'!I9</f>
        <v>158600</v>
      </c>
      <c r="H93" s="58">
        <f>+H59+'Scheda Crediti'!J6+'Scheda Crediti'!J7+'Scheda Crediti'!J8+'Scheda Crediti'!J9</f>
        <v>158600</v>
      </c>
      <c r="I93" s="58">
        <f>+I59+'Scheda Crediti'!K6+'Scheda Crediti'!K7+'Scheda Crediti'!K8+'Scheda Crediti'!K9</f>
        <v>158600</v>
      </c>
      <c r="J93" s="58">
        <f>+J59+'Scheda Crediti'!L6+'Scheda Crediti'!L7+'Scheda Crediti'!L8+'Scheda Crediti'!L9</f>
        <v>158600</v>
      </c>
      <c r="K93" s="58">
        <f>+K59+'Scheda Crediti'!M6+'Scheda Crediti'!M7+'Scheda Crediti'!M8+'Scheda Crediti'!M9</f>
        <v>158600</v>
      </c>
      <c r="L93" s="58">
        <f>+L59+'Scheda Crediti'!N6+'Scheda Crediti'!N7+'Scheda Crediti'!N8+'Scheda Crediti'!N9</f>
        <v>158600</v>
      </c>
      <c r="M93" s="58">
        <f>+M59+'Scheda Crediti'!O6+'Scheda Crediti'!O7+'Scheda Crediti'!O8+'Scheda Crediti'!O9</f>
        <v>158600</v>
      </c>
      <c r="N93" s="58">
        <f>+N59+'Scheda Crediti'!P6+'Scheda Crediti'!P7+'Scheda Crediti'!P8+'Scheda Crediti'!P9</f>
        <v>158600</v>
      </c>
    </row>
    <row r="94" spans="2:14" x14ac:dyDescent="0.3">
      <c r="B94" t="s">
        <v>13</v>
      </c>
      <c r="C94" s="58">
        <f>+'Input Previsionale'!E28</f>
        <v>0</v>
      </c>
      <c r="D94" s="58">
        <f>+'Input Previsionale'!F28</f>
        <v>0</v>
      </c>
      <c r="E94" s="58">
        <f>+'Input Previsionale'!G28</f>
        <v>0</v>
      </c>
      <c r="F94" s="58">
        <f>+'Input Previsionale'!H28</f>
        <v>0</v>
      </c>
      <c r="G94" s="58">
        <f>+'Input Previsionale'!I28</f>
        <v>0</v>
      </c>
      <c r="H94" s="58">
        <f>+'Input Previsionale'!J28</f>
        <v>0</v>
      </c>
      <c r="I94" s="58">
        <f>+'Input Previsionale'!K28</f>
        <v>0</v>
      </c>
      <c r="J94" s="58">
        <f>+'Input Previsionale'!L28</f>
        <v>0</v>
      </c>
      <c r="K94" s="58">
        <f>+'Input Previsionale'!M28</f>
        <v>0</v>
      </c>
      <c r="L94" s="58">
        <f>+'Input Previsionale'!N28</f>
        <v>0</v>
      </c>
      <c r="M94" s="58">
        <f>+'Input Previsionale'!O28</f>
        <v>0</v>
      </c>
      <c r="N94" s="58">
        <f>+'Input Previsionale'!P28</f>
        <v>0</v>
      </c>
    </row>
    <row r="95" spans="2:14" x14ac:dyDescent="0.3">
      <c r="B95" t="s">
        <v>757</v>
      </c>
      <c r="C95" s="58">
        <f>+'Input Previsionale'!E23</f>
        <v>0</v>
      </c>
      <c r="D95" s="58">
        <f>+'Input Previsionale'!F23</f>
        <v>0</v>
      </c>
      <c r="E95" s="58">
        <f>+'Input Previsionale'!G23</f>
        <v>0</v>
      </c>
      <c r="F95" s="58">
        <f>+'Input Previsionale'!H23</f>
        <v>0</v>
      </c>
      <c r="G95" s="58">
        <f>+'Input Previsionale'!I23</f>
        <v>0</v>
      </c>
      <c r="H95" s="58">
        <f>+'Input Previsionale'!J23</f>
        <v>0</v>
      </c>
      <c r="I95" s="58">
        <f>+'Input Previsionale'!K23</f>
        <v>0</v>
      </c>
      <c r="J95" s="58">
        <f>+'Input Previsionale'!L23</f>
        <v>0</v>
      </c>
      <c r="K95" s="58">
        <f>+'Input Previsionale'!M23</f>
        <v>0</v>
      </c>
      <c r="L95" s="58">
        <f>+'Input Previsionale'!N23</f>
        <v>0</v>
      </c>
      <c r="M95" s="58">
        <f>+'Input Previsionale'!O23</f>
        <v>0</v>
      </c>
      <c r="N95" s="58">
        <f>+'Input Previsionale'!P23</f>
        <v>0</v>
      </c>
    </row>
    <row r="96" spans="2:14" x14ac:dyDescent="0.3">
      <c r="C96" s="48"/>
      <c r="D96" s="48"/>
      <c r="E96" s="48"/>
      <c r="F96" s="48"/>
      <c r="G96" s="48"/>
      <c r="H96" s="48"/>
      <c r="I96" s="48"/>
      <c r="J96" s="48"/>
      <c r="K96" s="48"/>
      <c r="L96" s="48"/>
    </row>
    <row r="97" spans="2:14" x14ac:dyDescent="0.3">
      <c r="B97" s="2" t="s">
        <v>686</v>
      </c>
      <c r="C97" s="45">
        <f>+SUM(C93:C96)</f>
        <v>219192</v>
      </c>
      <c r="D97" s="45">
        <f t="shared" ref="D97:N97" si="62">+SUM(D93:D96)</f>
        <v>158600</v>
      </c>
      <c r="E97" s="45">
        <f t="shared" si="62"/>
        <v>158600</v>
      </c>
      <c r="F97" s="45">
        <f t="shared" si="62"/>
        <v>158600</v>
      </c>
      <c r="G97" s="45">
        <f t="shared" si="62"/>
        <v>158600</v>
      </c>
      <c r="H97" s="45">
        <f t="shared" si="62"/>
        <v>158600</v>
      </c>
      <c r="I97" s="45">
        <f t="shared" si="62"/>
        <v>158600</v>
      </c>
      <c r="J97" s="45">
        <f t="shared" si="62"/>
        <v>158600</v>
      </c>
      <c r="K97" s="45">
        <f t="shared" si="62"/>
        <v>158600</v>
      </c>
      <c r="L97" s="45">
        <f t="shared" si="62"/>
        <v>158600</v>
      </c>
      <c r="M97" s="45">
        <f t="shared" si="62"/>
        <v>158600</v>
      </c>
      <c r="N97" s="45">
        <f t="shared" si="62"/>
        <v>158600</v>
      </c>
    </row>
    <row r="98" spans="2:14" x14ac:dyDescent="0.3">
      <c r="B98" s="2"/>
      <c r="C98" s="45"/>
      <c r="D98" s="45"/>
      <c r="E98" s="45"/>
      <c r="F98" s="45"/>
      <c r="G98" s="45"/>
      <c r="H98" s="45"/>
      <c r="I98" s="45"/>
      <c r="J98" s="45"/>
      <c r="K98" s="45"/>
      <c r="L98" s="45"/>
    </row>
    <row r="99" spans="2:14" x14ac:dyDescent="0.3">
      <c r="B99" t="s">
        <v>687</v>
      </c>
      <c r="C99" s="58">
        <f>+C68+'Scheda Debiti'!E14</f>
        <v>80000</v>
      </c>
      <c r="D99" s="58">
        <f>+D68+'Scheda Debiti'!F14</f>
        <v>84324</v>
      </c>
      <c r="E99" s="58">
        <f>+E68+'Scheda Debiti'!G14</f>
        <v>0</v>
      </c>
      <c r="F99" s="58">
        <f>+F68+'Scheda Debiti'!H14</f>
        <v>98877.88900000001</v>
      </c>
      <c r="G99" s="58">
        <f>+G68+'Scheda Debiti'!I14</f>
        <v>87230</v>
      </c>
      <c r="H99" s="58">
        <f>+H68+'Scheda Debiti'!J14</f>
        <v>87230</v>
      </c>
      <c r="I99" s="58">
        <f>+I68+'Scheda Debiti'!K14</f>
        <v>87230</v>
      </c>
      <c r="J99" s="58">
        <f>+J68+'Scheda Debiti'!L14</f>
        <v>87230</v>
      </c>
      <c r="K99" s="58">
        <f>+K68+'Scheda Debiti'!M14</f>
        <v>87230</v>
      </c>
      <c r="L99" s="58">
        <f>+L68+'Scheda Debiti'!N14</f>
        <v>87230</v>
      </c>
      <c r="M99" s="58">
        <f>+M68+'Scheda Debiti'!O14</f>
        <v>87230</v>
      </c>
      <c r="N99" s="58">
        <f>+N68+'Scheda Debiti'!P14</f>
        <v>87230</v>
      </c>
    </row>
    <row r="100" spans="2:14" x14ac:dyDescent="0.3">
      <c r="B100" t="s">
        <v>688</v>
      </c>
      <c r="C100" s="58">
        <f>+C77</f>
        <v>7320</v>
      </c>
      <c r="D100" s="58">
        <f t="shared" ref="D100:L100" si="63">+D77</f>
        <v>7320</v>
      </c>
      <c r="E100" s="58">
        <f t="shared" si="63"/>
        <v>7320</v>
      </c>
      <c r="F100" s="58">
        <f t="shared" si="63"/>
        <v>7320</v>
      </c>
      <c r="G100" s="58">
        <f t="shared" si="63"/>
        <v>7320</v>
      </c>
      <c r="H100" s="58">
        <f t="shared" si="63"/>
        <v>7320</v>
      </c>
      <c r="I100" s="58">
        <f t="shared" si="63"/>
        <v>7320</v>
      </c>
      <c r="J100" s="58">
        <f t="shared" si="63"/>
        <v>7320</v>
      </c>
      <c r="K100" s="58">
        <f t="shared" si="63"/>
        <v>7320</v>
      </c>
      <c r="L100" s="58">
        <f t="shared" si="63"/>
        <v>7320</v>
      </c>
      <c r="M100" s="58">
        <f t="shared" ref="M100:N100" si="64">+M77</f>
        <v>7320</v>
      </c>
      <c r="N100" s="58">
        <f t="shared" si="64"/>
        <v>7320</v>
      </c>
    </row>
    <row r="101" spans="2:14" x14ac:dyDescent="0.3">
      <c r="B101" t="s">
        <v>798</v>
      </c>
      <c r="C101" s="58">
        <f>+'Scheda Debiti'!E17+'Scheda Debiti'!E18</f>
        <v>45546</v>
      </c>
      <c r="D101" s="58">
        <f>+'Scheda Debiti'!F17+'Scheda Debiti'!F18</f>
        <v>11023</v>
      </c>
      <c r="E101" s="58">
        <f>+'Scheda Debiti'!G17+'Scheda Debiti'!G18</f>
        <v>0</v>
      </c>
      <c r="F101" s="58">
        <f>+'Scheda Debiti'!H17+'Scheda Debiti'!H18</f>
        <v>0</v>
      </c>
      <c r="G101" s="58">
        <f>+'Scheda Debiti'!I17+'Scheda Debiti'!I18</f>
        <v>0</v>
      </c>
      <c r="H101" s="58">
        <f>+'Scheda Debiti'!J17+'Scheda Debiti'!J18</f>
        <v>0</v>
      </c>
      <c r="I101" s="58">
        <f>+'Scheda Debiti'!K17+'Scheda Debiti'!K18</f>
        <v>0</v>
      </c>
      <c r="J101" s="58">
        <f>+'Scheda Debiti'!L17+'Scheda Debiti'!L18</f>
        <v>0</v>
      </c>
      <c r="K101" s="58">
        <f>+'Scheda Debiti'!M17+'Scheda Debiti'!M18</f>
        <v>0</v>
      </c>
      <c r="L101" s="58">
        <f>+'Scheda Debiti'!N17+'Scheda Debiti'!N18</f>
        <v>0</v>
      </c>
      <c r="M101" s="58">
        <f>+'Scheda Debiti'!O17+'Scheda Debiti'!O18</f>
        <v>0</v>
      </c>
      <c r="N101" s="58">
        <f>+'Scheda Debiti'!P17+'Scheda Debiti'!P18</f>
        <v>0</v>
      </c>
    </row>
    <row r="102" spans="2:14" x14ac:dyDescent="0.3">
      <c r="B102" t="s">
        <v>689</v>
      </c>
      <c r="C102" s="58">
        <f>+C81+'Scheda Debiti'!E15</f>
        <v>30349</v>
      </c>
      <c r="D102" s="58">
        <f>+D81+'Scheda Debiti'!F15</f>
        <v>20000</v>
      </c>
      <c r="E102" s="58">
        <f>+E81+'Scheda Debiti'!G15</f>
        <v>20000</v>
      </c>
      <c r="F102" s="58">
        <f>+F81+'Scheda Debiti'!H15</f>
        <v>20000</v>
      </c>
      <c r="G102" s="58">
        <f>+G81+'Scheda Debiti'!I15</f>
        <v>20000</v>
      </c>
      <c r="H102" s="58">
        <f>+H81+'Scheda Debiti'!J15</f>
        <v>20000</v>
      </c>
      <c r="I102" s="58">
        <f>+I81+'Scheda Debiti'!K15</f>
        <v>20000</v>
      </c>
      <c r="J102" s="58">
        <f>+J81+'Scheda Debiti'!L15</f>
        <v>20000</v>
      </c>
      <c r="K102" s="58">
        <f>+K81+'Scheda Debiti'!M15</f>
        <v>20000</v>
      </c>
      <c r="L102" s="58">
        <f>+L81+'Scheda Debiti'!N15</f>
        <v>20000</v>
      </c>
      <c r="M102" s="58">
        <f>+M81+'Scheda Debiti'!O15</f>
        <v>20000</v>
      </c>
      <c r="N102" s="58">
        <f>+N81+'Scheda Debiti'!P15</f>
        <v>20000</v>
      </c>
    </row>
    <row r="103" spans="2:14" x14ac:dyDescent="0.3">
      <c r="B103" t="s">
        <v>690</v>
      </c>
      <c r="C103" s="58">
        <f>+SUM('Scheda Inv'!D23:D26)+SUM('Scheda Inv'!D30:D32)+'Scheda Inv'!D35+SUM('Scheda Inv'!D39:D42)+SUM('Scheda Inv'!D46:D48)</f>
        <v>0</v>
      </c>
      <c r="D103" s="58">
        <f>+SUM('Scheda Inv'!E23:E26)+SUM('Scheda Inv'!E30:E32)+'Scheda Inv'!E35+SUM('Scheda Inv'!E39:E42)+SUM('Scheda Inv'!E46:E48)</f>
        <v>0</v>
      </c>
      <c r="E103" s="58">
        <f>+SUM('Scheda Inv'!F23:F26)+SUM('Scheda Inv'!F30:F32)+'Scheda Inv'!F35+SUM('Scheda Inv'!F39:F42)+SUM('Scheda Inv'!F46:F48)</f>
        <v>0</v>
      </c>
      <c r="F103" s="58">
        <f>+SUM('Scheda Inv'!G23:G26)+SUM('Scheda Inv'!G30:G32)+'Scheda Inv'!G35+SUM('Scheda Inv'!G39:G42)+SUM('Scheda Inv'!G46:G48)</f>
        <v>0</v>
      </c>
      <c r="G103" s="58">
        <f>+SUM('Scheda Inv'!H23:H26)+SUM('Scheda Inv'!H30:H32)+'Scheda Inv'!H35+SUM('Scheda Inv'!H39:H42)+SUM('Scheda Inv'!H46:H48)</f>
        <v>0</v>
      </c>
      <c r="H103" s="58">
        <f>+SUM('Scheda Inv'!I23:I26)+SUM('Scheda Inv'!I30:I32)+'Scheda Inv'!I35+SUM('Scheda Inv'!I39:I42)+SUM('Scheda Inv'!I46:I48)</f>
        <v>0</v>
      </c>
      <c r="I103" s="58">
        <f>+SUM('Scheda Inv'!J23:J26)+SUM('Scheda Inv'!J30:J32)+'Scheda Inv'!J35+SUM('Scheda Inv'!J39:J42)+SUM('Scheda Inv'!J46:J48)</f>
        <v>0</v>
      </c>
      <c r="J103" s="58">
        <f>+SUM('Scheda Inv'!K23:K26)+SUM('Scheda Inv'!K30:K32)+'Scheda Inv'!K35+SUM('Scheda Inv'!K39:K42)+SUM('Scheda Inv'!K46:K48)</f>
        <v>0</v>
      </c>
      <c r="K103" s="58">
        <f>+SUM('Scheda Inv'!L23:L26)+SUM('Scheda Inv'!L30:L32)+'Scheda Inv'!L35+SUM('Scheda Inv'!L39:L42)+SUM('Scheda Inv'!L46:L48)</f>
        <v>0</v>
      </c>
      <c r="L103" s="58">
        <f>+SUM('Scheda Inv'!M23:M26)+SUM('Scheda Inv'!M30:M32)+'Scheda Inv'!M35+SUM('Scheda Inv'!M39:M42)+SUM('Scheda Inv'!M46:M48)</f>
        <v>0</v>
      </c>
      <c r="M103" s="58">
        <f>+SUM('Scheda Inv'!N23:N26)+SUM('Scheda Inv'!N30:N32)+'Scheda Inv'!N35+SUM('Scheda Inv'!N39:N42)+SUM('Scheda Inv'!N46:N48)</f>
        <v>0</v>
      </c>
      <c r="N103" s="58">
        <f>+SUM('Scheda Inv'!O23:O26)+SUM('Scheda Inv'!O30:O32)+'Scheda Inv'!O35+SUM('Scheda Inv'!O39:O42)+SUM('Scheda Inv'!O46:O48)</f>
        <v>0</v>
      </c>
    </row>
    <row r="104" spans="2:14" x14ac:dyDescent="0.3">
      <c r="B104" t="s">
        <v>755</v>
      </c>
      <c r="C104" s="58">
        <f>+'Scheda Debiti'!E5+'Scheda Debiti'!E6+'Input Previsionale'!E24+'Input Previsionale'!E25</f>
        <v>0</v>
      </c>
      <c r="D104" s="58">
        <f>+'Scheda Debiti'!F5+'Scheda Debiti'!F6+'Input Previsionale'!F24+'Input Previsionale'!F25</f>
        <v>0</v>
      </c>
      <c r="E104" s="58">
        <f>+'Scheda Debiti'!G5+'Scheda Debiti'!G6+'Input Previsionale'!G24+'Input Previsionale'!G25</f>
        <v>0</v>
      </c>
      <c r="F104" s="58">
        <f>+'Scheda Debiti'!H5+'Scheda Debiti'!H6+'Input Previsionale'!H24+'Input Previsionale'!H25</f>
        <v>0</v>
      </c>
      <c r="G104" s="58">
        <f>+'Scheda Debiti'!I5+'Scheda Debiti'!I6+'Input Previsionale'!I24+'Input Previsionale'!I25</f>
        <v>0</v>
      </c>
      <c r="H104" s="58">
        <f>+'Scheda Debiti'!J5+'Scheda Debiti'!J6+'Input Previsionale'!J24+'Input Previsionale'!J25</f>
        <v>0</v>
      </c>
      <c r="I104" s="58">
        <f>+'Scheda Debiti'!K5+'Scheda Debiti'!K6+'Input Previsionale'!K24+'Input Previsionale'!K25</f>
        <v>0</v>
      </c>
      <c r="J104" s="58">
        <f>+'Scheda Debiti'!L5+'Scheda Debiti'!L6+'Input Previsionale'!L24+'Input Previsionale'!L25</f>
        <v>0</v>
      </c>
      <c r="K104" s="58">
        <f>+'Scheda Debiti'!M5+'Scheda Debiti'!M6+'Input Previsionale'!M24+'Input Previsionale'!M25</f>
        <v>0</v>
      </c>
      <c r="L104" s="58">
        <f>+'Scheda Debiti'!N5+'Scheda Debiti'!N6+'Input Previsionale'!N24+'Input Previsionale'!N25</f>
        <v>0</v>
      </c>
      <c r="M104" s="58">
        <f>+'Scheda Debiti'!O5+'Scheda Debiti'!O6+'Input Previsionale'!O24+'Input Previsionale'!O25</f>
        <v>0</v>
      </c>
      <c r="N104" s="58">
        <f>+'Scheda Debiti'!P5+'Scheda Debiti'!P6+'Input Previsionale'!P24+'Input Previsionale'!P25</f>
        <v>0</v>
      </c>
    </row>
    <row r="105" spans="2:14" x14ac:dyDescent="0.3">
      <c r="B105" t="s">
        <v>756</v>
      </c>
      <c r="C105" s="58">
        <f>+'Scheda Debiti'!E9</f>
        <v>0</v>
      </c>
      <c r="D105" s="58">
        <f>+'Scheda Debiti'!F9</f>
        <v>0</v>
      </c>
      <c r="E105" s="58">
        <f>+'Scheda Debiti'!G9</f>
        <v>0</v>
      </c>
      <c r="F105" s="58">
        <f>+'Scheda Debiti'!H9</f>
        <v>0</v>
      </c>
      <c r="G105" s="58">
        <f>+'Scheda Debiti'!I9</f>
        <v>0</v>
      </c>
      <c r="H105" s="58">
        <f>+'Scheda Debiti'!J9</f>
        <v>0</v>
      </c>
      <c r="I105" s="58">
        <f>+'Scheda Debiti'!K9</f>
        <v>0</v>
      </c>
      <c r="J105" s="58">
        <f>+'Scheda Debiti'!L9</f>
        <v>0</v>
      </c>
      <c r="K105" s="58">
        <f>+'Scheda Debiti'!M9</f>
        <v>0</v>
      </c>
      <c r="L105" s="58">
        <f>+'Scheda Debiti'!N9</f>
        <v>0</v>
      </c>
      <c r="M105" s="58">
        <f>+'Scheda Debiti'!O9</f>
        <v>0</v>
      </c>
      <c r="N105" s="58">
        <f>+'Scheda Debiti'!P9</f>
        <v>0</v>
      </c>
    </row>
    <row r="106" spans="2:14" x14ac:dyDescent="0.3">
      <c r="B106" t="s">
        <v>691</v>
      </c>
      <c r="C106" s="58">
        <f>+C126</f>
        <v>9449.5609999999979</v>
      </c>
      <c r="D106" s="58">
        <f t="shared" ref="D106:L106" si="65">+D126</f>
        <v>11550</v>
      </c>
      <c r="E106" s="58">
        <f t="shared" si="65"/>
        <v>11550</v>
      </c>
      <c r="F106" s="58">
        <f t="shared" si="65"/>
        <v>11550</v>
      </c>
      <c r="G106" s="58">
        <f t="shared" si="65"/>
        <v>11550</v>
      </c>
      <c r="H106" s="58">
        <f t="shared" si="65"/>
        <v>11550</v>
      </c>
      <c r="I106" s="58">
        <f t="shared" si="65"/>
        <v>11550</v>
      </c>
      <c r="J106" s="58">
        <f t="shared" si="65"/>
        <v>11550</v>
      </c>
      <c r="K106" s="58">
        <f t="shared" si="65"/>
        <v>11550</v>
      </c>
      <c r="L106" s="58">
        <f t="shared" si="65"/>
        <v>11550</v>
      </c>
      <c r="M106" s="58">
        <f t="shared" ref="M106:N106" si="66">+M126</f>
        <v>11550</v>
      </c>
      <c r="N106" s="58">
        <f t="shared" si="66"/>
        <v>11550</v>
      </c>
    </row>
    <row r="107" spans="2:14" x14ac:dyDescent="0.3">
      <c r="B107" t="s">
        <v>2</v>
      </c>
      <c r="C107" s="58">
        <f>+'Scheda Debiti'!E16</f>
        <v>0</v>
      </c>
      <c r="D107" s="58">
        <f>+'Scheda Debiti'!F16</f>
        <v>0</v>
      </c>
      <c r="E107" s="58">
        <f>+'Scheda Debiti'!G16</f>
        <v>0</v>
      </c>
      <c r="F107" s="58">
        <f>+'Scheda Debiti'!H16</f>
        <v>0</v>
      </c>
      <c r="G107" s="58">
        <f>+'Scheda Debiti'!I16</f>
        <v>5242</v>
      </c>
      <c r="H107" s="58">
        <f>+'Scheda Debiti'!J16</f>
        <v>0</v>
      </c>
      <c r="I107" s="58">
        <f>+'Scheda Debiti'!K16</f>
        <v>0</v>
      </c>
      <c r="J107" s="58">
        <f>+'Scheda Debiti'!L16</f>
        <v>0</v>
      </c>
      <c r="K107" s="58">
        <f>+'Scheda Debiti'!M16</f>
        <v>0</v>
      </c>
      <c r="L107" s="58">
        <f>+'Scheda Debiti'!N16</f>
        <v>0</v>
      </c>
      <c r="M107" s="58">
        <f>+'Scheda Debiti'!O16</f>
        <v>0</v>
      </c>
      <c r="N107" s="58">
        <f>+'Scheda Debiti'!P16</f>
        <v>0</v>
      </c>
    </row>
    <row r="108" spans="2:14" x14ac:dyDescent="0.3">
      <c r="B108" t="s">
        <v>754</v>
      </c>
      <c r="C108" s="58">
        <f>+'CE Previsionale'!C25</f>
        <v>0</v>
      </c>
      <c r="D108" s="58">
        <f>+'CE Previsionale'!D25</f>
        <v>0</v>
      </c>
      <c r="E108" s="58">
        <f>+'CE Previsionale'!E25</f>
        <v>0</v>
      </c>
      <c r="F108" s="58">
        <f>+'CE Previsionale'!F25</f>
        <v>0</v>
      </c>
      <c r="G108" s="58">
        <f>+'CE Previsionale'!G25</f>
        <v>0</v>
      </c>
      <c r="H108" s="58">
        <f>+'CE Previsionale'!H25</f>
        <v>0</v>
      </c>
      <c r="I108" s="58">
        <f>+'CE Previsionale'!I25</f>
        <v>0</v>
      </c>
      <c r="J108" s="58">
        <f>+'CE Previsionale'!J25</f>
        <v>0</v>
      </c>
      <c r="K108" s="58">
        <f>+'CE Previsionale'!K25</f>
        <v>0</v>
      </c>
      <c r="L108" s="58">
        <f>+'CE Previsionale'!L25</f>
        <v>0</v>
      </c>
      <c r="M108" s="58">
        <f>+'CE Previsionale'!M25</f>
        <v>0</v>
      </c>
      <c r="N108" s="58">
        <f>+'CE Previsionale'!N25</f>
        <v>0</v>
      </c>
    </row>
    <row r="109" spans="2:14" x14ac:dyDescent="0.3">
      <c r="B109" t="s">
        <v>853</v>
      </c>
      <c r="C109" s="58">
        <f>+'Input Previsionale'!E36</f>
        <v>0</v>
      </c>
      <c r="D109" s="58">
        <f>+'Input Previsionale'!F36</f>
        <v>0</v>
      </c>
      <c r="E109" s="58">
        <f>+'Input Previsionale'!G36</f>
        <v>0</v>
      </c>
      <c r="F109" s="58">
        <f>+'Input Previsionale'!H36</f>
        <v>0</v>
      </c>
      <c r="G109" s="58">
        <f>+'Input Previsionale'!I36</f>
        <v>0</v>
      </c>
      <c r="H109" s="58">
        <f>+'Input Previsionale'!J36</f>
        <v>0</v>
      </c>
      <c r="I109" s="58">
        <f>+'Input Previsionale'!K36</f>
        <v>0</v>
      </c>
      <c r="J109" s="58">
        <f>+'Input Previsionale'!L36</f>
        <v>0</v>
      </c>
      <c r="K109" s="58">
        <f>+'Input Previsionale'!M36</f>
        <v>0</v>
      </c>
      <c r="L109" s="58">
        <f>+'Input Previsionale'!N36</f>
        <v>0</v>
      </c>
      <c r="M109" s="58">
        <f>+'Input Previsionale'!O36</f>
        <v>0</v>
      </c>
      <c r="N109" s="58">
        <f>+'Input Previsionale'!P36</f>
        <v>0</v>
      </c>
    </row>
    <row r="110" spans="2:14" x14ac:dyDescent="0.3">
      <c r="C110" s="48"/>
      <c r="D110" s="48"/>
      <c r="E110" s="48"/>
      <c r="F110" s="48"/>
      <c r="G110" s="48"/>
      <c r="H110" s="48"/>
      <c r="I110" s="48"/>
      <c r="J110" s="48"/>
      <c r="K110" s="48"/>
      <c r="L110" s="48"/>
    </row>
    <row r="111" spans="2:14" x14ac:dyDescent="0.3">
      <c r="B111" s="2" t="s">
        <v>681</v>
      </c>
      <c r="C111" s="45">
        <f>+SUM(C99:C110)</f>
        <v>172664.56099999999</v>
      </c>
      <c r="D111" s="45">
        <f t="shared" ref="D111:L111" si="67">+SUM(D99:D110)</f>
        <v>134217</v>
      </c>
      <c r="E111" s="45">
        <f t="shared" si="67"/>
        <v>38870</v>
      </c>
      <c r="F111" s="45">
        <f t="shared" si="67"/>
        <v>137747.88900000002</v>
      </c>
      <c r="G111" s="45">
        <f t="shared" si="67"/>
        <v>131342</v>
      </c>
      <c r="H111" s="45">
        <f t="shared" si="67"/>
        <v>126100</v>
      </c>
      <c r="I111" s="45">
        <f t="shared" si="67"/>
        <v>126100</v>
      </c>
      <c r="J111" s="45">
        <f t="shared" si="67"/>
        <v>126100</v>
      </c>
      <c r="K111" s="45">
        <f t="shared" si="67"/>
        <v>126100</v>
      </c>
      <c r="L111" s="45">
        <f t="shared" si="67"/>
        <v>126100</v>
      </c>
      <c r="M111" s="45">
        <f t="shared" ref="M111:N111" si="68">+SUM(M99:M110)</f>
        <v>126100</v>
      </c>
      <c r="N111" s="45">
        <f t="shared" si="68"/>
        <v>126100</v>
      </c>
    </row>
    <row r="112" spans="2:14" x14ac:dyDescent="0.3">
      <c r="B112" t="s">
        <v>692</v>
      </c>
      <c r="C112" s="61">
        <f>+C97-C111</f>
        <v>46527.439000000013</v>
      </c>
      <c r="D112" s="61">
        <f t="shared" ref="D112:L112" si="69">+D97-D111</f>
        <v>24383</v>
      </c>
      <c r="E112" s="61">
        <f t="shared" si="69"/>
        <v>119730</v>
      </c>
      <c r="F112" s="61">
        <f t="shared" si="69"/>
        <v>20852.110999999975</v>
      </c>
      <c r="G112" s="61">
        <f t="shared" si="69"/>
        <v>27258</v>
      </c>
      <c r="H112" s="61">
        <f t="shared" si="69"/>
        <v>32500</v>
      </c>
      <c r="I112" s="61">
        <f t="shared" si="69"/>
        <v>32500</v>
      </c>
      <c r="J112" s="61">
        <f t="shared" si="69"/>
        <v>32500</v>
      </c>
      <c r="K112" s="61">
        <f t="shared" si="69"/>
        <v>32500</v>
      </c>
      <c r="L112" s="61">
        <f t="shared" si="69"/>
        <v>32500</v>
      </c>
      <c r="M112" s="61">
        <f t="shared" ref="M112:N112" si="70">+M97-M111</f>
        <v>32500</v>
      </c>
      <c r="N112" s="61">
        <f t="shared" si="70"/>
        <v>32500</v>
      </c>
    </row>
    <row r="113" spans="2:14" x14ac:dyDescent="0.3"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</row>
    <row r="114" spans="2:14" x14ac:dyDescent="0.3">
      <c r="B114" t="s">
        <v>693</v>
      </c>
      <c r="C114" s="61">
        <f>+'SP Previsionale'!D5-'SP Previsionale'!D38</f>
        <v>370159</v>
      </c>
      <c r="D114" s="45">
        <f>+C115</f>
        <v>416686.43900000001</v>
      </c>
      <c r="E114" s="45">
        <f t="shared" ref="E114:L114" si="71">+D115</f>
        <v>441069.43900000001</v>
      </c>
      <c r="F114" s="45">
        <f t="shared" si="71"/>
        <v>560799.43900000001</v>
      </c>
      <c r="G114" s="45">
        <f t="shared" si="71"/>
        <v>581651.55000000005</v>
      </c>
      <c r="H114" s="45">
        <f t="shared" si="71"/>
        <v>608909.55000000005</v>
      </c>
      <c r="I114" s="45">
        <f t="shared" si="71"/>
        <v>641409.55000000005</v>
      </c>
      <c r="J114" s="45">
        <f t="shared" si="71"/>
        <v>673909.55</v>
      </c>
      <c r="K114" s="45">
        <f t="shared" si="71"/>
        <v>706409.55</v>
      </c>
      <c r="L114" s="45">
        <f t="shared" si="71"/>
        <v>738909.55</v>
      </c>
      <c r="M114" s="45">
        <f t="shared" ref="M114" si="72">+L115</f>
        <v>771409.55</v>
      </c>
      <c r="N114" s="45">
        <f t="shared" ref="N114" si="73">+M115</f>
        <v>803909.55</v>
      </c>
    </row>
    <row r="115" spans="2:14" x14ac:dyDescent="0.3">
      <c r="B115" t="s">
        <v>694</v>
      </c>
      <c r="C115" s="45">
        <f>+C114+C112</f>
        <v>416686.43900000001</v>
      </c>
      <c r="D115" s="45">
        <f>+D114+D112</f>
        <v>441069.43900000001</v>
      </c>
      <c r="E115" s="45">
        <f t="shared" ref="E115:L115" si="74">+E114+E112</f>
        <v>560799.43900000001</v>
      </c>
      <c r="F115" s="45">
        <f t="shared" si="74"/>
        <v>581651.55000000005</v>
      </c>
      <c r="G115" s="45">
        <f t="shared" si="74"/>
        <v>608909.55000000005</v>
      </c>
      <c r="H115" s="45">
        <f t="shared" si="74"/>
        <v>641409.55000000005</v>
      </c>
      <c r="I115" s="45">
        <f t="shared" si="74"/>
        <v>673909.55</v>
      </c>
      <c r="J115" s="45">
        <f t="shared" si="74"/>
        <v>706409.55</v>
      </c>
      <c r="K115" s="45">
        <f t="shared" si="74"/>
        <v>738909.55</v>
      </c>
      <c r="L115" s="45">
        <f t="shared" si="74"/>
        <v>771409.55</v>
      </c>
      <c r="M115" s="45">
        <f t="shared" ref="M115:N115" si="75">+M114+M112</f>
        <v>803909.55</v>
      </c>
      <c r="N115" s="45">
        <f t="shared" si="75"/>
        <v>836409.55</v>
      </c>
    </row>
    <row r="119" spans="2:14" x14ac:dyDescent="0.3">
      <c r="B119" t="s">
        <v>691</v>
      </c>
      <c r="C119" s="201">
        <f t="shared" ref="C119:N119" si="76">+C3</f>
        <v>43159</v>
      </c>
      <c r="D119" s="201">
        <f t="shared" si="76"/>
        <v>43190</v>
      </c>
      <c r="E119" s="201">
        <f t="shared" si="76"/>
        <v>43220</v>
      </c>
      <c r="F119" s="201">
        <f t="shared" si="76"/>
        <v>43251</v>
      </c>
      <c r="G119" s="201">
        <f t="shared" si="76"/>
        <v>43281</v>
      </c>
      <c r="H119" s="201">
        <f t="shared" si="76"/>
        <v>43312</v>
      </c>
      <c r="I119" s="201">
        <f t="shared" si="76"/>
        <v>43343</v>
      </c>
      <c r="J119" s="201">
        <f t="shared" si="76"/>
        <v>43373</v>
      </c>
      <c r="K119" s="201">
        <f t="shared" si="76"/>
        <v>43404</v>
      </c>
      <c r="L119" s="201">
        <f t="shared" si="76"/>
        <v>43434</v>
      </c>
      <c r="M119" s="201">
        <f t="shared" si="76"/>
        <v>43465</v>
      </c>
      <c r="N119" s="201">
        <f t="shared" si="76"/>
        <v>43496</v>
      </c>
    </row>
    <row r="120" spans="2:14" x14ac:dyDescent="0.3">
      <c r="B120" t="s">
        <v>679</v>
      </c>
      <c r="C120" s="49">
        <f>+C66+C75+SUM('Scheda Inv'!D39:D48)</f>
        <v>19150.439000000002</v>
      </c>
      <c r="D120" s="49">
        <f>+D66+D75+SUM('Scheda Inv'!E39:E48)</f>
        <v>17050</v>
      </c>
      <c r="E120" s="49">
        <f>+E66+E75+SUM('Scheda Inv'!F39:F48)</f>
        <v>17050</v>
      </c>
      <c r="F120" s="49">
        <f>+F66+F75+SUM('Scheda Inv'!G39:G48)</f>
        <v>17050</v>
      </c>
      <c r="G120" s="49">
        <f>+G66+G75+SUM('Scheda Inv'!H39:H48)</f>
        <v>17050</v>
      </c>
      <c r="H120" s="49">
        <f>+H66+H75+SUM('Scheda Inv'!I39:I48)</f>
        <v>17050</v>
      </c>
      <c r="I120" s="49">
        <f>+I66+I75+SUM('Scheda Inv'!J39:J48)</f>
        <v>17050</v>
      </c>
      <c r="J120" s="49">
        <f>+J66+J75+SUM('Scheda Inv'!K39:K48)</f>
        <v>17050</v>
      </c>
      <c r="K120" s="49">
        <f>+K66+K75+SUM('Scheda Inv'!L39:L48)</f>
        <v>17050</v>
      </c>
      <c r="L120" s="49">
        <f>+L66+L75+SUM('Scheda Inv'!M39:M48)</f>
        <v>17050</v>
      </c>
      <c r="M120" s="49">
        <f>+M66+M75+SUM('Scheda Inv'!N39:N48)</f>
        <v>17050</v>
      </c>
      <c r="N120" s="49">
        <f>+N66+N75+SUM('Scheda Inv'!O39:O48)</f>
        <v>17050</v>
      </c>
    </row>
    <row r="121" spans="2:14" x14ac:dyDescent="0.3">
      <c r="B121" t="s">
        <v>673</v>
      </c>
      <c r="C121" s="49">
        <f>+C57</f>
        <v>28600</v>
      </c>
      <c r="D121" s="49">
        <f t="shared" ref="D121:L121" si="77">+D57</f>
        <v>28600</v>
      </c>
      <c r="E121" s="49">
        <f t="shared" si="77"/>
        <v>28600</v>
      </c>
      <c r="F121" s="49">
        <f t="shared" si="77"/>
        <v>28600</v>
      </c>
      <c r="G121" s="49">
        <f t="shared" si="77"/>
        <v>28600</v>
      </c>
      <c r="H121" s="49">
        <f t="shared" si="77"/>
        <v>28600</v>
      </c>
      <c r="I121" s="49">
        <f t="shared" si="77"/>
        <v>28600</v>
      </c>
      <c r="J121" s="49">
        <f t="shared" si="77"/>
        <v>28600</v>
      </c>
      <c r="K121" s="49">
        <f t="shared" si="77"/>
        <v>28600</v>
      </c>
      <c r="L121" s="49">
        <f t="shared" si="77"/>
        <v>28600</v>
      </c>
      <c r="M121" s="49">
        <f t="shared" ref="M121:N121" si="78">+M57</f>
        <v>28600</v>
      </c>
      <c r="N121" s="49">
        <f t="shared" si="78"/>
        <v>28600</v>
      </c>
    </row>
    <row r="123" spans="2:14" x14ac:dyDescent="0.3">
      <c r="B123" t="s">
        <v>873</v>
      </c>
      <c r="C123" s="49">
        <f>+C120-C121</f>
        <v>-9449.5609999999979</v>
      </c>
      <c r="D123" s="49">
        <f t="shared" ref="D123:L123" si="79">+D120-D121</f>
        <v>-11550</v>
      </c>
      <c r="E123" s="49">
        <f t="shared" si="79"/>
        <v>-11550</v>
      </c>
      <c r="F123" s="49">
        <f t="shared" si="79"/>
        <v>-11550</v>
      </c>
      <c r="G123" s="49">
        <f t="shared" si="79"/>
        <v>-11550</v>
      </c>
      <c r="H123" s="49">
        <f t="shared" si="79"/>
        <v>-11550</v>
      </c>
      <c r="I123" s="49">
        <f t="shared" si="79"/>
        <v>-11550</v>
      </c>
      <c r="J123" s="49">
        <f t="shared" si="79"/>
        <v>-11550</v>
      </c>
      <c r="K123" s="49">
        <f t="shared" si="79"/>
        <v>-11550</v>
      </c>
      <c r="L123" s="49">
        <f t="shared" si="79"/>
        <v>-11550</v>
      </c>
      <c r="M123" s="49">
        <f t="shared" ref="M123:N123" si="80">+M120-M121</f>
        <v>-11550</v>
      </c>
      <c r="N123" s="49">
        <f t="shared" si="80"/>
        <v>-11550</v>
      </c>
    </row>
    <row r="124" spans="2:14" x14ac:dyDescent="0.3"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</row>
    <row r="125" spans="2:14" x14ac:dyDescent="0.3">
      <c r="B125" t="s">
        <v>861</v>
      </c>
      <c r="C125" s="162">
        <f>+'Input Previsionale'!E40</f>
        <v>0</v>
      </c>
      <c r="D125" s="162">
        <f>+'Input Previsionale'!F40</f>
        <v>0</v>
      </c>
      <c r="E125" s="162">
        <f>+'Input Previsionale'!G40</f>
        <v>0</v>
      </c>
      <c r="F125" s="162">
        <f>+'Input Previsionale'!H40</f>
        <v>0</v>
      </c>
      <c r="G125" s="162">
        <f>+'Input Previsionale'!I40</f>
        <v>0</v>
      </c>
      <c r="H125" s="162">
        <f>+'Input Previsionale'!J40</f>
        <v>0</v>
      </c>
      <c r="I125" s="162">
        <f>+'Input Previsionale'!K40</f>
        <v>0</v>
      </c>
      <c r="J125" s="162">
        <f>+'Input Previsionale'!L40</f>
        <v>0</v>
      </c>
      <c r="K125" s="162">
        <f>+'Input Previsionale'!M40</f>
        <v>0</v>
      </c>
      <c r="L125" s="162">
        <f>+'Input Previsionale'!N40</f>
        <v>0</v>
      </c>
      <c r="M125" s="162">
        <f>+'Input Previsionale'!O40</f>
        <v>0</v>
      </c>
      <c r="N125" s="162">
        <f>+'Input Previsionale'!P40</f>
        <v>0</v>
      </c>
    </row>
    <row r="126" spans="2:14" x14ac:dyDescent="0.3">
      <c r="B126" t="s">
        <v>695</v>
      </c>
      <c r="C126" s="49">
        <f>+IF(C123&lt;0,-C123-C125,-C125)</f>
        <v>9449.5609999999979</v>
      </c>
      <c r="D126" s="49">
        <f t="shared" ref="D126:L126" si="81">+IF(D123&lt;0,-D123-D125,-D125)</f>
        <v>11550</v>
      </c>
      <c r="E126" s="49">
        <f t="shared" si="81"/>
        <v>11550</v>
      </c>
      <c r="F126" s="49">
        <f t="shared" si="81"/>
        <v>11550</v>
      </c>
      <c r="G126" s="49">
        <f t="shared" si="81"/>
        <v>11550</v>
      </c>
      <c r="H126" s="49">
        <f t="shared" si="81"/>
        <v>11550</v>
      </c>
      <c r="I126" s="49">
        <f t="shared" si="81"/>
        <v>11550</v>
      </c>
      <c r="J126" s="49">
        <f t="shared" si="81"/>
        <v>11550</v>
      </c>
      <c r="K126" s="49">
        <f t="shared" si="81"/>
        <v>11550</v>
      </c>
      <c r="L126" s="49">
        <f t="shared" si="81"/>
        <v>11550</v>
      </c>
      <c r="M126" s="49">
        <f t="shared" ref="M126:N126" si="82">+IF(M123&lt;0,-M123-M125,-M125)</f>
        <v>11550</v>
      </c>
      <c r="N126" s="49">
        <f t="shared" si="82"/>
        <v>11550</v>
      </c>
    </row>
    <row r="128" spans="2:14" x14ac:dyDescent="0.3">
      <c r="B128" t="s">
        <v>679</v>
      </c>
      <c r="C128" s="49">
        <f>+IF(C123&gt;0,C123-C125,-C125)</f>
        <v>0</v>
      </c>
      <c r="D128" s="49">
        <f t="shared" ref="D128:L128" si="83">+IF(D123&gt;0,D123-D125,-D125)</f>
        <v>0</v>
      </c>
      <c r="E128" s="49">
        <f t="shared" si="83"/>
        <v>0</v>
      </c>
      <c r="F128" s="49">
        <f t="shared" si="83"/>
        <v>0</v>
      </c>
      <c r="G128" s="49">
        <f t="shared" si="83"/>
        <v>0</v>
      </c>
      <c r="H128" s="49">
        <f t="shared" si="83"/>
        <v>0</v>
      </c>
      <c r="I128" s="49">
        <f t="shared" si="83"/>
        <v>0</v>
      </c>
      <c r="J128" s="49">
        <f t="shared" si="83"/>
        <v>0</v>
      </c>
      <c r="K128" s="49">
        <f t="shared" si="83"/>
        <v>0</v>
      </c>
      <c r="L128" s="49">
        <f t="shared" si="83"/>
        <v>0</v>
      </c>
      <c r="M128" s="49">
        <f t="shared" ref="M128:N128" si="84">+IF(M123&gt;0,M123-M125,-M125)</f>
        <v>0</v>
      </c>
      <c r="N128" s="49">
        <f t="shared" si="84"/>
        <v>0</v>
      </c>
    </row>
    <row r="132" spans="3:14" x14ac:dyDescent="0.3">
      <c r="C132" s="65">
        <f>+C119</f>
        <v>43159</v>
      </c>
      <c r="D132" s="65">
        <f t="shared" ref="D132:N132" si="85">+D119</f>
        <v>43190</v>
      </c>
      <c r="E132" s="65">
        <f t="shared" si="85"/>
        <v>43220</v>
      </c>
      <c r="F132" s="65">
        <f t="shared" si="85"/>
        <v>43251</v>
      </c>
      <c r="G132" s="65">
        <f t="shared" si="85"/>
        <v>43281</v>
      </c>
      <c r="H132" s="65">
        <f t="shared" si="85"/>
        <v>43312</v>
      </c>
      <c r="I132" s="65">
        <f t="shared" si="85"/>
        <v>43343</v>
      </c>
      <c r="J132" s="65">
        <f t="shared" si="85"/>
        <v>43373</v>
      </c>
      <c r="K132" s="65">
        <f t="shared" si="85"/>
        <v>43404</v>
      </c>
      <c r="L132" s="65">
        <f t="shared" si="85"/>
        <v>43434</v>
      </c>
      <c r="M132" s="65">
        <f t="shared" si="85"/>
        <v>43465</v>
      </c>
      <c r="N132" s="65">
        <f t="shared" si="85"/>
        <v>43496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68"/>
  <sheetViews>
    <sheetView showGridLines="0" workbookViewId="0">
      <pane ySplit="4" topLeftCell="A5" activePane="bottomLeft" state="frozen"/>
      <selection pane="bottomLeft"/>
    </sheetView>
  </sheetViews>
  <sheetFormatPr defaultRowHeight="14.4" x14ac:dyDescent="0.3"/>
  <cols>
    <col min="3" max="3" width="33.77734375" bestFit="1" customWidth="1"/>
    <col min="4" max="15" width="14.77734375" bestFit="1" customWidth="1"/>
  </cols>
  <sheetData>
    <row r="1" spans="1:15" x14ac:dyDescent="0.3">
      <c r="A1" s="9" t="s">
        <v>68</v>
      </c>
    </row>
    <row r="3" spans="1:15" x14ac:dyDescent="0.3">
      <c r="D3" s="200">
        <f>+'SP Previsionale'!E3</f>
        <v>43159</v>
      </c>
      <c r="E3" s="200">
        <f>+'SP Previsionale'!F3</f>
        <v>43190</v>
      </c>
      <c r="F3" s="200">
        <f>+'SP Previsionale'!G3</f>
        <v>43220</v>
      </c>
      <c r="G3" s="200">
        <f>+'SP Previsionale'!H3</f>
        <v>43251</v>
      </c>
      <c r="H3" s="200">
        <f>+'SP Previsionale'!I3</f>
        <v>43281</v>
      </c>
      <c r="I3" s="200">
        <f>+'SP Previsionale'!J3</f>
        <v>43312</v>
      </c>
      <c r="J3" s="200">
        <f>+'SP Previsionale'!K3</f>
        <v>43343</v>
      </c>
      <c r="K3" s="200">
        <f>+'SP Previsionale'!L3</f>
        <v>43373</v>
      </c>
      <c r="L3" s="200">
        <f>+'SP Previsionale'!M3</f>
        <v>43404</v>
      </c>
      <c r="M3" s="200">
        <f>+'SP Previsionale'!N3</f>
        <v>43434</v>
      </c>
      <c r="N3" s="200">
        <f>+'SP Previsionale'!O3</f>
        <v>43465</v>
      </c>
      <c r="O3" s="200">
        <f>+'SP Previsionale'!P3</f>
        <v>43496</v>
      </c>
    </row>
    <row r="4" spans="1:15" x14ac:dyDescent="0.3">
      <c r="C4" s="204" t="s">
        <v>866</v>
      </c>
      <c r="D4" s="205">
        <f>+Calcoli!C114</f>
        <v>370159</v>
      </c>
      <c r="E4" s="205">
        <f>+D29</f>
        <v>416686.43900000001</v>
      </c>
      <c r="F4" s="205">
        <f t="shared" ref="F4:M4" si="0">+E29</f>
        <v>441069.43900000001</v>
      </c>
      <c r="G4" s="205">
        <f t="shared" si="0"/>
        <v>560799.43900000001</v>
      </c>
      <c r="H4" s="205">
        <f t="shared" si="0"/>
        <v>581651.55000000005</v>
      </c>
      <c r="I4" s="205">
        <f t="shared" si="0"/>
        <v>608909.55000000005</v>
      </c>
      <c r="J4" s="205">
        <f t="shared" si="0"/>
        <v>641409.55000000005</v>
      </c>
      <c r="K4" s="205">
        <f t="shared" si="0"/>
        <v>673909.55</v>
      </c>
      <c r="L4" s="205">
        <f t="shared" si="0"/>
        <v>706409.55</v>
      </c>
      <c r="M4" s="205">
        <f t="shared" si="0"/>
        <v>738909.55</v>
      </c>
      <c r="N4" s="205">
        <f t="shared" ref="N4" si="1">+M29</f>
        <v>771409.55</v>
      </c>
      <c r="O4" s="205">
        <f t="shared" ref="O4" si="2">+N29</f>
        <v>803909.55</v>
      </c>
    </row>
    <row r="6" spans="1:15" x14ac:dyDescent="0.3">
      <c r="C6" s="122" t="str">
        <f>+Calcoli!B93</f>
        <v>Incassi</v>
      </c>
      <c r="D6" s="116">
        <f>+Calcoli!C93</f>
        <v>219192</v>
      </c>
      <c r="E6" s="116">
        <f>+Calcoli!D93</f>
        <v>158600</v>
      </c>
      <c r="F6" s="116">
        <f>+Calcoli!E93</f>
        <v>158600</v>
      </c>
      <c r="G6" s="116">
        <f>+Calcoli!F93</f>
        <v>158600</v>
      </c>
      <c r="H6" s="116">
        <f>+Calcoli!G93</f>
        <v>158600</v>
      </c>
      <c r="I6" s="116">
        <f>+Calcoli!H93</f>
        <v>158600</v>
      </c>
      <c r="J6" s="116">
        <f>+Calcoli!I93</f>
        <v>158600</v>
      </c>
      <c r="K6" s="116">
        <f>+Calcoli!J93</f>
        <v>158600</v>
      </c>
      <c r="L6" s="116">
        <f>+Calcoli!K93</f>
        <v>158600</v>
      </c>
      <c r="M6" s="116">
        <f>+Calcoli!L93</f>
        <v>158600</v>
      </c>
      <c r="N6" s="116">
        <f>+Calcoli!M93</f>
        <v>158600</v>
      </c>
      <c r="O6" s="116">
        <f>+Calcoli!N93</f>
        <v>158600</v>
      </c>
    </row>
    <row r="7" spans="1:15" x14ac:dyDescent="0.3">
      <c r="C7" s="122" t="str">
        <f>+Calcoli!B94</f>
        <v>Aumento Capitale</v>
      </c>
      <c r="D7" s="116">
        <f>+Calcoli!C94</f>
        <v>0</v>
      </c>
      <c r="E7" s="116">
        <f>+Calcoli!D94</f>
        <v>0</v>
      </c>
      <c r="F7" s="116">
        <f>+Calcoli!E94</f>
        <v>0</v>
      </c>
      <c r="G7" s="116">
        <f>+Calcoli!F94</f>
        <v>0</v>
      </c>
      <c r="H7" s="116">
        <f>+Calcoli!G94</f>
        <v>0</v>
      </c>
      <c r="I7" s="116">
        <f>+Calcoli!H94</f>
        <v>0</v>
      </c>
      <c r="J7" s="116">
        <f>+Calcoli!I94</f>
        <v>0</v>
      </c>
      <c r="K7" s="116">
        <f>+Calcoli!J94</f>
        <v>0</v>
      </c>
      <c r="L7" s="116">
        <f>+Calcoli!K94</f>
        <v>0</v>
      </c>
      <c r="M7" s="116">
        <f>+Calcoli!L94</f>
        <v>0</v>
      </c>
      <c r="N7" s="116">
        <f>+Calcoli!M94</f>
        <v>0</v>
      </c>
      <c r="O7" s="116">
        <f>+Calcoli!N94</f>
        <v>0</v>
      </c>
    </row>
    <row r="8" spans="1:15" x14ac:dyDescent="0.3">
      <c r="C8" s="122" t="str">
        <f>+Calcoli!B95</f>
        <v>Finanziamento</v>
      </c>
      <c r="D8" s="116">
        <f>+Calcoli!C95</f>
        <v>0</v>
      </c>
      <c r="E8" s="116">
        <f>+Calcoli!D95</f>
        <v>0</v>
      </c>
      <c r="F8" s="116">
        <f>+Calcoli!E95</f>
        <v>0</v>
      </c>
      <c r="G8" s="116">
        <f>+Calcoli!F95</f>
        <v>0</v>
      </c>
      <c r="H8" s="116">
        <f>+Calcoli!G95</f>
        <v>0</v>
      </c>
      <c r="I8" s="116">
        <f>+Calcoli!H95</f>
        <v>0</v>
      </c>
      <c r="J8" s="116">
        <f>+Calcoli!I95</f>
        <v>0</v>
      </c>
      <c r="K8" s="116">
        <f>+Calcoli!J95</f>
        <v>0</v>
      </c>
      <c r="L8" s="116">
        <f>+Calcoli!K95</f>
        <v>0</v>
      </c>
      <c r="M8" s="116">
        <f>+Calcoli!L95</f>
        <v>0</v>
      </c>
      <c r="N8" s="116">
        <f>+Calcoli!M95</f>
        <v>0</v>
      </c>
      <c r="O8" s="116">
        <f>+Calcoli!N95</f>
        <v>0</v>
      </c>
    </row>
    <row r="11" spans="1:15" x14ac:dyDescent="0.3">
      <c r="C11" s="202" t="s">
        <v>867</v>
      </c>
      <c r="D11" s="171">
        <f>+SUM(D6:D8)</f>
        <v>219192</v>
      </c>
      <c r="E11" s="171">
        <f t="shared" ref="E11:M11" si="3">+SUM(E6:E8)</f>
        <v>158600</v>
      </c>
      <c r="F11" s="171">
        <f t="shared" si="3"/>
        <v>158600</v>
      </c>
      <c r="G11" s="171">
        <f t="shared" si="3"/>
        <v>158600</v>
      </c>
      <c r="H11" s="171">
        <f t="shared" si="3"/>
        <v>158600</v>
      </c>
      <c r="I11" s="171">
        <f t="shared" si="3"/>
        <v>158600</v>
      </c>
      <c r="J11" s="171">
        <f t="shared" si="3"/>
        <v>158600</v>
      </c>
      <c r="K11" s="171">
        <f t="shared" si="3"/>
        <v>158600</v>
      </c>
      <c r="L11" s="171">
        <f t="shared" si="3"/>
        <v>158600</v>
      </c>
      <c r="M11" s="171">
        <f t="shared" si="3"/>
        <v>158600</v>
      </c>
      <c r="N11" s="171">
        <f t="shared" ref="N11:O11" si="4">+SUM(N6:N8)</f>
        <v>158600</v>
      </c>
      <c r="O11" s="171">
        <f t="shared" si="4"/>
        <v>158600</v>
      </c>
    </row>
    <row r="13" spans="1:15" x14ac:dyDescent="0.3">
      <c r="C13" s="122" t="str">
        <f>+Calcoli!B99</f>
        <v>Uscite Materie Prime</v>
      </c>
      <c r="D13" s="116">
        <f>+Calcoli!C99</f>
        <v>80000</v>
      </c>
      <c r="E13" s="116">
        <f>+Calcoli!D99</f>
        <v>84324</v>
      </c>
      <c r="F13" s="116">
        <f>+Calcoli!E99</f>
        <v>0</v>
      </c>
      <c r="G13" s="116">
        <f>+Calcoli!F99</f>
        <v>98877.88900000001</v>
      </c>
      <c r="H13" s="116">
        <f>+Calcoli!G99</f>
        <v>87230</v>
      </c>
      <c r="I13" s="116">
        <f>+Calcoli!H99</f>
        <v>87230</v>
      </c>
      <c r="J13" s="116">
        <f>+Calcoli!I99</f>
        <v>87230</v>
      </c>
      <c r="K13" s="116">
        <f>+Calcoli!J99</f>
        <v>87230</v>
      </c>
      <c r="L13" s="116">
        <f>+Calcoli!K99</f>
        <v>87230</v>
      </c>
      <c r="M13" s="116">
        <f>+Calcoli!L99</f>
        <v>87230</v>
      </c>
      <c r="N13" s="116">
        <f>+Calcoli!M99</f>
        <v>87230</v>
      </c>
      <c r="O13" s="116">
        <f>+Calcoli!N99</f>
        <v>87230</v>
      </c>
    </row>
    <row r="14" spans="1:15" x14ac:dyDescent="0.3">
      <c r="C14" s="122" t="str">
        <f>+Calcoli!B100</f>
        <v>Uscite Costi Variabili</v>
      </c>
      <c r="D14" s="116">
        <f>+Calcoli!C100</f>
        <v>7320</v>
      </c>
      <c r="E14" s="116">
        <f>+Calcoli!D100</f>
        <v>7320</v>
      </c>
      <c r="F14" s="116">
        <f>+Calcoli!E100</f>
        <v>7320</v>
      </c>
      <c r="G14" s="116">
        <f>+Calcoli!F100</f>
        <v>7320</v>
      </c>
      <c r="H14" s="116">
        <f>+Calcoli!G100</f>
        <v>7320</v>
      </c>
      <c r="I14" s="116">
        <f>+Calcoli!H100</f>
        <v>7320</v>
      </c>
      <c r="J14" s="116">
        <f>+Calcoli!I100</f>
        <v>7320</v>
      </c>
      <c r="K14" s="116">
        <f>+Calcoli!J100</f>
        <v>7320</v>
      </c>
      <c r="L14" s="116">
        <f>+Calcoli!K100</f>
        <v>7320</v>
      </c>
      <c r="M14" s="116">
        <f>+Calcoli!L100</f>
        <v>7320</v>
      </c>
      <c r="N14" s="116">
        <f>+Calcoli!M100</f>
        <v>7320</v>
      </c>
      <c r="O14" s="116">
        <f>+Calcoli!N100</f>
        <v>7320</v>
      </c>
    </row>
    <row r="15" spans="1:15" x14ac:dyDescent="0.3">
      <c r="C15" s="122" t="str">
        <f>+Calcoli!B101</f>
        <v>Uscite Altri Debit</v>
      </c>
      <c r="D15" s="116">
        <f>+Calcoli!C101</f>
        <v>45546</v>
      </c>
      <c r="E15" s="116">
        <f>+Calcoli!D101</f>
        <v>11023</v>
      </c>
      <c r="F15" s="116">
        <f>+Calcoli!E101</f>
        <v>0</v>
      </c>
      <c r="G15" s="116">
        <f>+Calcoli!F101</f>
        <v>0</v>
      </c>
      <c r="H15" s="116">
        <f>+Calcoli!G101</f>
        <v>0</v>
      </c>
      <c r="I15" s="116">
        <f>+Calcoli!H101</f>
        <v>0</v>
      </c>
      <c r="J15" s="116">
        <f>+Calcoli!I101</f>
        <v>0</v>
      </c>
      <c r="K15" s="116">
        <f>+Calcoli!J101</f>
        <v>0</v>
      </c>
      <c r="L15" s="116">
        <f>+Calcoli!K101</f>
        <v>0</v>
      </c>
      <c r="M15" s="116">
        <f>+Calcoli!L101</f>
        <v>0</v>
      </c>
      <c r="N15" s="116">
        <f>+Calcoli!M101</f>
        <v>0</v>
      </c>
      <c r="O15" s="116">
        <f>+Calcoli!N101</f>
        <v>0</v>
      </c>
    </row>
    <row r="16" spans="1:15" x14ac:dyDescent="0.3">
      <c r="C16" s="122" t="str">
        <f>+Calcoli!B102</f>
        <v>Uscite Personale</v>
      </c>
      <c r="D16" s="116">
        <f>+Calcoli!C102</f>
        <v>30349</v>
      </c>
      <c r="E16" s="116">
        <f>+Calcoli!D102</f>
        <v>20000</v>
      </c>
      <c r="F16" s="116">
        <f>+Calcoli!E102</f>
        <v>20000</v>
      </c>
      <c r="G16" s="116">
        <f>+Calcoli!F102</f>
        <v>20000</v>
      </c>
      <c r="H16" s="116">
        <f>+Calcoli!G102</f>
        <v>20000</v>
      </c>
      <c r="I16" s="116">
        <f>+Calcoli!H102</f>
        <v>20000</v>
      </c>
      <c r="J16" s="116">
        <f>+Calcoli!I102</f>
        <v>20000</v>
      </c>
      <c r="K16" s="116">
        <f>+Calcoli!J102</f>
        <v>20000</v>
      </c>
      <c r="L16" s="116">
        <f>+Calcoli!K102</f>
        <v>20000</v>
      </c>
      <c r="M16" s="116">
        <f>+Calcoli!L102</f>
        <v>20000</v>
      </c>
      <c r="N16" s="116">
        <f>+Calcoli!M102</f>
        <v>20000</v>
      </c>
      <c r="O16" s="116">
        <f>+Calcoli!N102</f>
        <v>20000</v>
      </c>
    </row>
    <row r="17" spans="3:15" x14ac:dyDescent="0.3">
      <c r="C17" s="122" t="str">
        <f>+Calcoli!B103</f>
        <v>Investimenti</v>
      </c>
      <c r="D17" s="116">
        <f>+Calcoli!C103</f>
        <v>0</v>
      </c>
      <c r="E17" s="116">
        <f>+Calcoli!D103</f>
        <v>0</v>
      </c>
      <c r="F17" s="116">
        <f>+Calcoli!E103</f>
        <v>0</v>
      </c>
      <c r="G17" s="116">
        <f>+Calcoli!F103</f>
        <v>0</v>
      </c>
      <c r="H17" s="116">
        <f>+Calcoli!G103</f>
        <v>0</v>
      </c>
      <c r="I17" s="116">
        <f>+Calcoli!H103</f>
        <v>0</v>
      </c>
      <c r="J17" s="116">
        <f>+Calcoli!I103</f>
        <v>0</v>
      </c>
      <c r="K17" s="116">
        <f>+Calcoli!J103</f>
        <v>0</v>
      </c>
      <c r="L17" s="116">
        <f>+Calcoli!K103</f>
        <v>0</v>
      </c>
      <c r="M17" s="116">
        <f>+Calcoli!L103</f>
        <v>0</v>
      </c>
      <c r="N17" s="116">
        <f>+Calcoli!M103</f>
        <v>0</v>
      </c>
      <c r="O17" s="116">
        <f>+Calcoli!N103</f>
        <v>0</v>
      </c>
    </row>
    <row r="18" spans="3:15" x14ac:dyDescent="0.3">
      <c r="C18" s="122" t="str">
        <f>+Calcoli!B104</f>
        <v>Rata Finanziamento</v>
      </c>
      <c r="D18" s="116">
        <f>+Calcoli!C104</f>
        <v>0</v>
      </c>
      <c r="E18" s="116">
        <f>+Calcoli!D104</f>
        <v>0</v>
      </c>
      <c r="F18" s="116">
        <f>+Calcoli!E104</f>
        <v>0</v>
      </c>
      <c r="G18" s="116">
        <f>+Calcoli!F104</f>
        <v>0</v>
      </c>
      <c r="H18" s="116">
        <f>+Calcoli!G104</f>
        <v>0</v>
      </c>
      <c r="I18" s="116">
        <f>+Calcoli!H104</f>
        <v>0</v>
      </c>
      <c r="J18" s="116">
        <f>+Calcoli!I104</f>
        <v>0</v>
      </c>
      <c r="K18" s="116">
        <f>+Calcoli!J104</f>
        <v>0</v>
      </c>
      <c r="L18" s="116">
        <f>+Calcoli!K104</f>
        <v>0</v>
      </c>
      <c r="M18" s="116">
        <f>+Calcoli!L104</f>
        <v>0</v>
      </c>
      <c r="N18" s="116">
        <f>+Calcoli!M104</f>
        <v>0</v>
      </c>
      <c r="O18" s="116">
        <f>+Calcoli!N104</f>
        <v>0</v>
      </c>
    </row>
    <row r="19" spans="3:15" x14ac:dyDescent="0.3">
      <c r="C19" s="122" t="str">
        <f>+Calcoli!B105</f>
        <v>Utilizzo TFR</v>
      </c>
      <c r="D19" s="116">
        <f>+Calcoli!C105</f>
        <v>0</v>
      </c>
      <c r="E19" s="116">
        <f>+Calcoli!D105</f>
        <v>0</v>
      </c>
      <c r="F19" s="116">
        <f>+Calcoli!E105</f>
        <v>0</v>
      </c>
      <c r="G19" s="116">
        <f>+Calcoli!F105</f>
        <v>0</v>
      </c>
      <c r="H19" s="116">
        <f>+Calcoli!G105</f>
        <v>0</v>
      </c>
      <c r="I19" s="116">
        <f>+Calcoli!H105</f>
        <v>0</v>
      </c>
      <c r="J19" s="116">
        <f>+Calcoli!I105</f>
        <v>0</v>
      </c>
      <c r="K19" s="116">
        <f>+Calcoli!J105</f>
        <v>0</v>
      </c>
      <c r="L19" s="116">
        <f>+Calcoli!K105</f>
        <v>0</v>
      </c>
      <c r="M19" s="116">
        <f>+Calcoli!L105</f>
        <v>0</v>
      </c>
      <c r="N19" s="116">
        <f>+Calcoli!M105</f>
        <v>0</v>
      </c>
      <c r="O19" s="116">
        <f>+Calcoli!N105</f>
        <v>0</v>
      </c>
    </row>
    <row r="20" spans="3:15" x14ac:dyDescent="0.3">
      <c r="C20" s="122" t="str">
        <f>+Calcoli!B106</f>
        <v>Liquidazione Iva</v>
      </c>
      <c r="D20" s="116">
        <f>+Calcoli!C106</f>
        <v>9449.5609999999979</v>
      </c>
      <c r="E20" s="116">
        <f>+Calcoli!D106</f>
        <v>11550</v>
      </c>
      <c r="F20" s="116">
        <f>+Calcoli!E106</f>
        <v>11550</v>
      </c>
      <c r="G20" s="116">
        <f>+Calcoli!F106</f>
        <v>11550</v>
      </c>
      <c r="H20" s="116">
        <f>+Calcoli!G106</f>
        <v>11550</v>
      </c>
      <c r="I20" s="116">
        <f>+Calcoli!H106</f>
        <v>11550</v>
      </c>
      <c r="J20" s="116">
        <f>+Calcoli!I106</f>
        <v>11550</v>
      </c>
      <c r="K20" s="116">
        <f>+Calcoli!J106</f>
        <v>11550</v>
      </c>
      <c r="L20" s="116">
        <f>+Calcoli!K106</f>
        <v>11550</v>
      </c>
      <c r="M20" s="116">
        <f>+Calcoli!L106</f>
        <v>11550</v>
      </c>
      <c r="N20" s="116">
        <f>+Calcoli!M106</f>
        <v>11550</v>
      </c>
      <c r="O20" s="116">
        <f>+Calcoli!N106</f>
        <v>11550</v>
      </c>
    </row>
    <row r="21" spans="3:15" x14ac:dyDescent="0.3">
      <c r="C21" s="122" t="str">
        <f>+Calcoli!B107</f>
        <v>Imposte</v>
      </c>
      <c r="D21" s="116">
        <f>+Calcoli!C107</f>
        <v>0</v>
      </c>
      <c r="E21" s="116">
        <f>+Calcoli!D107</f>
        <v>0</v>
      </c>
      <c r="F21" s="116">
        <f>+Calcoli!E107</f>
        <v>0</v>
      </c>
      <c r="G21" s="116">
        <f>+Calcoli!F107</f>
        <v>0</v>
      </c>
      <c r="H21" s="116">
        <f>+Calcoli!G107</f>
        <v>5242</v>
      </c>
      <c r="I21" s="116">
        <f>+Calcoli!H107</f>
        <v>0</v>
      </c>
      <c r="J21" s="116">
        <f>+Calcoli!I107</f>
        <v>0</v>
      </c>
      <c r="K21" s="116">
        <f>+Calcoli!J107</f>
        <v>0</v>
      </c>
      <c r="L21" s="116">
        <f>+Calcoli!K107</f>
        <v>0</v>
      </c>
      <c r="M21" s="116">
        <f>+Calcoli!L107</f>
        <v>0</v>
      </c>
      <c r="N21" s="116">
        <f>+Calcoli!M107</f>
        <v>0</v>
      </c>
      <c r="O21" s="116">
        <f>+Calcoli!N107</f>
        <v>0</v>
      </c>
    </row>
    <row r="22" spans="3:15" x14ac:dyDescent="0.3">
      <c r="C22" s="122" t="str">
        <f>+Calcoli!B108</f>
        <v>Oneri diversi di gestione</v>
      </c>
      <c r="D22" s="116">
        <f>+Calcoli!C108</f>
        <v>0</v>
      </c>
      <c r="E22" s="116">
        <f>+Calcoli!D108</f>
        <v>0</v>
      </c>
      <c r="F22" s="116">
        <f>+Calcoli!E108</f>
        <v>0</v>
      </c>
      <c r="G22" s="116">
        <f>+Calcoli!F108</f>
        <v>0</v>
      </c>
      <c r="H22" s="116">
        <f>+Calcoli!G108</f>
        <v>0</v>
      </c>
      <c r="I22" s="116">
        <f>+Calcoli!H108</f>
        <v>0</v>
      </c>
      <c r="J22" s="116">
        <f>+Calcoli!I108</f>
        <v>0</v>
      </c>
      <c r="K22" s="116">
        <f>+Calcoli!J108</f>
        <v>0</v>
      </c>
      <c r="L22" s="116">
        <f>+Calcoli!K108</f>
        <v>0</v>
      </c>
      <c r="M22" s="116">
        <f>+Calcoli!L108</f>
        <v>0</v>
      </c>
      <c r="N22" s="116">
        <f>+Calcoli!M108</f>
        <v>0</v>
      </c>
      <c r="O22" s="116">
        <f>+Calcoli!N108</f>
        <v>0</v>
      </c>
    </row>
    <row r="23" spans="3:15" x14ac:dyDescent="0.3">
      <c r="C23" s="122" t="str">
        <f>+Calcoli!B109</f>
        <v>Distribuzione Utile</v>
      </c>
      <c r="D23" s="116">
        <f>+Calcoli!C109</f>
        <v>0</v>
      </c>
      <c r="E23" s="116">
        <f>+Calcoli!D109</f>
        <v>0</v>
      </c>
      <c r="F23" s="116">
        <f>+Calcoli!E109</f>
        <v>0</v>
      </c>
      <c r="G23" s="116">
        <f>+Calcoli!F109</f>
        <v>0</v>
      </c>
      <c r="H23" s="116">
        <f>+Calcoli!G109</f>
        <v>0</v>
      </c>
      <c r="I23" s="116">
        <f>+Calcoli!H109</f>
        <v>0</v>
      </c>
      <c r="J23" s="116">
        <f>+Calcoli!I109</f>
        <v>0</v>
      </c>
      <c r="K23" s="116">
        <f>+Calcoli!J109</f>
        <v>0</v>
      </c>
      <c r="L23" s="116">
        <f>+Calcoli!K109</f>
        <v>0</v>
      </c>
      <c r="M23" s="116">
        <f>+Calcoli!L109</f>
        <v>0</v>
      </c>
      <c r="N23" s="116">
        <f>+Calcoli!M109</f>
        <v>0</v>
      </c>
      <c r="O23" s="116">
        <f>+Calcoli!N109</f>
        <v>0</v>
      </c>
    </row>
    <row r="25" spans="3:15" x14ac:dyDescent="0.3">
      <c r="C25" s="202" t="s">
        <v>868</v>
      </c>
      <c r="D25" s="171">
        <f>+SUM(D13:D23)</f>
        <v>172664.56099999999</v>
      </c>
      <c r="E25" s="171">
        <f t="shared" ref="E25:M25" si="5">+SUM(E13:E23)</f>
        <v>134217</v>
      </c>
      <c r="F25" s="171">
        <f t="shared" si="5"/>
        <v>38870</v>
      </c>
      <c r="G25" s="171">
        <f t="shared" si="5"/>
        <v>137747.88900000002</v>
      </c>
      <c r="H25" s="171">
        <f t="shared" si="5"/>
        <v>131342</v>
      </c>
      <c r="I25" s="171">
        <f t="shared" si="5"/>
        <v>126100</v>
      </c>
      <c r="J25" s="171">
        <f t="shared" si="5"/>
        <v>126100</v>
      </c>
      <c r="K25" s="171">
        <f t="shared" si="5"/>
        <v>126100</v>
      </c>
      <c r="L25" s="171">
        <f t="shared" si="5"/>
        <v>126100</v>
      </c>
      <c r="M25" s="171">
        <f t="shared" si="5"/>
        <v>126100</v>
      </c>
      <c r="N25" s="171">
        <f t="shared" ref="N25:O25" si="6">+SUM(N13:N23)</f>
        <v>126100</v>
      </c>
      <c r="O25" s="171">
        <f t="shared" si="6"/>
        <v>126100</v>
      </c>
    </row>
    <row r="27" spans="3:15" x14ac:dyDescent="0.3">
      <c r="C27" s="202" t="s">
        <v>692</v>
      </c>
      <c r="D27" s="171">
        <f>+D11-D25</f>
        <v>46527.439000000013</v>
      </c>
      <c r="E27" s="171">
        <f t="shared" ref="E27:M27" si="7">+E11-E25</f>
        <v>24383</v>
      </c>
      <c r="F27" s="171">
        <f t="shared" si="7"/>
        <v>119730</v>
      </c>
      <c r="G27" s="171">
        <f t="shared" si="7"/>
        <v>20852.110999999975</v>
      </c>
      <c r="H27" s="171">
        <f t="shared" si="7"/>
        <v>27258</v>
      </c>
      <c r="I27" s="171">
        <f t="shared" si="7"/>
        <v>32500</v>
      </c>
      <c r="J27" s="171">
        <f t="shared" si="7"/>
        <v>32500</v>
      </c>
      <c r="K27" s="171">
        <f t="shared" si="7"/>
        <v>32500</v>
      </c>
      <c r="L27" s="171">
        <f t="shared" si="7"/>
        <v>32500</v>
      </c>
      <c r="M27" s="171">
        <f t="shared" si="7"/>
        <v>32500</v>
      </c>
      <c r="N27" s="171">
        <f t="shared" ref="N27:O27" si="8">+N11-N25</f>
        <v>32500</v>
      </c>
      <c r="O27" s="171">
        <f t="shared" si="8"/>
        <v>32500</v>
      </c>
    </row>
    <row r="29" spans="3:15" x14ac:dyDescent="0.3">
      <c r="C29" s="204" t="s">
        <v>869</v>
      </c>
      <c r="D29" s="205">
        <f>+D4+D27</f>
        <v>416686.43900000001</v>
      </c>
      <c r="E29" s="205">
        <f t="shared" ref="E29:M29" si="9">+E4+E27</f>
        <v>441069.43900000001</v>
      </c>
      <c r="F29" s="205">
        <f t="shared" si="9"/>
        <v>560799.43900000001</v>
      </c>
      <c r="G29" s="205">
        <f t="shared" si="9"/>
        <v>581651.55000000005</v>
      </c>
      <c r="H29" s="205">
        <f t="shared" si="9"/>
        <v>608909.55000000005</v>
      </c>
      <c r="I29" s="205">
        <f t="shared" si="9"/>
        <v>641409.55000000005</v>
      </c>
      <c r="J29" s="205">
        <f t="shared" si="9"/>
        <v>673909.55</v>
      </c>
      <c r="K29" s="205">
        <f t="shared" si="9"/>
        <v>706409.55</v>
      </c>
      <c r="L29" s="205">
        <f t="shared" si="9"/>
        <v>738909.55</v>
      </c>
      <c r="M29" s="205">
        <f t="shared" si="9"/>
        <v>771409.55</v>
      </c>
      <c r="N29" s="205">
        <f t="shared" ref="N29:O29" si="10">+N4+N27</f>
        <v>803909.55</v>
      </c>
      <c r="O29" s="205">
        <f t="shared" si="10"/>
        <v>836409.55</v>
      </c>
    </row>
    <row r="31" spans="3:15" x14ac:dyDescent="0.3">
      <c r="C31" s="202" t="s">
        <v>870</v>
      </c>
      <c r="D31" s="171">
        <v>10000</v>
      </c>
      <c r="E31" s="171">
        <v>10000</v>
      </c>
      <c r="F31" s="171">
        <v>10000</v>
      </c>
      <c r="G31" s="171">
        <v>10000</v>
      </c>
      <c r="H31" s="171">
        <v>10000</v>
      </c>
      <c r="I31" s="171">
        <v>10000</v>
      </c>
      <c r="J31" s="171">
        <v>10000</v>
      </c>
      <c r="K31" s="171">
        <v>10000</v>
      </c>
      <c r="L31" s="171">
        <v>10000</v>
      </c>
      <c r="M31" s="171">
        <v>10000</v>
      </c>
      <c r="N31" s="171">
        <v>10001</v>
      </c>
      <c r="O31" s="171">
        <v>10002</v>
      </c>
    </row>
    <row r="33" spans="3:15" x14ac:dyDescent="0.3">
      <c r="C33" s="202" t="s">
        <v>871</v>
      </c>
      <c r="D33" s="171">
        <f>+IF(-D29&gt;D31,D31+D29,0)</f>
        <v>0</v>
      </c>
      <c r="E33" s="171">
        <f t="shared" ref="E33:M33" si="11">+IF(-E29&gt;E31,E31+E29,0)</f>
        <v>0</v>
      </c>
      <c r="F33" s="171">
        <f t="shared" si="11"/>
        <v>0</v>
      </c>
      <c r="G33" s="171">
        <f t="shared" si="11"/>
        <v>0</v>
      </c>
      <c r="H33" s="171">
        <f t="shared" si="11"/>
        <v>0</v>
      </c>
      <c r="I33" s="171">
        <f t="shared" si="11"/>
        <v>0</v>
      </c>
      <c r="J33" s="171">
        <f t="shared" si="11"/>
        <v>0</v>
      </c>
      <c r="K33" s="171">
        <f t="shared" si="11"/>
        <v>0</v>
      </c>
      <c r="L33" s="171">
        <f t="shared" si="11"/>
        <v>0</v>
      </c>
      <c r="M33" s="171">
        <f t="shared" si="11"/>
        <v>0</v>
      </c>
      <c r="N33" s="171">
        <f t="shared" ref="N33:O33" si="12">+IF(-N29&gt;N31,N31+N29,0)</f>
        <v>0</v>
      </c>
      <c r="O33" s="171">
        <f t="shared" si="12"/>
        <v>0</v>
      </c>
    </row>
    <row r="36" spans="3:15" x14ac:dyDescent="0.3">
      <c r="C36" s="204" t="s">
        <v>879</v>
      </c>
      <c r="D36" s="200">
        <f>+D3</f>
        <v>43159</v>
      </c>
      <c r="E36" s="200">
        <f t="shared" ref="E36:O36" si="13">+E3</f>
        <v>43190</v>
      </c>
      <c r="F36" s="200">
        <f t="shared" si="13"/>
        <v>43220</v>
      </c>
      <c r="G36" s="200">
        <f t="shared" si="13"/>
        <v>43251</v>
      </c>
      <c r="H36" s="200">
        <f t="shared" si="13"/>
        <v>43281</v>
      </c>
      <c r="I36" s="200">
        <f t="shared" si="13"/>
        <v>43312</v>
      </c>
      <c r="J36" s="200">
        <f t="shared" si="13"/>
        <v>43343</v>
      </c>
      <c r="K36" s="200">
        <f t="shared" si="13"/>
        <v>43373</v>
      </c>
      <c r="L36" s="200">
        <f t="shared" si="13"/>
        <v>43404</v>
      </c>
      <c r="M36" s="200">
        <f t="shared" si="13"/>
        <v>43434</v>
      </c>
      <c r="N36" s="200">
        <f t="shared" si="13"/>
        <v>43465</v>
      </c>
      <c r="O36" s="200">
        <f t="shared" si="13"/>
        <v>43496</v>
      </c>
    </row>
    <row r="38" spans="3:15" x14ac:dyDescent="0.3">
      <c r="C38" s="122" t="str">
        <f>+'SP Previsionale'!C5</f>
        <v>Cassa e Banca</v>
      </c>
      <c r="D38" s="116">
        <f>+'SP Previsionale'!D5</f>
        <v>370159</v>
      </c>
      <c r="E38" s="116">
        <f>+'SP Previsionale'!E5</f>
        <v>416686.43900000001</v>
      </c>
      <c r="F38" s="116">
        <f>+'SP Previsionale'!F5</f>
        <v>441069.43900000001</v>
      </c>
      <c r="G38" s="116">
        <f>+'SP Previsionale'!G5</f>
        <v>560799.43900000001</v>
      </c>
      <c r="H38" s="116">
        <f>+'SP Previsionale'!H5</f>
        <v>581651.55000000005</v>
      </c>
      <c r="I38" s="116">
        <f>+'SP Previsionale'!I5</f>
        <v>608909.55000000005</v>
      </c>
      <c r="J38" s="116">
        <f>+'SP Previsionale'!J5</f>
        <v>641409.55000000005</v>
      </c>
      <c r="K38" s="116">
        <f>+'SP Previsionale'!K5</f>
        <v>673909.55</v>
      </c>
      <c r="L38" s="116">
        <f>+'SP Previsionale'!L5</f>
        <v>706409.55</v>
      </c>
      <c r="M38" s="116">
        <f>+'SP Previsionale'!M5</f>
        <v>738909.55</v>
      </c>
      <c r="N38" s="116">
        <f>+'SP Previsionale'!N5</f>
        <v>771409.55</v>
      </c>
      <c r="O38" s="116">
        <f>+'SP Previsionale'!O5</f>
        <v>803909.55</v>
      </c>
    </row>
    <row r="39" spans="3:15" s="207" customFormat="1" x14ac:dyDescent="0.3">
      <c r="C39" s="122" t="str">
        <f>+'SP Previsionale'!C8</f>
        <v>Crediti v/clienti</v>
      </c>
      <c r="D39" s="116">
        <f>+'SP Previsionale'!D8</f>
        <v>36943</v>
      </c>
      <c r="E39" s="116">
        <f>+'SP Previsionale'!E8</f>
        <v>0</v>
      </c>
      <c r="F39" s="116">
        <f>+'SP Previsionale'!F8</f>
        <v>0</v>
      </c>
      <c r="G39" s="116">
        <f>+'SP Previsionale'!G8</f>
        <v>0</v>
      </c>
      <c r="H39" s="116">
        <f>+'SP Previsionale'!H8</f>
        <v>0</v>
      </c>
      <c r="I39" s="116">
        <f>+'SP Previsionale'!I8</f>
        <v>0</v>
      </c>
      <c r="J39" s="116">
        <f>+'SP Previsionale'!J8</f>
        <v>0</v>
      </c>
      <c r="K39" s="116">
        <f>+'SP Previsionale'!K8</f>
        <v>0</v>
      </c>
      <c r="L39" s="116">
        <f>+'SP Previsionale'!L8</f>
        <v>0</v>
      </c>
      <c r="M39" s="116">
        <f>+'SP Previsionale'!M8</f>
        <v>0</v>
      </c>
      <c r="N39" s="116">
        <f>+'SP Previsionale'!N8</f>
        <v>0</v>
      </c>
      <c r="O39" s="116">
        <f>+'SP Previsionale'!O8</f>
        <v>0</v>
      </c>
    </row>
    <row r="40" spans="3:15" s="207" customFormat="1" x14ac:dyDescent="0.3">
      <c r="C40" s="122" t="str">
        <f>+'SP Previsionale'!C9</f>
        <v>Erario c/acc. Imposte e Ritenute e Iva</v>
      </c>
      <c r="D40" s="116">
        <f>+'SP Previsionale'!D9</f>
        <v>10975</v>
      </c>
      <c r="E40" s="116">
        <f>+'SP Previsionale'!E9</f>
        <v>10975</v>
      </c>
      <c r="F40" s="116">
        <f>+'SP Previsionale'!F9</f>
        <v>10975</v>
      </c>
      <c r="G40" s="116">
        <f>+'SP Previsionale'!G9</f>
        <v>10975</v>
      </c>
      <c r="H40" s="116">
        <f>+'SP Previsionale'!H9</f>
        <v>10975</v>
      </c>
      <c r="I40" s="116">
        <f>+'SP Previsionale'!I9</f>
        <v>10975</v>
      </c>
      <c r="J40" s="116">
        <f>+'SP Previsionale'!J9</f>
        <v>10975</v>
      </c>
      <c r="K40" s="116">
        <f>+'SP Previsionale'!K9</f>
        <v>10975</v>
      </c>
      <c r="L40" s="116">
        <f>+'SP Previsionale'!L9</f>
        <v>10975</v>
      </c>
      <c r="M40" s="116">
        <f>+'SP Previsionale'!M9</f>
        <v>10975</v>
      </c>
      <c r="N40" s="116">
        <f>+'SP Previsionale'!N9</f>
        <v>10975</v>
      </c>
      <c r="O40" s="116">
        <f>+'SP Previsionale'!O9</f>
        <v>10975</v>
      </c>
    </row>
    <row r="41" spans="3:15" s="207" customFormat="1" x14ac:dyDescent="0.3">
      <c r="C41" s="122" t="str">
        <f>+'SP Previsionale'!C10</f>
        <v>Ratei e Risconti Attivi</v>
      </c>
      <c r="D41" s="116">
        <f>+'SP Previsionale'!D10</f>
        <v>12624</v>
      </c>
      <c r="E41" s="116">
        <f>+'SP Previsionale'!E10</f>
        <v>12624</v>
      </c>
      <c r="F41" s="116">
        <f>+'SP Previsionale'!F10</f>
        <v>12624</v>
      </c>
      <c r="G41" s="116">
        <f>+'SP Previsionale'!G10</f>
        <v>12624</v>
      </c>
      <c r="H41" s="116">
        <f>+'SP Previsionale'!H10</f>
        <v>12624</v>
      </c>
      <c r="I41" s="116">
        <f>+'SP Previsionale'!I10</f>
        <v>12624</v>
      </c>
      <c r="J41" s="116">
        <f>+'SP Previsionale'!J10</f>
        <v>12624</v>
      </c>
      <c r="K41" s="116">
        <f>+'SP Previsionale'!K10</f>
        <v>12624</v>
      </c>
      <c r="L41" s="116">
        <f>+'SP Previsionale'!L10</f>
        <v>12624</v>
      </c>
      <c r="M41" s="116">
        <f>+'SP Previsionale'!M10</f>
        <v>12624</v>
      </c>
      <c r="N41" s="116">
        <f>+'SP Previsionale'!N10</f>
        <v>12624</v>
      </c>
      <c r="O41" s="116">
        <f>+'SP Previsionale'!O10</f>
        <v>12624</v>
      </c>
    </row>
    <row r="42" spans="3:15" s="207" customFormat="1" x14ac:dyDescent="0.3">
      <c r="C42" s="122" t="str">
        <f>+'SP Previsionale'!C11</f>
        <v>Altri Crediti, fatture da emettere, ecc</v>
      </c>
      <c r="D42" s="116">
        <f>+'SP Previsionale'!D11</f>
        <v>23649</v>
      </c>
      <c r="E42" s="116">
        <f>+'SP Previsionale'!E11</f>
        <v>0</v>
      </c>
      <c r="F42" s="116">
        <f>+'SP Previsionale'!F11</f>
        <v>0</v>
      </c>
      <c r="G42" s="116">
        <f>+'SP Previsionale'!G11</f>
        <v>0</v>
      </c>
      <c r="H42" s="116">
        <f>+'SP Previsionale'!H11</f>
        <v>0</v>
      </c>
      <c r="I42" s="116">
        <f>+'SP Previsionale'!I11</f>
        <v>0</v>
      </c>
      <c r="J42" s="116">
        <f>+'SP Previsionale'!J11</f>
        <v>0</v>
      </c>
      <c r="K42" s="116">
        <f>+'SP Previsionale'!K11</f>
        <v>0</v>
      </c>
      <c r="L42" s="116">
        <f>+'SP Previsionale'!L11</f>
        <v>0</v>
      </c>
      <c r="M42" s="116">
        <f>+'SP Previsionale'!M11</f>
        <v>0</v>
      </c>
      <c r="N42" s="116">
        <f>+'SP Previsionale'!N11</f>
        <v>0</v>
      </c>
      <c r="O42" s="116">
        <f>+'SP Previsionale'!O11</f>
        <v>0</v>
      </c>
    </row>
    <row r="43" spans="3:15" s="207" customFormat="1" x14ac:dyDescent="0.3">
      <c r="C43" s="122" t="str">
        <f>+'SP Previsionale'!C13</f>
        <v>Rim. Merci, Mat. Prime, Suss., Semilav.</v>
      </c>
      <c r="D43" s="116">
        <f>+'SP Previsionale'!D13</f>
        <v>132641</v>
      </c>
      <c r="E43" s="116">
        <f>+'SP Previsionale'!E13</f>
        <v>150000</v>
      </c>
      <c r="F43" s="116">
        <f>+'SP Previsionale'!F13</f>
        <v>150000</v>
      </c>
      <c r="G43" s="116">
        <f>+'SP Previsionale'!G13</f>
        <v>150000</v>
      </c>
      <c r="H43" s="116">
        <f>+'SP Previsionale'!H13</f>
        <v>150000</v>
      </c>
      <c r="I43" s="116">
        <f>+'SP Previsionale'!I13</f>
        <v>150000</v>
      </c>
      <c r="J43" s="116">
        <f>+'SP Previsionale'!J13</f>
        <v>150000</v>
      </c>
      <c r="K43" s="116">
        <f>+'SP Previsionale'!K13</f>
        <v>150000</v>
      </c>
      <c r="L43" s="116">
        <f>+'SP Previsionale'!L13</f>
        <v>150000</v>
      </c>
      <c r="M43" s="116">
        <f>+'SP Previsionale'!M13</f>
        <v>150000</v>
      </c>
      <c r="N43" s="116">
        <f>+'SP Previsionale'!N13</f>
        <v>150000</v>
      </c>
      <c r="O43" s="116">
        <f>+'SP Previsionale'!O13</f>
        <v>150000</v>
      </c>
    </row>
    <row r="44" spans="3:15" s="206" customFormat="1" x14ac:dyDescent="0.3">
      <c r="C44" s="122" t="str">
        <f>+'SP Previsionale'!C31</f>
        <v>Immobilizzazioni Finanziarie</v>
      </c>
      <c r="D44" s="116">
        <f>+'SP Previsionale'!D31</f>
        <v>56313</v>
      </c>
      <c r="E44" s="116">
        <f>+'SP Previsionale'!E31</f>
        <v>56313</v>
      </c>
      <c r="F44" s="116">
        <f>+'SP Previsionale'!F31</f>
        <v>56313</v>
      </c>
      <c r="G44" s="116">
        <f>+'SP Previsionale'!G31</f>
        <v>56313</v>
      </c>
      <c r="H44" s="116">
        <f>+'SP Previsionale'!H31</f>
        <v>56313</v>
      </c>
      <c r="I44" s="116">
        <f>+'SP Previsionale'!I31</f>
        <v>56313</v>
      </c>
      <c r="J44" s="116">
        <f>+'SP Previsionale'!J31</f>
        <v>56313</v>
      </c>
      <c r="K44" s="116">
        <f>+'SP Previsionale'!K31</f>
        <v>56313</v>
      </c>
      <c r="L44" s="116">
        <f>+'SP Previsionale'!L31</f>
        <v>56313</v>
      </c>
      <c r="M44" s="116">
        <f>+'SP Previsionale'!M31</f>
        <v>56313</v>
      </c>
      <c r="N44" s="116">
        <f>+'SP Previsionale'!N31</f>
        <v>56313</v>
      </c>
      <c r="O44" s="116">
        <f>+'SP Previsionale'!O31</f>
        <v>56313</v>
      </c>
    </row>
    <row r="46" spans="3:15" x14ac:dyDescent="0.3">
      <c r="C46" s="202" t="s">
        <v>876</v>
      </c>
      <c r="D46" s="171">
        <f>SUM(D38:D45)</f>
        <v>643304</v>
      </c>
      <c r="E46" s="171">
        <f t="shared" ref="E46:O46" si="14">SUM(E38:E45)</f>
        <v>646598.43900000001</v>
      </c>
      <c r="F46" s="171">
        <f t="shared" si="14"/>
        <v>670981.43900000001</v>
      </c>
      <c r="G46" s="171">
        <f t="shared" si="14"/>
        <v>790711.43900000001</v>
      </c>
      <c r="H46" s="171">
        <f t="shared" si="14"/>
        <v>811563.55</v>
      </c>
      <c r="I46" s="171">
        <f t="shared" si="14"/>
        <v>838821.55</v>
      </c>
      <c r="J46" s="171">
        <f t="shared" si="14"/>
        <v>871321.55</v>
      </c>
      <c r="K46" s="171">
        <f t="shared" si="14"/>
        <v>903821.55</v>
      </c>
      <c r="L46" s="171">
        <f t="shared" si="14"/>
        <v>936321.55</v>
      </c>
      <c r="M46" s="171">
        <f t="shared" si="14"/>
        <v>968821.55</v>
      </c>
      <c r="N46" s="171">
        <f t="shared" si="14"/>
        <v>1001321.55</v>
      </c>
      <c r="O46" s="171">
        <f t="shared" si="14"/>
        <v>1033821.55</v>
      </c>
    </row>
    <row r="48" spans="3:15" s="207" customFormat="1" x14ac:dyDescent="0.3">
      <c r="C48" s="122" t="str">
        <f>+'SP Previsionale'!C37</f>
        <v>Banche a breve termine</v>
      </c>
      <c r="D48" s="116">
        <f>+'SP Previsionale'!D37</f>
        <v>0</v>
      </c>
      <c r="E48" s="116">
        <f>+'SP Previsionale'!E37</f>
        <v>0</v>
      </c>
      <c r="F48" s="116">
        <f>+'SP Previsionale'!F37</f>
        <v>0</v>
      </c>
      <c r="G48" s="116">
        <f>+'SP Previsionale'!G37</f>
        <v>0</v>
      </c>
      <c r="H48" s="116">
        <f>+'SP Previsionale'!H37</f>
        <v>0</v>
      </c>
      <c r="I48" s="116">
        <f>+'SP Previsionale'!I37</f>
        <v>0</v>
      </c>
      <c r="J48" s="116">
        <f>+'SP Previsionale'!J37</f>
        <v>0</v>
      </c>
      <c r="K48" s="116">
        <f>+'SP Previsionale'!K37</f>
        <v>0</v>
      </c>
      <c r="L48" s="116">
        <f>+'SP Previsionale'!L37</f>
        <v>0</v>
      </c>
      <c r="M48" s="116">
        <f>+'SP Previsionale'!M37</f>
        <v>0</v>
      </c>
      <c r="N48" s="116">
        <f>+'SP Previsionale'!N37</f>
        <v>0</v>
      </c>
      <c r="O48" s="116">
        <f>+'SP Previsionale'!O37</f>
        <v>0</v>
      </c>
    </row>
    <row r="49" spans="3:17" x14ac:dyDescent="0.3">
      <c r="C49" s="122" t="str">
        <f>+'SP Previsionale'!C41</f>
        <v>Fornitori</v>
      </c>
      <c r="D49" s="116">
        <f>+'SP Previsionale'!D41</f>
        <v>164324</v>
      </c>
      <c r="E49" s="116">
        <f>+'SP Previsionale'!E41</f>
        <v>183201.88900000002</v>
      </c>
      <c r="F49" s="116">
        <f>+'SP Previsionale'!F41</f>
        <v>186107.88900000002</v>
      </c>
      <c r="G49" s="116">
        <f>+'SP Previsionale'!G41</f>
        <v>273337.88900000002</v>
      </c>
      <c r="H49" s="116">
        <f>+'SP Previsionale'!H41</f>
        <v>261689.99999999994</v>
      </c>
      <c r="I49" s="116">
        <f>+'SP Previsionale'!I41</f>
        <v>261689.99999999994</v>
      </c>
      <c r="J49" s="116">
        <f>+'SP Previsionale'!J41</f>
        <v>261689.99999999994</v>
      </c>
      <c r="K49" s="116">
        <f>+'SP Previsionale'!K41</f>
        <v>261689.99999999994</v>
      </c>
      <c r="L49" s="116">
        <f>+'SP Previsionale'!L41</f>
        <v>261689.99999999994</v>
      </c>
      <c r="M49" s="116">
        <f>+'SP Previsionale'!M41</f>
        <v>261689.99999999994</v>
      </c>
      <c r="N49" s="116">
        <f>+'SP Previsionale'!N41</f>
        <v>261689.99999999994</v>
      </c>
      <c r="O49" s="116">
        <f>+'SP Previsionale'!O41</f>
        <v>261689.99999999994</v>
      </c>
      <c r="P49" s="206"/>
      <c r="Q49" s="206"/>
    </row>
    <row r="50" spans="3:17" s="207" customFormat="1" x14ac:dyDescent="0.3">
      <c r="C50" s="122" t="str">
        <f>+'SP Previsionale'!C42</f>
        <v>Enti Previd., Assistenziali, Ritenute personale</v>
      </c>
      <c r="D50" s="116">
        <f>+'SP Previsionale'!D42</f>
        <v>10349</v>
      </c>
      <c r="E50" s="116">
        <f>+'SP Previsionale'!E42</f>
        <v>0</v>
      </c>
      <c r="F50" s="116">
        <f>+'SP Previsionale'!F42</f>
        <v>0</v>
      </c>
      <c r="G50" s="116">
        <f>+'SP Previsionale'!G42</f>
        <v>0</v>
      </c>
      <c r="H50" s="116">
        <f>+'SP Previsionale'!H42</f>
        <v>0</v>
      </c>
      <c r="I50" s="116">
        <f>+'SP Previsionale'!I42</f>
        <v>0</v>
      </c>
      <c r="J50" s="116">
        <f>+'SP Previsionale'!J42</f>
        <v>0</v>
      </c>
      <c r="K50" s="116">
        <f>+'SP Previsionale'!K42</f>
        <v>0</v>
      </c>
      <c r="L50" s="116">
        <f>+'SP Previsionale'!L42</f>
        <v>0</v>
      </c>
      <c r="M50" s="116">
        <f>+'SP Previsionale'!M42</f>
        <v>0</v>
      </c>
      <c r="N50" s="116">
        <f>+'SP Previsionale'!N42</f>
        <v>0</v>
      </c>
      <c r="O50" s="116">
        <f>+'SP Previsionale'!O42</f>
        <v>0</v>
      </c>
    </row>
    <row r="51" spans="3:17" s="207" customFormat="1" x14ac:dyDescent="0.3">
      <c r="C51" s="122" t="str">
        <f>+'SP Previsionale'!C43</f>
        <v>Debiti tributari</v>
      </c>
      <c r="D51" s="116">
        <f>+'SP Previsionale'!D43</f>
        <v>5242</v>
      </c>
      <c r="E51" s="116">
        <f>+'SP Previsionale'!E43</f>
        <v>5242</v>
      </c>
      <c r="F51" s="116">
        <f>+'SP Previsionale'!F43</f>
        <v>5242</v>
      </c>
      <c r="G51" s="116">
        <f>+'SP Previsionale'!G43</f>
        <v>5242</v>
      </c>
      <c r="H51" s="116">
        <f>+'SP Previsionale'!H43</f>
        <v>5242</v>
      </c>
      <c r="I51" s="116">
        <f>+'SP Previsionale'!I43</f>
        <v>0</v>
      </c>
      <c r="J51" s="116">
        <f>+'SP Previsionale'!J43</f>
        <v>0</v>
      </c>
      <c r="K51" s="116">
        <f>+'SP Previsionale'!K43</f>
        <v>0</v>
      </c>
      <c r="L51" s="116">
        <f>+'SP Previsionale'!L43</f>
        <v>0</v>
      </c>
      <c r="M51" s="116">
        <f>+'SP Previsionale'!M43</f>
        <v>0</v>
      </c>
      <c r="N51" s="116">
        <f>+'SP Previsionale'!N43</f>
        <v>0</v>
      </c>
      <c r="O51" s="116">
        <f>+'SP Previsionale'!O43</f>
        <v>0</v>
      </c>
    </row>
    <row r="52" spans="3:17" s="207" customFormat="1" x14ac:dyDescent="0.3">
      <c r="C52" s="122" t="str">
        <f>+'SP Previsionale'!C44</f>
        <v>Altri debiti</v>
      </c>
      <c r="D52" s="116">
        <f>+'SP Previsionale'!D44</f>
        <v>35546</v>
      </c>
      <c r="E52" s="116">
        <f>+'SP Previsionale'!E44</f>
        <v>0</v>
      </c>
      <c r="F52" s="116">
        <f>+'SP Previsionale'!F44</f>
        <v>0</v>
      </c>
      <c r="G52" s="116">
        <f>+'SP Previsionale'!G44</f>
        <v>0</v>
      </c>
      <c r="H52" s="116">
        <f>+'SP Previsionale'!H44</f>
        <v>0</v>
      </c>
      <c r="I52" s="116">
        <f>+'SP Previsionale'!I44</f>
        <v>0</v>
      </c>
      <c r="J52" s="116">
        <f>+'SP Previsionale'!J44</f>
        <v>0</v>
      </c>
      <c r="K52" s="116">
        <f>+'SP Previsionale'!K44</f>
        <v>0</v>
      </c>
      <c r="L52" s="116">
        <f>+'SP Previsionale'!L44</f>
        <v>0</v>
      </c>
      <c r="M52" s="116">
        <f>+'SP Previsionale'!M44</f>
        <v>0</v>
      </c>
      <c r="N52" s="116">
        <f>+'SP Previsionale'!N44</f>
        <v>0</v>
      </c>
      <c r="O52" s="116">
        <f>+'SP Previsionale'!O44</f>
        <v>0</v>
      </c>
    </row>
    <row r="53" spans="3:17" s="207" customFormat="1" x14ac:dyDescent="0.3">
      <c r="C53" s="122" t="str">
        <f>+'SP Previsionale'!C45</f>
        <v>Ratei e Risconti Passivi</v>
      </c>
      <c r="D53" s="116">
        <f>+'SP Previsionale'!D45</f>
        <v>21023</v>
      </c>
      <c r="E53" s="116">
        <f>+'SP Previsionale'!E45</f>
        <v>11023</v>
      </c>
      <c r="F53" s="116">
        <f>+'SP Previsionale'!F45</f>
        <v>0</v>
      </c>
      <c r="G53" s="116">
        <f>+'SP Previsionale'!G45</f>
        <v>0</v>
      </c>
      <c r="H53" s="116">
        <f>+'SP Previsionale'!H45</f>
        <v>0</v>
      </c>
      <c r="I53" s="116">
        <f>+'SP Previsionale'!I45</f>
        <v>0</v>
      </c>
      <c r="J53" s="116">
        <f>+'SP Previsionale'!J45</f>
        <v>0</v>
      </c>
      <c r="K53" s="116">
        <f>+'SP Previsionale'!K45</f>
        <v>0</v>
      </c>
      <c r="L53" s="116">
        <f>+'SP Previsionale'!L45</f>
        <v>0</v>
      </c>
      <c r="M53" s="116">
        <f>+'SP Previsionale'!M45</f>
        <v>0</v>
      </c>
      <c r="N53" s="116">
        <f>+'SP Previsionale'!N45</f>
        <v>0</v>
      </c>
      <c r="O53" s="116">
        <f>+'SP Previsionale'!O45</f>
        <v>0</v>
      </c>
    </row>
    <row r="54" spans="3:17" x14ac:dyDescent="0.3">
      <c r="C54" s="206"/>
      <c r="P54" s="206"/>
      <c r="Q54" s="206"/>
    </row>
    <row r="55" spans="3:17" x14ac:dyDescent="0.3">
      <c r="C55" s="202" t="s">
        <v>632</v>
      </c>
      <c r="D55" s="171">
        <f t="shared" ref="D55:O55" si="15">+SUM(D49:D53)</f>
        <v>236484</v>
      </c>
      <c r="E55" s="171">
        <f t="shared" si="15"/>
        <v>199466.88900000002</v>
      </c>
      <c r="F55" s="171">
        <f t="shared" si="15"/>
        <v>191349.88900000002</v>
      </c>
      <c r="G55" s="171">
        <f t="shared" si="15"/>
        <v>278579.88900000002</v>
      </c>
      <c r="H55" s="171">
        <f t="shared" si="15"/>
        <v>266931.99999999994</v>
      </c>
      <c r="I55" s="171">
        <f t="shared" si="15"/>
        <v>261689.99999999994</v>
      </c>
      <c r="J55" s="171">
        <f t="shared" si="15"/>
        <v>261689.99999999994</v>
      </c>
      <c r="K55" s="171">
        <f t="shared" si="15"/>
        <v>261689.99999999994</v>
      </c>
      <c r="L55" s="171">
        <f t="shared" si="15"/>
        <v>261689.99999999994</v>
      </c>
      <c r="M55" s="171">
        <f t="shared" si="15"/>
        <v>261689.99999999994</v>
      </c>
      <c r="N55" s="171">
        <f t="shared" si="15"/>
        <v>261689.99999999994</v>
      </c>
      <c r="O55" s="171">
        <f t="shared" si="15"/>
        <v>261689.99999999994</v>
      </c>
      <c r="P55" s="206"/>
      <c r="Q55" s="206"/>
    </row>
    <row r="56" spans="3:17" s="206" customFormat="1" x14ac:dyDescent="0.3"/>
    <row r="57" spans="3:17" x14ac:dyDescent="0.3">
      <c r="C57" s="122" t="str">
        <f>+'SP Previsionale'!C47</f>
        <v xml:space="preserve"> Finanziamenti Soci</v>
      </c>
      <c r="D57" s="116">
        <f>+'SP Previsionale'!D47</f>
        <v>65768</v>
      </c>
      <c r="E57" s="116">
        <f>+'SP Previsionale'!E47</f>
        <v>65768</v>
      </c>
      <c r="F57" s="116">
        <f>+'SP Previsionale'!F47</f>
        <v>65768</v>
      </c>
      <c r="G57" s="116">
        <f>+'SP Previsionale'!G47</f>
        <v>65768</v>
      </c>
      <c r="H57" s="116">
        <f>+'SP Previsionale'!H47</f>
        <v>65768</v>
      </c>
      <c r="I57" s="116">
        <f>+'SP Previsionale'!I47</f>
        <v>65768</v>
      </c>
      <c r="J57" s="116">
        <f>+'SP Previsionale'!J47</f>
        <v>65768</v>
      </c>
      <c r="K57" s="116">
        <f>+'SP Previsionale'!K47</f>
        <v>65768</v>
      </c>
      <c r="L57" s="116">
        <f>+'SP Previsionale'!L47</f>
        <v>65768</v>
      </c>
      <c r="M57" s="116">
        <f>+'SP Previsionale'!M47</f>
        <v>65768</v>
      </c>
      <c r="N57" s="116">
        <f>+'SP Previsionale'!N47</f>
        <v>65768</v>
      </c>
      <c r="O57" s="122">
        <f>+'SP Previsionale'!O47</f>
        <v>65768</v>
      </c>
      <c r="P57" s="206"/>
      <c r="Q57" s="206"/>
    </row>
    <row r="58" spans="3:17" x14ac:dyDescent="0.3">
      <c r="C58" s="122" t="str">
        <f>+'SP Previsionale'!C50</f>
        <v>Mutui e Finanziamenti</v>
      </c>
      <c r="D58" s="116">
        <f>+'SP Previsionale'!D50</f>
        <v>0</v>
      </c>
      <c r="E58" s="116">
        <f>+'SP Previsionale'!E50</f>
        <v>0</v>
      </c>
      <c r="F58" s="116">
        <f>+'SP Previsionale'!F50</f>
        <v>0</v>
      </c>
      <c r="G58" s="116">
        <f>+'SP Previsionale'!G50</f>
        <v>0</v>
      </c>
      <c r="H58" s="116">
        <f>+'SP Previsionale'!H50</f>
        <v>0</v>
      </c>
      <c r="I58" s="116">
        <f>+'SP Previsionale'!I50</f>
        <v>0</v>
      </c>
      <c r="J58" s="116">
        <f>+'SP Previsionale'!J50</f>
        <v>0</v>
      </c>
      <c r="K58" s="116">
        <f>+'SP Previsionale'!K50</f>
        <v>0</v>
      </c>
      <c r="L58" s="116">
        <f>+'SP Previsionale'!L50</f>
        <v>0</v>
      </c>
      <c r="M58" s="116">
        <f>+'SP Previsionale'!M50</f>
        <v>0</v>
      </c>
      <c r="N58" s="116">
        <f>+'SP Previsionale'!N50</f>
        <v>0</v>
      </c>
      <c r="O58" s="122">
        <f>+'SP Previsionale'!O50</f>
        <v>0</v>
      </c>
      <c r="P58" s="206"/>
      <c r="Q58" s="206"/>
    </row>
    <row r="59" spans="3:17" x14ac:dyDescent="0.3">
      <c r="C59" s="122" t="str">
        <f>+'SP Previsionale'!C51</f>
        <v>Fondo TFR</v>
      </c>
      <c r="D59" s="116">
        <f>+'SP Previsionale'!D51</f>
        <v>121229</v>
      </c>
      <c r="E59" s="116">
        <f>+'SP Previsionale'!E51</f>
        <v>142729</v>
      </c>
      <c r="F59" s="116">
        <f>+'SP Previsionale'!F51</f>
        <v>164229</v>
      </c>
      <c r="G59" s="116">
        <f>+'SP Previsionale'!G51</f>
        <v>185729</v>
      </c>
      <c r="H59" s="116">
        <f>+'SP Previsionale'!H51</f>
        <v>207229</v>
      </c>
      <c r="I59" s="116">
        <f>+'SP Previsionale'!I51</f>
        <v>228729</v>
      </c>
      <c r="J59" s="116">
        <f>+'SP Previsionale'!J51</f>
        <v>250229</v>
      </c>
      <c r="K59" s="116">
        <f>+'SP Previsionale'!K51</f>
        <v>271729</v>
      </c>
      <c r="L59" s="116">
        <f>+'SP Previsionale'!L51</f>
        <v>293229</v>
      </c>
      <c r="M59" s="116">
        <f>+'SP Previsionale'!M51</f>
        <v>314729</v>
      </c>
      <c r="N59" s="116">
        <f>+'SP Previsionale'!N51</f>
        <v>336229</v>
      </c>
      <c r="O59" s="122">
        <f>+'SP Previsionale'!O51</f>
        <v>357729</v>
      </c>
      <c r="P59" s="206"/>
      <c r="Q59" s="206"/>
    </row>
    <row r="60" spans="3:17" x14ac:dyDescent="0.3">
      <c r="C60" s="122" t="str">
        <f>+'SP Previsionale'!C52</f>
        <v>Altri Fondi</v>
      </c>
      <c r="D60" s="116">
        <f>+'SP Previsionale'!D52</f>
        <v>0</v>
      </c>
      <c r="E60" s="116">
        <f>+'SP Previsionale'!E52</f>
        <v>0</v>
      </c>
      <c r="F60" s="116">
        <f>+'SP Previsionale'!F52</f>
        <v>0</v>
      </c>
      <c r="G60" s="116">
        <f>+'SP Previsionale'!G52</f>
        <v>0</v>
      </c>
      <c r="H60" s="116">
        <f>+'SP Previsionale'!H52</f>
        <v>0</v>
      </c>
      <c r="I60" s="116">
        <f>+'SP Previsionale'!I52</f>
        <v>0</v>
      </c>
      <c r="J60" s="116">
        <f>+'SP Previsionale'!J52</f>
        <v>0</v>
      </c>
      <c r="K60" s="116">
        <f>+'SP Previsionale'!K52</f>
        <v>0</v>
      </c>
      <c r="L60" s="116">
        <f>+'SP Previsionale'!L52</f>
        <v>0</v>
      </c>
      <c r="M60" s="116">
        <f>+'SP Previsionale'!M52</f>
        <v>0</v>
      </c>
      <c r="N60" s="116">
        <f>+'SP Previsionale'!N52</f>
        <v>0</v>
      </c>
      <c r="O60" s="122">
        <f>+'SP Previsionale'!O52</f>
        <v>0</v>
      </c>
      <c r="P60" s="206"/>
      <c r="Q60" s="206"/>
    </row>
    <row r="61" spans="3:17" x14ac:dyDescent="0.3">
      <c r="C61" s="122" t="str">
        <f>+'SP Previsionale'!C53</f>
        <v>Debiti Verso Collegate e Controllate</v>
      </c>
      <c r="D61" s="116">
        <f>+'SP Previsionale'!D53</f>
        <v>0</v>
      </c>
      <c r="E61" s="116">
        <f>+'SP Previsionale'!E53</f>
        <v>0</v>
      </c>
      <c r="F61" s="116">
        <f>+'SP Previsionale'!F53</f>
        <v>0</v>
      </c>
      <c r="G61" s="116">
        <f>+'SP Previsionale'!G53</f>
        <v>0</v>
      </c>
      <c r="H61" s="116">
        <f>+'SP Previsionale'!H53</f>
        <v>0</v>
      </c>
      <c r="I61" s="116">
        <f>+'SP Previsionale'!I53</f>
        <v>0</v>
      </c>
      <c r="J61" s="116">
        <f>+'SP Previsionale'!J53</f>
        <v>0</v>
      </c>
      <c r="K61" s="116">
        <f>+'SP Previsionale'!K53</f>
        <v>0</v>
      </c>
      <c r="L61" s="116">
        <f>+'SP Previsionale'!L53</f>
        <v>0</v>
      </c>
      <c r="M61" s="116">
        <f>+'SP Previsionale'!M53</f>
        <v>0</v>
      </c>
      <c r="N61" s="116">
        <f>+'SP Previsionale'!N53</f>
        <v>0</v>
      </c>
      <c r="O61" s="122">
        <f>+'SP Previsionale'!O53</f>
        <v>0</v>
      </c>
      <c r="P61" s="206"/>
      <c r="Q61" s="206"/>
    </row>
    <row r="62" spans="3:17" x14ac:dyDescent="0.3">
      <c r="C62" s="122" t="str">
        <f>+'SP Previsionale'!C54</f>
        <v>Altri Debiti a m/l termine</v>
      </c>
      <c r="D62" s="116">
        <f>+'SP Previsionale'!D54</f>
        <v>0</v>
      </c>
      <c r="E62" s="116">
        <f>+'SP Previsionale'!E54</f>
        <v>0</v>
      </c>
      <c r="F62" s="116">
        <f>+'SP Previsionale'!F54</f>
        <v>0</v>
      </c>
      <c r="G62" s="116">
        <f>+'SP Previsionale'!G54</f>
        <v>0</v>
      </c>
      <c r="H62" s="116">
        <f>+'SP Previsionale'!H54</f>
        <v>0</v>
      </c>
      <c r="I62" s="116">
        <f>+'SP Previsionale'!I54</f>
        <v>0</v>
      </c>
      <c r="J62" s="116">
        <f>+'SP Previsionale'!J54</f>
        <v>0</v>
      </c>
      <c r="K62" s="116">
        <f>+'SP Previsionale'!K54</f>
        <v>0</v>
      </c>
      <c r="L62" s="116">
        <f>+'SP Previsionale'!L54</f>
        <v>0</v>
      </c>
      <c r="M62" s="116">
        <f>+'SP Previsionale'!M54</f>
        <v>0</v>
      </c>
      <c r="N62" s="116">
        <f>+'SP Previsionale'!N54</f>
        <v>0</v>
      </c>
      <c r="O62" s="122">
        <f>+'SP Previsionale'!O54</f>
        <v>0</v>
      </c>
      <c r="P62" s="206"/>
      <c r="Q62" s="206"/>
    </row>
    <row r="63" spans="3:17" x14ac:dyDescent="0.3">
      <c r="C63" s="206"/>
      <c r="P63" s="206"/>
      <c r="Q63" s="206"/>
    </row>
    <row r="64" spans="3:17" x14ac:dyDescent="0.3">
      <c r="C64" s="202" t="s">
        <v>877</v>
      </c>
      <c r="D64" s="171">
        <f>+SUM(D57:D62)</f>
        <v>186997</v>
      </c>
      <c r="E64" s="171">
        <f t="shared" ref="E64:O64" si="16">+SUM(E57:E62)</f>
        <v>208497</v>
      </c>
      <c r="F64" s="171">
        <f t="shared" si="16"/>
        <v>229997</v>
      </c>
      <c r="G64" s="171">
        <f t="shared" si="16"/>
        <v>251497</v>
      </c>
      <c r="H64" s="171">
        <f t="shared" si="16"/>
        <v>272997</v>
      </c>
      <c r="I64" s="171">
        <f t="shared" si="16"/>
        <v>294497</v>
      </c>
      <c r="J64" s="171">
        <f t="shared" si="16"/>
        <v>315997</v>
      </c>
      <c r="K64" s="171">
        <f t="shared" si="16"/>
        <v>337497</v>
      </c>
      <c r="L64" s="171">
        <f t="shared" si="16"/>
        <v>358997</v>
      </c>
      <c r="M64" s="171">
        <f t="shared" si="16"/>
        <v>380497</v>
      </c>
      <c r="N64" s="171">
        <f t="shared" si="16"/>
        <v>401997</v>
      </c>
      <c r="O64" s="171">
        <f t="shared" si="16"/>
        <v>423497</v>
      </c>
      <c r="P64" s="206"/>
      <c r="Q64" s="206"/>
    </row>
    <row r="65" spans="3:17" x14ac:dyDescent="0.3">
      <c r="C65" s="206"/>
      <c r="P65" s="206"/>
      <c r="Q65" s="206"/>
    </row>
    <row r="67" spans="3:17" x14ac:dyDescent="0.3">
      <c r="C67" s="202" t="s">
        <v>879</v>
      </c>
      <c r="D67" s="171">
        <f>+D46-D55-D64</f>
        <v>219823</v>
      </c>
      <c r="E67" s="171">
        <f t="shared" ref="E67:O67" si="17">+E46-E55-E64</f>
        <v>238634.55</v>
      </c>
      <c r="F67" s="171">
        <f t="shared" si="17"/>
        <v>249634.55</v>
      </c>
      <c r="G67" s="171">
        <f t="shared" si="17"/>
        <v>260634.55</v>
      </c>
      <c r="H67" s="171">
        <f t="shared" si="17"/>
        <v>271634.55000000005</v>
      </c>
      <c r="I67" s="171">
        <f t="shared" si="17"/>
        <v>282634.55000000005</v>
      </c>
      <c r="J67" s="171">
        <f t="shared" si="17"/>
        <v>293634.55000000005</v>
      </c>
      <c r="K67" s="171">
        <f t="shared" si="17"/>
        <v>304634.55000000005</v>
      </c>
      <c r="L67" s="171">
        <f t="shared" si="17"/>
        <v>315634.55000000005</v>
      </c>
      <c r="M67" s="171">
        <f t="shared" si="17"/>
        <v>326634.55000000005</v>
      </c>
      <c r="N67" s="171">
        <f t="shared" si="17"/>
        <v>337634.55000000005</v>
      </c>
      <c r="O67" s="171">
        <f t="shared" si="17"/>
        <v>348634.55000000005</v>
      </c>
    </row>
    <row r="68" spans="3:17" x14ac:dyDescent="0.3">
      <c r="C68" s="202" t="s">
        <v>885</v>
      </c>
      <c r="D68" s="209">
        <f>+IFERROR(D46/((D55+D64)),"na")</f>
        <v>1.5190858621756349</v>
      </c>
      <c r="E68" s="209">
        <f t="shared" ref="E68:O68" si="18">+IFERROR(E46/((E55+E64)),"na")</f>
        <v>1.5849403744653487</v>
      </c>
      <c r="F68" s="209">
        <f t="shared" si="18"/>
        <v>1.5924680032466074</v>
      </c>
      <c r="G68" s="209">
        <f t="shared" si="18"/>
        <v>1.4916919703699816</v>
      </c>
      <c r="H68" s="209">
        <f t="shared" si="18"/>
        <v>1.5030930918694867</v>
      </c>
      <c r="I68" s="209">
        <f t="shared" si="18"/>
        <v>1.5081646101041557</v>
      </c>
      <c r="J68" s="209">
        <f t="shared" si="18"/>
        <v>1.5082935049602986</v>
      </c>
      <c r="K68" s="209">
        <f t="shared" si="18"/>
        <v>1.5084131498180036</v>
      </c>
      <c r="L68" s="209">
        <f t="shared" si="18"/>
        <v>1.5085245059103864</v>
      </c>
      <c r="M68" s="209">
        <f t="shared" si="18"/>
        <v>1.5086284057447441</v>
      </c>
      <c r="N68" s="209">
        <f t="shared" si="18"/>
        <v>1.5087255739527821</v>
      </c>
      <c r="O68" s="209">
        <f t="shared" si="18"/>
        <v>1.5088166442153748</v>
      </c>
    </row>
  </sheetData>
  <conditionalFormatting sqref="D33:O33">
    <cfRule type="cellIs" dxfId="25" priority="1" operator="lessThan">
      <formula>0</formula>
    </cfRule>
  </conditionalFormatting>
  <hyperlinks>
    <hyperlink ref="A1" location="Menu!A1" display="MENU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65"/>
  <sheetViews>
    <sheetView showGridLines="0" topLeftCell="A25" workbookViewId="0">
      <selection activeCell="F63" sqref="F63"/>
    </sheetView>
  </sheetViews>
  <sheetFormatPr defaultColWidth="8.6640625" defaultRowHeight="14.4" x14ac:dyDescent="0.3"/>
  <cols>
    <col min="3" max="3" width="56.6640625" bestFit="1" customWidth="1"/>
    <col min="4" max="14" width="13.33203125" bestFit="1" customWidth="1"/>
    <col min="15" max="16" width="12.5546875" bestFit="1" customWidth="1"/>
  </cols>
  <sheetData>
    <row r="1" spans="1:16" x14ac:dyDescent="0.3">
      <c r="A1" s="9" t="s">
        <v>68</v>
      </c>
    </row>
    <row r="2" spans="1:16" x14ac:dyDescent="0.3">
      <c r="D2" s="117" t="s">
        <v>821</v>
      </c>
      <c r="E2" s="156" t="s">
        <v>822</v>
      </c>
      <c r="F2" s="156" t="s">
        <v>822</v>
      </c>
      <c r="G2" s="156" t="s">
        <v>822</v>
      </c>
      <c r="H2" s="156" t="s">
        <v>822</v>
      </c>
      <c r="I2" s="156" t="s">
        <v>822</v>
      </c>
      <c r="J2" s="156" t="s">
        <v>822</v>
      </c>
      <c r="K2" s="156" t="s">
        <v>822</v>
      </c>
      <c r="L2" s="156" t="s">
        <v>822</v>
      </c>
      <c r="M2" s="156" t="s">
        <v>822</v>
      </c>
      <c r="N2" s="156" t="s">
        <v>822</v>
      </c>
      <c r="O2" s="156" t="s">
        <v>822</v>
      </c>
      <c r="P2" s="156" t="s">
        <v>822</v>
      </c>
    </row>
    <row r="3" spans="1:16" ht="15.6" x14ac:dyDescent="0.3">
      <c r="C3" s="104" t="s">
        <v>78</v>
      </c>
      <c r="D3" s="200">
        <f>+SP!G4</f>
        <v>43101</v>
      </c>
      <c r="E3" s="200">
        <f>+EOMONTH(D3,1)</f>
        <v>43159</v>
      </c>
      <c r="F3" s="200">
        <f t="shared" ref="F3:N3" si="0">+EOMONTH(E3,1)</f>
        <v>43190</v>
      </c>
      <c r="G3" s="200">
        <f t="shared" si="0"/>
        <v>43220</v>
      </c>
      <c r="H3" s="200">
        <f t="shared" si="0"/>
        <v>43251</v>
      </c>
      <c r="I3" s="200">
        <f t="shared" si="0"/>
        <v>43281</v>
      </c>
      <c r="J3" s="200">
        <f t="shared" si="0"/>
        <v>43312</v>
      </c>
      <c r="K3" s="200">
        <f t="shared" si="0"/>
        <v>43343</v>
      </c>
      <c r="L3" s="200">
        <f t="shared" si="0"/>
        <v>43373</v>
      </c>
      <c r="M3" s="200">
        <f t="shared" si="0"/>
        <v>43404</v>
      </c>
      <c r="N3" s="200">
        <f t="shared" si="0"/>
        <v>43434</v>
      </c>
      <c r="O3" s="200">
        <f t="shared" ref="O3" si="1">+EOMONTH(N3,1)</f>
        <v>43465</v>
      </c>
      <c r="P3" s="200">
        <f t="shared" ref="P3" si="2">+EOMONTH(O3,1)</f>
        <v>43496</v>
      </c>
    </row>
    <row r="4" spans="1:16" ht="15" thickBot="1" x14ac:dyDescent="0.35">
      <c r="C4" s="2"/>
    </row>
    <row r="5" spans="1:16" ht="15" thickBot="1" x14ac:dyDescent="0.35">
      <c r="A5">
        <v>4</v>
      </c>
      <c r="C5" s="148" t="s">
        <v>613</v>
      </c>
      <c r="D5" s="152">
        <f>+'sp fin'!C5</f>
        <v>370159</v>
      </c>
      <c r="E5" s="152">
        <f>+IF(Calcoli!C115&gt;0,Calcoli!C115,0)</f>
        <v>416686.43900000001</v>
      </c>
      <c r="F5" s="152">
        <f>+IF(Calcoli!D115&gt;0,Calcoli!D115,0)</f>
        <v>441069.43900000001</v>
      </c>
      <c r="G5" s="152">
        <f>+IF(Calcoli!E115&gt;0,Calcoli!E115,0)</f>
        <v>560799.43900000001</v>
      </c>
      <c r="H5" s="152">
        <f>+IF(Calcoli!F115&gt;0,Calcoli!F115,0)</f>
        <v>581651.55000000005</v>
      </c>
      <c r="I5" s="152">
        <f>+IF(Calcoli!G115&gt;0,Calcoli!G115,0)</f>
        <v>608909.55000000005</v>
      </c>
      <c r="J5" s="152">
        <f>+IF(Calcoli!H115&gt;0,Calcoli!H115,0)</f>
        <v>641409.55000000005</v>
      </c>
      <c r="K5" s="152">
        <f>+IF(Calcoli!I115&gt;0,Calcoli!I115,0)</f>
        <v>673909.55</v>
      </c>
      <c r="L5" s="152">
        <f>+IF(Calcoli!J115&gt;0,Calcoli!J115,0)</f>
        <v>706409.55</v>
      </c>
      <c r="M5" s="152">
        <f>+IF(Calcoli!K115&gt;0,Calcoli!K115,0)</f>
        <v>738909.55</v>
      </c>
      <c r="N5" s="153">
        <f>+IF(Calcoli!L115&gt;0,Calcoli!L115,0)</f>
        <v>771409.55</v>
      </c>
      <c r="O5" s="153">
        <f>+IF(Calcoli!M115&gt;0,Calcoli!M115,0)</f>
        <v>803909.55</v>
      </c>
      <c r="P5" s="153">
        <f>+IF(Calcoli!N115&gt;0,Calcoli!N115,0)</f>
        <v>836409.55</v>
      </c>
    </row>
    <row r="6" spans="1:16" ht="15" thickBot="1" x14ac:dyDescent="0.35">
      <c r="A6">
        <f>+A5+1</f>
        <v>5</v>
      </c>
    </row>
    <row r="7" spans="1:16" ht="15" thickBot="1" x14ac:dyDescent="0.35">
      <c r="A7">
        <f t="shared" ref="A7:A61" si="3">+A6+1</f>
        <v>6</v>
      </c>
      <c r="C7" s="148" t="s">
        <v>614</v>
      </c>
      <c r="D7" s="152">
        <f>+D8+D9+D10+D11</f>
        <v>84191</v>
      </c>
      <c r="E7" s="152">
        <f t="shared" ref="E7:N7" si="4">+E8+E9+E10+E11</f>
        <v>23599</v>
      </c>
      <c r="F7" s="152">
        <f t="shared" si="4"/>
        <v>23599</v>
      </c>
      <c r="G7" s="152">
        <f t="shared" si="4"/>
        <v>23599</v>
      </c>
      <c r="H7" s="152">
        <f t="shared" si="4"/>
        <v>23599</v>
      </c>
      <c r="I7" s="152">
        <f t="shared" si="4"/>
        <v>23599</v>
      </c>
      <c r="J7" s="152">
        <f t="shared" si="4"/>
        <v>23599</v>
      </c>
      <c r="K7" s="152">
        <f t="shared" si="4"/>
        <v>23599</v>
      </c>
      <c r="L7" s="152">
        <f t="shared" si="4"/>
        <v>23599</v>
      </c>
      <c r="M7" s="152">
        <f t="shared" si="4"/>
        <v>23599</v>
      </c>
      <c r="N7" s="153">
        <f t="shared" si="4"/>
        <v>23599</v>
      </c>
      <c r="O7" s="153">
        <f t="shared" ref="O7:P7" si="5">+O8+O9+O10+O11</f>
        <v>23599</v>
      </c>
      <c r="P7" s="153">
        <f t="shared" si="5"/>
        <v>23599</v>
      </c>
    </row>
    <row r="8" spans="1:16" x14ac:dyDescent="0.3">
      <c r="A8">
        <f t="shared" si="3"/>
        <v>7</v>
      </c>
      <c r="C8" s="122" t="s">
        <v>880</v>
      </c>
      <c r="D8" s="150">
        <f>+'sp fin'!C8</f>
        <v>36943</v>
      </c>
      <c r="E8" s="150">
        <f>+$D$8-SUM('Scheda Crediti'!E6)+Calcoli!C58</f>
        <v>0</v>
      </c>
      <c r="F8" s="150">
        <f>+$D$8-SUM('Scheda Crediti'!$E6:F6)+Calcoli!D58</f>
        <v>0</v>
      </c>
      <c r="G8" s="150">
        <f>+$D$8-SUM('Scheda Crediti'!$E6:G6)+Calcoli!E58</f>
        <v>0</v>
      </c>
      <c r="H8" s="150">
        <f>+$D$8-SUM('Scheda Crediti'!$E6:H6)+Calcoli!F58</f>
        <v>0</v>
      </c>
      <c r="I8" s="150">
        <f>+$D$8-SUM('Scheda Crediti'!$E6:I6)+Calcoli!G58</f>
        <v>0</v>
      </c>
      <c r="J8" s="150">
        <f>+$D$8-SUM('Scheda Crediti'!$E6:J6)+Calcoli!H58</f>
        <v>0</v>
      </c>
      <c r="K8" s="150">
        <f>+$D$8-SUM('Scheda Crediti'!$E6:K6)+Calcoli!I58</f>
        <v>0</v>
      </c>
      <c r="L8" s="150">
        <f>+$D$8-SUM('Scheda Crediti'!$E6:L6)+Calcoli!J58</f>
        <v>0</v>
      </c>
      <c r="M8" s="150">
        <f>+$D$8-SUM('Scheda Crediti'!$E6:M6)+Calcoli!K58</f>
        <v>0</v>
      </c>
      <c r="N8" s="150">
        <f>+$D$8-SUM('Scheda Crediti'!$E6:N6)+Calcoli!L58</f>
        <v>0</v>
      </c>
      <c r="O8" s="150">
        <f>+$D$8-SUM('Scheda Crediti'!$E6:O6)+Calcoli!M58</f>
        <v>0</v>
      </c>
      <c r="P8" s="150">
        <f>+$D$8-SUM('Scheda Crediti'!$E6:P6)+Calcoli!N58</f>
        <v>0</v>
      </c>
    </row>
    <row r="9" spans="1:16" x14ac:dyDescent="0.3">
      <c r="A9">
        <f t="shared" si="3"/>
        <v>8</v>
      </c>
      <c r="C9" s="122" t="s">
        <v>881</v>
      </c>
      <c r="D9" s="150">
        <f>+'sp fin'!C9</f>
        <v>10975</v>
      </c>
      <c r="E9" s="116">
        <f>+$D$9-SUM('Scheda Crediti'!E7)+Calcoli!C128</f>
        <v>10975</v>
      </c>
      <c r="F9" s="116">
        <f>+$D$9-SUM('Scheda Crediti'!$E7:F7)+SUM(Calcoli!$C128:D128)</f>
        <v>10975</v>
      </c>
      <c r="G9" s="116">
        <f>+$D$9-SUM('Scheda Crediti'!$E7:G7)+SUM(Calcoli!$C128:E128)</f>
        <v>10975</v>
      </c>
      <c r="H9" s="116">
        <f>+$D$9-SUM('Scheda Crediti'!$E7:H7)+SUM(Calcoli!$C128:F128)</f>
        <v>10975</v>
      </c>
      <c r="I9" s="116">
        <f>+$D$9-SUM('Scheda Crediti'!$E7:I7)+SUM(Calcoli!$C128:G128)</f>
        <v>10975</v>
      </c>
      <c r="J9" s="116">
        <f>+$D$9-SUM('Scheda Crediti'!$E7:J7)+SUM(Calcoli!$C128:H128)</f>
        <v>10975</v>
      </c>
      <c r="K9" s="116">
        <f>+$D$9-SUM('Scheda Crediti'!$E7:K7)+SUM(Calcoli!$C128:I128)</f>
        <v>10975</v>
      </c>
      <c r="L9" s="116">
        <f>+$D$9-SUM('Scheda Crediti'!$E7:L7)+SUM(Calcoli!$C128:J128)</f>
        <v>10975</v>
      </c>
      <c r="M9" s="116">
        <f>+$D$9-SUM('Scheda Crediti'!$E7:M7)+SUM(Calcoli!$C128:K128)</f>
        <v>10975</v>
      </c>
      <c r="N9" s="116">
        <f>+$D$9-SUM('Scheda Crediti'!$E7:N7)+SUM(Calcoli!$C128:L128)</f>
        <v>10975</v>
      </c>
      <c r="O9" s="116">
        <f>+$D$9-SUM('Scheda Crediti'!$E7:O7)+SUM(Calcoli!$C128:M128)</f>
        <v>10975</v>
      </c>
      <c r="P9" s="116">
        <f>+$D$9-SUM('Scheda Crediti'!$E7:P7)+SUM(Calcoli!$C128:N128)</f>
        <v>10975</v>
      </c>
    </row>
    <row r="10" spans="1:16" x14ac:dyDescent="0.3">
      <c r="A10">
        <f t="shared" si="3"/>
        <v>9</v>
      </c>
      <c r="C10" s="149" t="s">
        <v>882</v>
      </c>
      <c r="D10" s="150">
        <f>+'sp fin'!C10</f>
        <v>12624</v>
      </c>
      <c r="E10" s="116">
        <f>+$D$10-SUM('Scheda Crediti'!E8)</f>
        <v>12624</v>
      </c>
      <c r="F10" s="116">
        <f>+$D$10-SUM('Scheda Crediti'!$E8:F8)</f>
        <v>12624</v>
      </c>
      <c r="G10" s="116">
        <f>+$D$10-SUM('Scheda Crediti'!$E8:G8)</f>
        <v>12624</v>
      </c>
      <c r="H10" s="116">
        <f>+$D$10-SUM('Scheda Crediti'!$E8:H8)</f>
        <v>12624</v>
      </c>
      <c r="I10" s="116">
        <f>+$D$10-SUM('Scheda Crediti'!$E8:I8)</f>
        <v>12624</v>
      </c>
      <c r="J10" s="116">
        <f>+$D$10-SUM('Scheda Crediti'!$E8:J8)</f>
        <v>12624</v>
      </c>
      <c r="K10" s="116">
        <f>+$D$10-SUM('Scheda Crediti'!$E8:K8)</f>
        <v>12624</v>
      </c>
      <c r="L10" s="116">
        <f>+$D$10-SUM('Scheda Crediti'!$E8:L8)</f>
        <v>12624</v>
      </c>
      <c r="M10" s="116">
        <f>+$D$10-SUM('Scheda Crediti'!$E8:M8)</f>
        <v>12624</v>
      </c>
      <c r="N10" s="116">
        <f>+$D$10-SUM('Scheda Crediti'!$E8:N8)</f>
        <v>12624</v>
      </c>
      <c r="O10" s="116">
        <f>+$D$10-SUM('Scheda Crediti'!$E8:O8)</f>
        <v>12624</v>
      </c>
      <c r="P10" s="116">
        <f>+$D$10-SUM('Scheda Crediti'!$E8:P8)</f>
        <v>12624</v>
      </c>
    </row>
    <row r="11" spans="1:16" x14ac:dyDescent="0.3">
      <c r="A11">
        <f t="shared" si="3"/>
        <v>10</v>
      </c>
      <c r="C11" s="149" t="s">
        <v>883</v>
      </c>
      <c r="D11" s="150">
        <f>+'sp fin'!C11</f>
        <v>23649</v>
      </c>
      <c r="E11" s="116">
        <f>+$D$11-SUM('Scheda Crediti'!E9)</f>
        <v>0</v>
      </c>
      <c r="F11" s="116">
        <f>+$D$11-SUM('Scheda Crediti'!$E9:F9)</f>
        <v>0</v>
      </c>
      <c r="G11" s="116">
        <f>+$D$11-SUM('Scheda Crediti'!$E9:G9)</f>
        <v>0</v>
      </c>
      <c r="H11" s="116">
        <f>+$D$11-SUM('Scheda Crediti'!$E9:H9)</f>
        <v>0</v>
      </c>
      <c r="I11" s="116">
        <f>+$D$11-SUM('Scheda Crediti'!$E9:I9)</f>
        <v>0</v>
      </c>
      <c r="J11" s="116">
        <f>+$D$11-SUM('Scheda Crediti'!$E9:J9)</f>
        <v>0</v>
      </c>
      <c r="K11" s="116">
        <f>+$D$11-SUM('Scheda Crediti'!$E9:K9)</f>
        <v>0</v>
      </c>
      <c r="L11" s="116">
        <f>+$D$11-SUM('Scheda Crediti'!$E9:L9)</f>
        <v>0</v>
      </c>
      <c r="M11" s="116">
        <f>+$D$11-SUM('Scheda Crediti'!$E9:M9)</f>
        <v>0</v>
      </c>
      <c r="N11" s="116">
        <f>+$D$11-SUM('Scheda Crediti'!$E9:N9)</f>
        <v>0</v>
      </c>
      <c r="O11" s="116">
        <f>+$D$11-SUM('Scheda Crediti'!$E9:O9)</f>
        <v>0</v>
      </c>
      <c r="P11" s="116">
        <f>+$D$11-SUM('Scheda Crediti'!$E9:P9)</f>
        <v>0</v>
      </c>
    </row>
    <row r="12" spans="1:16" ht="15" thickBot="1" x14ac:dyDescent="0.35">
      <c r="A12">
        <f t="shared" si="3"/>
        <v>11</v>
      </c>
    </row>
    <row r="13" spans="1:16" ht="15" thickBot="1" x14ac:dyDescent="0.35">
      <c r="A13">
        <f t="shared" si="3"/>
        <v>12</v>
      </c>
      <c r="C13" s="148" t="s">
        <v>615</v>
      </c>
      <c r="D13" s="152">
        <f>+SUM(D14:D15)</f>
        <v>132641</v>
      </c>
      <c r="E13" s="152">
        <f t="shared" ref="E13:N13" si="6">+SUM(E14:E15)</f>
        <v>150000</v>
      </c>
      <c r="F13" s="152">
        <f t="shared" si="6"/>
        <v>150000</v>
      </c>
      <c r="G13" s="152">
        <f t="shared" si="6"/>
        <v>150000</v>
      </c>
      <c r="H13" s="152">
        <f t="shared" si="6"/>
        <v>150000</v>
      </c>
      <c r="I13" s="152">
        <f t="shared" si="6"/>
        <v>150000</v>
      </c>
      <c r="J13" s="152">
        <f t="shared" si="6"/>
        <v>150000</v>
      </c>
      <c r="K13" s="152">
        <f t="shared" si="6"/>
        <v>150000</v>
      </c>
      <c r="L13" s="152">
        <f t="shared" si="6"/>
        <v>150000</v>
      </c>
      <c r="M13" s="152">
        <f t="shared" si="6"/>
        <v>150000</v>
      </c>
      <c r="N13" s="153">
        <f t="shared" si="6"/>
        <v>150000</v>
      </c>
      <c r="O13" s="153">
        <f t="shared" ref="O13:P13" si="7">+SUM(O14:O15)</f>
        <v>150000</v>
      </c>
      <c r="P13" s="153">
        <f t="shared" si="7"/>
        <v>150000</v>
      </c>
    </row>
    <row r="14" spans="1:16" x14ac:dyDescent="0.3">
      <c r="A14">
        <f t="shared" si="3"/>
        <v>13</v>
      </c>
      <c r="C14" s="149" t="s">
        <v>799</v>
      </c>
      <c r="D14" s="116">
        <f>+'sp fin'!C14</f>
        <v>132641</v>
      </c>
      <c r="E14" s="116">
        <f>+'CE Previsionale'!C7</f>
        <v>150000</v>
      </c>
      <c r="F14" s="116">
        <f>+'CE Previsionale'!D7</f>
        <v>150000</v>
      </c>
      <c r="G14" s="116">
        <f>+'CE Previsionale'!E7</f>
        <v>150000</v>
      </c>
      <c r="H14" s="116">
        <f>+'CE Previsionale'!F7</f>
        <v>150000</v>
      </c>
      <c r="I14" s="116">
        <f>+'CE Previsionale'!G7</f>
        <v>150000</v>
      </c>
      <c r="J14" s="116">
        <f>+'CE Previsionale'!H7</f>
        <v>150000</v>
      </c>
      <c r="K14" s="116">
        <f>+'CE Previsionale'!I7</f>
        <v>150000</v>
      </c>
      <c r="L14" s="116">
        <f>+'CE Previsionale'!J7</f>
        <v>150000</v>
      </c>
      <c r="M14" s="116">
        <f>+'CE Previsionale'!K7</f>
        <v>150000</v>
      </c>
      <c r="N14" s="116">
        <f>+'CE Previsionale'!L7</f>
        <v>150000</v>
      </c>
      <c r="O14" s="116">
        <f>+'CE Previsionale'!M7</f>
        <v>150000</v>
      </c>
      <c r="P14" s="116">
        <f>+'CE Previsionale'!N7</f>
        <v>150000</v>
      </c>
    </row>
    <row r="15" spans="1:16" s="182" customFormat="1" x14ac:dyDescent="0.3">
      <c r="A15" s="182">
        <f t="shared" si="3"/>
        <v>14</v>
      </c>
      <c r="C15" s="149" t="s">
        <v>800</v>
      </c>
      <c r="D15" s="116">
        <f>+'sp fin'!C15</f>
        <v>0</v>
      </c>
      <c r="E15" s="116">
        <f>+'CE Previsionale'!C12</f>
        <v>0</v>
      </c>
      <c r="F15" s="116">
        <f>+'CE Previsionale'!D12</f>
        <v>0</v>
      </c>
      <c r="G15" s="116">
        <f>+'CE Previsionale'!E12</f>
        <v>0</v>
      </c>
      <c r="H15" s="116">
        <f>+'CE Previsionale'!F12</f>
        <v>0</v>
      </c>
      <c r="I15" s="116">
        <f>+'CE Previsionale'!G12</f>
        <v>0</v>
      </c>
      <c r="J15" s="116">
        <f>+'CE Previsionale'!H12</f>
        <v>0</v>
      </c>
      <c r="K15" s="116">
        <f>+'CE Previsionale'!I12</f>
        <v>0</v>
      </c>
      <c r="L15" s="116">
        <f>+'CE Previsionale'!J12</f>
        <v>0</v>
      </c>
      <c r="M15" s="116">
        <f>+'CE Previsionale'!K12</f>
        <v>0</v>
      </c>
      <c r="N15" s="116">
        <f>+'CE Previsionale'!L12</f>
        <v>0</v>
      </c>
      <c r="O15" s="116">
        <f>+'CE Previsionale'!M12</f>
        <v>0</v>
      </c>
      <c r="P15" s="116">
        <f>+'CE Previsionale'!N12</f>
        <v>0</v>
      </c>
    </row>
    <row r="16" spans="1:16" ht="15" thickBot="1" x14ac:dyDescent="0.35">
      <c r="A16">
        <f t="shared" si="3"/>
        <v>15</v>
      </c>
      <c r="C16" s="46"/>
      <c r="D16" s="49"/>
    </row>
    <row r="17" spans="1:16" ht="15" thickBot="1" x14ac:dyDescent="0.35">
      <c r="A17">
        <f t="shared" si="3"/>
        <v>16</v>
      </c>
      <c r="C17" s="148" t="s">
        <v>31</v>
      </c>
      <c r="D17" s="152">
        <f>+D18+D20</f>
        <v>84920</v>
      </c>
      <c r="E17" s="152">
        <f t="shared" ref="E17:N17" si="8">+E18+E20</f>
        <v>84079</v>
      </c>
      <c r="F17" s="152">
        <f t="shared" si="8"/>
        <v>83238</v>
      </c>
      <c r="G17" s="152">
        <f t="shared" si="8"/>
        <v>82397</v>
      </c>
      <c r="H17" s="152">
        <f t="shared" si="8"/>
        <v>81556</v>
      </c>
      <c r="I17" s="152">
        <f t="shared" si="8"/>
        <v>80715</v>
      </c>
      <c r="J17" s="152">
        <f t="shared" si="8"/>
        <v>79874</v>
      </c>
      <c r="K17" s="152">
        <f t="shared" si="8"/>
        <v>79033</v>
      </c>
      <c r="L17" s="152">
        <f t="shared" si="8"/>
        <v>78192</v>
      </c>
      <c r="M17" s="152">
        <f t="shared" si="8"/>
        <v>77351</v>
      </c>
      <c r="N17" s="153">
        <f t="shared" si="8"/>
        <v>76510</v>
      </c>
      <c r="O17" s="153">
        <f t="shared" ref="O17:P17" si="9">+O18+O20</f>
        <v>75669</v>
      </c>
      <c r="P17" s="153">
        <f t="shared" si="9"/>
        <v>74828</v>
      </c>
    </row>
    <row r="18" spans="1:16" ht="15" thickBot="1" x14ac:dyDescent="0.35">
      <c r="A18">
        <f t="shared" si="3"/>
        <v>17</v>
      </c>
      <c r="C18" s="149" t="s">
        <v>801</v>
      </c>
      <c r="D18" s="152">
        <f>+SUM(D19:D19)</f>
        <v>60920</v>
      </c>
      <c r="E18" s="152">
        <f t="shared" ref="E18:P18" si="10">+SUM(E19:E19)</f>
        <v>60412.333333333336</v>
      </c>
      <c r="F18" s="152">
        <f t="shared" si="10"/>
        <v>59904.666666666664</v>
      </c>
      <c r="G18" s="152">
        <f t="shared" si="10"/>
        <v>59397</v>
      </c>
      <c r="H18" s="152">
        <f t="shared" si="10"/>
        <v>58889.333333333336</v>
      </c>
      <c r="I18" s="152">
        <f t="shared" si="10"/>
        <v>58381.666666666664</v>
      </c>
      <c r="J18" s="152">
        <f t="shared" si="10"/>
        <v>57874</v>
      </c>
      <c r="K18" s="152">
        <f t="shared" si="10"/>
        <v>57366.333333333336</v>
      </c>
      <c r="L18" s="152">
        <f t="shared" si="10"/>
        <v>56858.666666666664</v>
      </c>
      <c r="M18" s="152">
        <f t="shared" si="10"/>
        <v>56351</v>
      </c>
      <c r="N18" s="153">
        <f t="shared" si="10"/>
        <v>55843.333333333336</v>
      </c>
      <c r="O18" s="153">
        <f t="shared" si="10"/>
        <v>55335.666666666664</v>
      </c>
      <c r="P18" s="153">
        <f t="shared" si="10"/>
        <v>54828</v>
      </c>
    </row>
    <row r="19" spans="1:16" ht="15" thickBot="1" x14ac:dyDescent="0.35">
      <c r="A19">
        <f t="shared" si="3"/>
        <v>18</v>
      </c>
      <c r="C19" s="149" t="s">
        <v>619</v>
      </c>
      <c r="D19" s="116">
        <f>+'sp fin'!C19</f>
        <v>60920</v>
      </c>
      <c r="E19" s="116">
        <f>+'Scheda Inv'!$C$4-Calcoli!C11-'Scheda Inv'!D183+'Scheda Inv'!D23</f>
        <v>60412.333333333336</v>
      </c>
      <c r="F19" s="116">
        <f>+'Scheda Inv'!$C$4-Calcoli!D11-SUM('Scheda Inv'!$D183:E183)+SUM('Scheda Inv'!$D23:E23)</f>
        <v>59904.666666666664</v>
      </c>
      <c r="G19" s="116">
        <f>+'Scheda Inv'!$C$4-Calcoli!E11-SUM('Scheda Inv'!$D183:F183)+SUM('Scheda Inv'!$D23:F23)</f>
        <v>59397</v>
      </c>
      <c r="H19" s="116">
        <f>+'Scheda Inv'!$C$4-Calcoli!F11-SUM('Scheda Inv'!$D183:G183)+SUM('Scheda Inv'!$D23:G23)</f>
        <v>58889.333333333336</v>
      </c>
      <c r="I19" s="116">
        <f>+'Scheda Inv'!$C$4-Calcoli!G11-SUM('Scheda Inv'!$D183:H183)+SUM('Scheda Inv'!$D23:H23)</f>
        <v>58381.666666666664</v>
      </c>
      <c r="J19" s="116">
        <f>+'Scheda Inv'!$C$4-Calcoli!H11-SUM('Scheda Inv'!$D183:I183)+SUM('Scheda Inv'!$D23:I23)</f>
        <v>57874</v>
      </c>
      <c r="K19" s="116">
        <f>+'Scheda Inv'!$C$4-Calcoli!I11-SUM('Scheda Inv'!$D183:J183)+SUM('Scheda Inv'!$D23:J23)</f>
        <v>57366.333333333336</v>
      </c>
      <c r="L19" s="116">
        <f>+'Scheda Inv'!$C$4-Calcoli!J11-SUM('Scheda Inv'!$D183:K183)+SUM('Scheda Inv'!$D23:K23)</f>
        <v>56858.666666666664</v>
      </c>
      <c r="M19" s="116">
        <f>+'Scheda Inv'!$C$4-Calcoli!K11-SUM('Scheda Inv'!$D183:L183)+SUM('Scheda Inv'!$D23:L23)</f>
        <v>56351</v>
      </c>
      <c r="N19" s="116">
        <f>+'Scheda Inv'!$C$4-Calcoli!L11-SUM('Scheda Inv'!$D183:M183)+SUM('Scheda Inv'!$D23:M23)</f>
        <v>55843.333333333336</v>
      </c>
      <c r="O19" s="116">
        <f>+'Scheda Inv'!$C$4-Calcoli!M11-SUM('Scheda Inv'!$D183:N183)+SUM('Scheda Inv'!$D23:N23)</f>
        <v>55335.666666666664</v>
      </c>
      <c r="P19" s="116">
        <f>+'Scheda Inv'!$C$4-Calcoli!N11-SUM('Scheda Inv'!$D183:O183)+SUM('Scheda Inv'!$D23:O23)</f>
        <v>54828</v>
      </c>
    </row>
    <row r="20" spans="1:16" ht="15" thickBot="1" x14ac:dyDescent="0.35">
      <c r="A20">
        <f t="shared" si="3"/>
        <v>19</v>
      </c>
      <c r="C20" s="149" t="s">
        <v>802</v>
      </c>
      <c r="D20" s="152">
        <f>+SUM(D21:D23)</f>
        <v>24000</v>
      </c>
      <c r="E20" s="152">
        <f t="shared" ref="E20:N20" si="11">+SUM(E21:E23)</f>
        <v>23666.666666666668</v>
      </c>
      <c r="F20" s="152">
        <f t="shared" si="11"/>
        <v>23333.333333333332</v>
      </c>
      <c r="G20" s="152">
        <f t="shared" si="11"/>
        <v>23000</v>
      </c>
      <c r="H20" s="152">
        <f t="shared" si="11"/>
        <v>22666.666666666668</v>
      </c>
      <c r="I20" s="152">
        <f t="shared" si="11"/>
        <v>22333.333333333332</v>
      </c>
      <c r="J20" s="152">
        <f t="shared" si="11"/>
        <v>22000</v>
      </c>
      <c r="K20" s="152">
        <f t="shared" si="11"/>
        <v>21666.666666666668</v>
      </c>
      <c r="L20" s="152">
        <f t="shared" si="11"/>
        <v>21333.333333333332</v>
      </c>
      <c r="M20" s="152">
        <f t="shared" si="11"/>
        <v>21000</v>
      </c>
      <c r="N20" s="153">
        <f t="shared" si="11"/>
        <v>20666.666666666668</v>
      </c>
      <c r="O20" s="153">
        <f t="shared" ref="O20:P20" si="12">+SUM(O21:O23)</f>
        <v>20333.333333333332</v>
      </c>
      <c r="P20" s="153">
        <f t="shared" si="12"/>
        <v>20000</v>
      </c>
    </row>
    <row r="21" spans="1:16" x14ac:dyDescent="0.3">
      <c r="A21">
        <f t="shared" si="3"/>
        <v>20</v>
      </c>
      <c r="C21" s="149" t="s">
        <v>621</v>
      </c>
      <c r="D21" s="116">
        <f>+'sp fin'!C21</f>
        <v>0</v>
      </c>
      <c r="E21" s="116">
        <f>+$D$21-Calcoli!C12-'Scheda Inv'!D184+'Scheda Inv'!D24</f>
        <v>0</v>
      </c>
      <c r="F21" s="116">
        <f>+$D$21-Calcoli!D12-SUM('Scheda Inv'!$D184:E184)+SUM('Scheda Inv'!$D24:E24)</f>
        <v>0</v>
      </c>
      <c r="G21" s="116">
        <f>+$D$21-Calcoli!E12-SUM('Scheda Inv'!$D184:F184)+SUM('Scheda Inv'!$D24:F24)</f>
        <v>0</v>
      </c>
      <c r="H21" s="116">
        <f>+$D$21-Calcoli!F12-SUM('Scheda Inv'!$D184:G184)+SUM('Scheda Inv'!$D24:G24)</f>
        <v>0</v>
      </c>
      <c r="I21" s="116">
        <f>+$D$21-Calcoli!G12-SUM('Scheda Inv'!$D184:H184)+SUM('Scheda Inv'!$D24:H24)</f>
        <v>0</v>
      </c>
      <c r="J21" s="116">
        <f>+$D$21-Calcoli!H12-SUM('Scheda Inv'!$D184:I184)+SUM('Scheda Inv'!$D24:I24)</f>
        <v>0</v>
      </c>
      <c r="K21" s="116">
        <f>+$D$21-Calcoli!I12-SUM('Scheda Inv'!$D184:J184)+SUM('Scheda Inv'!$D24:J24)</f>
        <v>0</v>
      </c>
      <c r="L21" s="116">
        <f>+$D$21-Calcoli!J12-SUM('Scheda Inv'!$D184:K184)+SUM('Scheda Inv'!$D24:K24)</f>
        <v>0</v>
      </c>
      <c r="M21" s="116">
        <f>+$D$21-Calcoli!K12-SUM('Scheda Inv'!$D184:L184)+SUM('Scheda Inv'!$D24:L24)</f>
        <v>0</v>
      </c>
      <c r="N21" s="116">
        <f>+$D$21-Calcoli!L12-SUM('Scheda Inv'!$D184:M184)+SUM('Scheda Inv'!$D24:M24)</f>
        <v>0</v>
      </c>
      <c r="O21" s="116">
        <f>+$D$21-Calcoli!M12-SUM('Scheda Inv'!$D184:N184)+SUM('Scheda Inv'!$D24:N24)</f>
        <v>0</v>
      </c>
      <c r="P21" s="116">
        <f>+$D$21-Calcoli!N12-SUM('Scheda Inv'!$D184:O184)+SUM('Scheda Inv'!$D24:O24)</f>
        <v>0</v>
      </c>
    </row>
    <row r="22" spans="1:16" x14ac:dyDescent="0.3">
      <c r="A22">
        <f t="shared" si="3"/>
        <v>21</v>
      </c>
      <c r="C22" s="149" t="s">
        <v>622</v>
      </c>
      <c r="D22" s="116">
        <f>+'sp fin'!C22</f>
        <v>24000</v>
      </c>
      <c r="E22" s="116">
        <f>+$D$22-Calcoli!C13-'Scheda Inv'!D185+'Scheda Inv'!D25</f>
        <v>23666.666666666668</v>
      </c>
      <c r="F22" s="116">
        <f>+$D$22-Calcoli!D13-SUM('Scheda Inv'!$D185:E185)+SUM('Scheda Inv'!$D25:E25)</f>
        <v>23333.333333333332</v>
      </c>
      <c r="G22" s="116">
        <f>+$D$22-Calcoli!E13-SUM('Scheda Inv'!$D185:F185)+SUM('Scheda Inv'!$D25:F25)</f>
        <v>23000</v>
      </c>
      <c r="H22" s="116">
        <f>+$D$22-Calcoli!F13-SUM('Scheda Inv'!$D185:G185)+SUM('Scheda Inv'!$D25:G25)</f>
        <v>22666.666666666668</v>
      </c>
      <c r="I22" s="116">
        <f>+$D$22-Calcoli!G13-SUM('Scheda Inv'!$D185:H185)+SUM('Scheda Inv'!$D25:H25)</f>
        <v>22333.333333333332</v>
      </c>
      <c r="J22" s="116">
        <f>+$D$22-Calcoli!H13-SUM('Scheda Inv'!$D185:I185)+SUM('Scheda Inv'!$D25:I25)</f>
        <v>22000</v>
      </c>
      <c r="K22" s="116">
        <f>+$D$22-Calcoli!I13-SUM('Scheda Inv'!$D185:J185)+SUM('Scheda Inv'!$D25:J25)</f>
        <v>21666.666666666668</v>
      </c>
      <c r="L22" s="116">
        <f>+$D$22-Calcoli!J13-SUM('Scheda Inv'!$D185:K185)+SUM('Scheda Inv'!$D25:K25)</f>
        <v>21333.333333333332</v>
      </c>
      <c r="M22" s="116">
        <f>+$D$22-Calcoli!K13-SUM('Scheda Inv'!$D185:L185)+SUM('Scheda Inv'!$D25:L25)</f>
        <v>21000</v>
      </c>
      <c r="N22" s="116">
        <f>+$D$22-Calcoli!L13-SUM('Scheda Inv'!$D185:M185)+SUM('Scheda Inv'!$D25:M25)</f>
        <v>20666.666666666668</v>
      </c>
      <c r="O22" s="116">
        <f>+$D$22-Calcoli!M13-SUM('Scheda Inv'!$D185:N185)+SUM('Scheda Inv'!$D25:N25)</f>
        <v>20333.333333333332</v>
      </c>
      <c r="P22" s="116">
        <f>+$D$22-Calcoli!N13-SUM('Scheda Inv'!$D185:O185)+SUM('Scheda Inv'!$D25:O25)</f>
        <v>20000</v>
      </c>
    </row>
    <row r="23" spans="1:16" x14ac:dyDescent="0.3">
      <c r="A23">
        <f t="shared" si="3"/>
        <v>22</v>
      </c>
      <c r="C23" s="149" t="s">
        <v>623</v>
      </c>
      <c r="D23" s="116">
        <f>+'sp fin'!C23</f>
        <v>0</v>
      </c>
      <c r="E23" s="116">
        <f>+$D$23-Calcoli!C14-'Scheda Inv'!D186+'Scheda Inv'!D26</f>
        <v>0</v>
      </c>
      <c r="F23" s="116">
        <f>+$D$23-Calcoli!D14-SUM('Scheda Inv'!$D186:E186)+SUM('Scheda Inv'!$D26:E26)</f>
        <v>0</v>
      </c>
      <c r="G23" s="116">
        <f>+$D$23-Calcoli!E14-SUM('Scheda Inv'!$D186:F186)+SUM('Scheda Inv'!$D26:F26)</f>
        <v>0</v>
      </c>
      <c r="H23" s="116">
        <f>+$D$23-Calcoli!F14-SUM('Scheda Inv'!$D186:G186)+SUM('Scheda Inv'!$D26:G26)</f>
        <v>0</v>
      </c>
      <c r="I23" s="116">
        <f>+$D$23-Calcoli!G14-SUM('Scheda Inv'!$D186:H186)+SUM('Scheda Inv'!$D26:H26)</f>
        <v>0</v>
      </c>
      <c r="J23" s="116">
        <f>+$D$23-Calcoli!H14-SUM('Scheda Inv'!$D186:I186)+SUM('Scheda Inv'!$D26:I26)</f>
        <v>0</v>
      </c>
      <c r="K23" s="116">
        <f>+$D$23-Calcoli!I14-SUM('Scheda Inv'!$D186:J186)+SUM('Scheda Inv'!$D26:J26)</f>
        <v>0</v>
      </c>
      <c r="L23" s="116">
        <f>+$D$23-Calcoli!J14-SUM('Scheda Inv'!$D186:K186)+SUM('Scheda Inv'!$D26:K26)</f>
        <v>0</v>
      </c>
      <c r="M23" s="116">
        <f>+$D$23-Calcoli!K14-SUM('Scheda Inv'!$D186:L186)+SUM('Scheda Inv'!$D26:L26)</f>
        <v>0</v>
      </c>
      <c r="N23" s="116">
        <f>+$D$23-Calcoli!L14-SUM('Scheda Inv'!$D186:M186)+SUM('Scheda Inv'!$D26:M26)</f>
        <v>0</v>
      </c>
      <c r="O23" s="116">
        <f>+$D$23-Calcoli!M14-SUM('Scheda Inv'!$D186:N186)+SUM('Scheda Inv'!$D26:N26)</f>
        <v>0</v>
      </c>
      <c r="P23" s="116">
        <f>+$D$23-Calcoli!N14-SUM('Scheda Inv'!$D186:O186)+SUM('Scheda Inv'!$D26:O26)</f>
        <v>0</v>
      </c>
    </row>
    <row r="24" spans="1:16" ht="15" thickBot="1" x14ac:dyDescent="0.35">
      <c r="A24">
        <f t="shared" si="3"/>
        <v>23</v>
      </c>
      <c r="C24" s="46"/>
    </row>
    <row r="25" spans="1:16" ht="15" thickBot="1" x14ac:dyDescent="0.35">
      <c r="A25">
        <f t="shared" si="3"/>
        <v>24</v>
      </c>
      <c r="C25" s="148" t="s">
        <v>624</v>
      </c>
      <c r="D25" s="152">
        <f>+D26</f>
        <v>67965</v>
      </c>
      <c r="E25" s="152">
        <f t="shared" ref="E25:P25" si="13">+E26</f>
        <v>67398.625</v>
      </c>
      <c r="F25" s="152">
        <f t="shared" si="13"/>
        <v>66832.25</v>
      </c>
      <c r="G25" s="152">
        <f t="shared" si="13"/>
        <v>66265.875</v>
      </c>
      <c r="H25" s="152">
        <f t="shared" si="13"/>
        <v>65699.5</v>
      </c>
      <c r="I25" s="152">
        <f t="shared" si="13"/>
        <v>65133.125</v>
      </c>
      <c r="J25" s="152">
        <f t="shared" si="13"/>
        <v>64566.75</v>
      </c>
      <c r="K25" s="152">
        <f t="shared" si="13"/>
        <v>64000.375</v>
      </c>
      <c r="L25" s="152">
        <f t="shared" si="13"/>
        <v>63434</v>
      </c>
      <c r="M25" s="152">
        <f t="shared" si="13"/>
        <v>62867.625</v>
      </c>
      <c r="N25" s="153">
        <f t="shared" si="13"/>
        <v>62301.25</v>
      </c>
      <c r="O25" s="153">
        <f t="shared" si="13"/>
        <v>61734.875</v>
      </c>
      <c r="P25" s="153">
        <f t="shared" si="13"/>
        <v>61168.5</v>
      </c>
    </row>
    <row r="26" spans="1:16" x14ac:dyDescent="0.3">
      <c r="A26">
        <f t="shared" si="3"/>
        <v>25</v>
      </c>
      <c r="C26" s="149" t="s">
        <v>803</v>
      </c>
      <c r="D26" s="52">
        <f>+SUM(D27:D29)</f>
        <v>67965</v>
      </c>
      <c r="E26" s="52">
        <f t="shared" ref="E26:N26" si="14">+SUM(E27:E29)</f>
        <v>67398.625</v>
      </c>
      <c r="F26" s="52">
        <f t="shared" si="14"/>
        <v>66832.25</v>
      </c>
      <c r="G26" s="52">
        <f t="shared" si="14"/>
        <v>66265.875</v>
      </c>
      <c r="H26" s="52">
        <f t="shared" si="14"/>
        <v>65699.5</v>
      </c>
      <c r="I26" s="52">
        <f t="shared" si="14"/>
        <v>65133.125</v>
      </c>
      <c r="J26" s="52">
        <f t="shared" si="14"/>
        <v>64566.75</v>
      </c>
      <c r="K26" s="52">
        <f t="shared" si="14"/>
        <v>64000.375</v>
      </c>
      <c r="L26" s="52">
        <f t="shared" si="14"/>
        <v>63434</v>
      </c>
      <c r="M26" s="52">
        <f t="shared" si="14"/>
        <v>62867.625</v>
      </c>
      <c r="N26" s="52">
        <f t="shared" si="14"/>
        <v>62301.25</v>
      </c>
      <c r="O26" s="52">
        <f t="shared" ref="O26:P26" si="15">+SUM(O27:O29)</f>
        <v>61734.875</v>
      </c>
      <c r="P26" s="52">
        <f t="shared" si="15"/>
        <v>61168.5</v>
      </c>
    </row>
    <row r="27" spans="1:16" x14ac:dyDescent="0.3">
      <c r="A27">
        <f t="shared" si="3"/>
        <v>26</v>
      </c>
      <c r="C27" s="149" t="s">
        <v>626</v>
      </c>
      <c r="D27" s="116">
        <f>+'sp fin'!C27</f>
        <v>3840</v>
      </c>
      <c r="E27" s="116">
        <f>+$D$27-Calcoli!C23-'Scheda Inv'!D190+'Scheda Inv'!D30</f>
        <v>3808</v>
      </c>
      <c r="F27" s="116">
        <f>+$D$27-Calcoli!D23-SUM('Scheda Inv'!$D190:E190)+SUM('Scheda Inv'!$D30:E30)</f>
        <v>3776</v>
      </c>
      <c r="G27" s="116">
        <f>+$D$27-Calcoli!E23-SUM('Scheda Inv'!$D190:F190)+SUM('Scheda Inv'!$D30:F30)</f>
        <v>3744</v>
      </c>
      <c r="H27" s="116">
        <f>+$D$27-Calcoli!F23-SUM('Scheda Inv'!$D190:G190)+SUM('Scheda Inv'!$D30:G30)</f>
        <v>3712</v>
      </c>
      <c r="I27" s="116">
        <f>+$D$27-Calcoli!G23-SUM('Scheda Inv'!$D190:H190)+SUM('Scheda Inv'!$D30:H30)</f>
        <v>3680</v>
      </c>
      <c r="J27" s="116">
        <f>+$D$27-Calcoli!H23-SUM('Scheda Inv'!$D190:I190)+SUM('Scheda Inv'!$D30:I30)</f>
        <v>3648</v>
      </c>
      <c r="K27" s="116">
        <f>+$D$27-Calcoli!I23-SUM('Scheda Inv'!$D190:J190)+SUM('Scheda Inv'!$D30:J30)</f>
        <v>3616</v>
      </c>
      <c r="L27" s="116">
        <f>+$D$27-Calcoli!J23-SUM('Scheda Inv'!$D190:K190)+SUM('Scheda Inv'!$D30:K30)</f>
        <v>3584</v>
      </c>
      <c r="M27" s="116">
        <f>+$D$27-Calcoli!K23-SUM('Scheda Inv'!$D190:L190)+SUM('Scheda Inv'!$D30:L30)</f>
        <v>3552</v>
      </c>
      <c r="N27" s="116">
        <f>+$D$27-Calcoli!L23-SUM('Scheda Inv'!$D190:M190)+SUM('Scheda Inv'!$D30:M30)</f>
        <v>3520</v>
      </c>
      <c r="O27" s="116">
        <f>+$D$27-Calcoli!M23-SUM('Scheda Inv'!$D190:N190)+SUM('Scheda Inv'!$D30:N30)</f>
        <v>3488</v>
      </c>
      <c r="P27" s="116">
        <f>+$D$27-Calcoli!N23-SUM('Scheda Inv'!$D190:O190)+SUM('Scheda Inv'!$D30:O30)</f>
        <v>3456</v>
      </c>
    </row>
    <row r="28" spans="1:16" x14ac:dyDescent="0.3">
      <c r="A28">
        <f t="shared" si="3"/>
        <v>27</v>
      </c>
      <c r="C28" s="149" t="s">
        <v>627</v>
      </c>
      <c r="D28" s="116">
        <f>+'sp fin'!C28</f>
        <v>0</v>
      </c>
      <c r="E28" s="116">
        <f>+$D$28-Calcoli!C24-'Scheda Inv'!D191+'Scheda Inv'!D31</f>
        <v>0</v>
      </c>
      <c r="F28" s="116">
        <f>+$D$28-Calcoli!D24-SUM('Scheda Inv'!$D191:E191)+SUM('Scheda Inv'!$D31:E31)</f>
        <v>0</v>
      </c>
      <c r="G28" s="116">
        <f>+$D$28-Calcoli!E24-SUM('Scheda Inv'!$D191:F191)+SUM('Scheda Inv'!$D31:F31)</f>
        <v>0</v>
      </c>
      <c r="H28" s="116">
        <f>+$D$28-Calcoli!F24-SUM('Scheda Inv'!$D191:G191)+SUM('Scheda Inv'!$D31:G31)</f>
        <v>0</v>
      </c>
      <c r="I28" s="116">
        <f>+$D$28-Calcoli!G24-SUM('Scheda Inv'!$D191:H191)+SUM('Scheda Inv'!$D31:H31)</f>
        <v>0</v>
      </c>
      <c r="J28" s="116">
        <f>+$D$28-Calcoli!H24-SUM('Scheda Inv'!$D191:I191)+SUM('Scheda Inv'!$D31:I31)</f>
        <v>0</v>
      </c>
      <c r="K28" s="116">
        <f>+$D$28-Calcoli!I24-SUM('Scheda Inv'!$D191:J191)+SUM('Scheda Inv'!$D31:J31)</f>
        <v>0</v>
      </c>
      <c r="L28" s="116">
        <f>+$D$28-Calcoli!J24-SUM('Scheda Inv'!$D191:K191)+SUM('Scheda Inv'!$D31:K31)</f>
        <v>0</v>
      </c>
      <c r="M28" s="116">
        <f>+$D$28-Calcoli!K24-SUM('Scheda Inv'!$D191:L191)+SUM('Scheda Inv'!$D31:L31)</f>
        <v>0</v>
      </c>
      <c r="N28" s="116">
        <f>+$D$28-Calcoli!L24-SUM('Scheda Inv'!$D191:M191)+SUM('Scheda Inv'!$D31:M31)</f>
        <v>0</v>
      </c>
      <c r="O28" s="116">
        <f>+$D$28-Calcoli!M24-SUM('Scheda Inv'!$D191:N191)+SUM('Scheda Inv'!$D31:N31)</f>
        <v>0</v>
      </c>
      <c r="P28" s="116">
        <f>+$D$28-Calcoli!N24-SUM('Scheda Inv'!$D191:O191)+SUM('Scheda Inv'!$D31:O31)</f>
        <v>0</v>
      </c>
    </row>
    <row r="29" spans="1:16" x14ac:dyDescent="0.3">
      <c r="A29">
        <f t="shared" si="3"/>
        <v>28</v>
      </c>
      <c r="C29" s="149" t="s">
        <v>628</v>
      </c>
      <c r="D29" s="116">
        <f>+'sp fin'!C29</f>
        <v>64125</v>
      </c>
      <c r="E29" s="116">
        <f>+$D$29-Calcoli!C25-'Scheda Inv'!D192+'Scheda Inv'!D32</f>
        <v>63590.625</v>
      </c>
      <c r="F29" s="116">
        <f>+$D$29-Calcoli!D25-SUM('Scheda Inv'!$D192:E192)+SUM('Scheda Inv'!$D32:E32)</f>
        <v>63056.25</v>
      </c>
      <c r="G29" s="116">
        <f>+$D$29-Calcoli!E25-SUM('Scheda Inv'!$D192:F192)+SUM('Scheda Inv'!$D32:F32)</f>
        <v>62521.875</v>
      </c>
      <c r="H29" s="116">
        <f>+$D$29-Calcoli!F25-SUM('Scheda Inv'!$D192:G192)+SUM('Scheda Inv'!$D32:G32)</f>
        <v>61987.5</v>
      </c>
      <c r="I29" s="116">
        <f>+$D$29-Calcoli!G25-SUM('Scheda Inv'!$D192:H192)+SUM('Scheda Inv'!$D32:H32)</f>
        <v>61453.125</v>
      </c>
      <c r="J29" s="116">
        <f>+$D$29-Calcoli!H25-SUM('Scheda Inv'!$D192:I192)+SUM('Scheda Inv'!$D32:I32)</f>
        <v>60918.75</v>
      </c>
      <c r="K29" s="116">
        <f>+$D$29-Calcoli!I25-SUM('Scheda Inv'!$D192:J192)+SUM('Scheda Inv'!$D32:J32)</f>
        <v>60384.375</v>
      </c>
      <c r="L29" s="116">
        <f>+$D$29-Calcoli!J25-SUM('Scheda Inv'!$D192:K192)+SUM('Scheda Inv'!$D32:K32)</f>
        <v>59850</v>
      </c>
      <c r="M29" s="116">
        <f>+$D$29-Calcoli!K25-SUM('Scheda Inv'!$D192:L192)+SUM('Scheda Inv'!$D32:L32)</f>
        <v>59315.625</v>
      </c>
      <c r="N29" s="116">
        <f>+$D$29-Calcoli!L25-SUM('Scheda Inv'!$D192:M192)+SUM('Scheda Inv'!$D32:M32)</f>
        <v>58781.25</v>
      </c>
      <c r="O29" s="116">
        <f>+$D$29-Calcoli!M25-SUM('Scheda Inv'!$D192:N192)+SUM('Scheda Inv'!$D32:N32)</f>
        <v>58246.875</v>
      </c>
      <c r="P29" s="116">
        <f>+$D$29-Calcoli!N25-SUM('Scheda Inv'!$D192:O192)+SUM('Scheda Inv'!$D32:O32)</f>
        <v>57712.5</v>
      </c>
    </row>
    <row r="30" spans="1:16" ht="15" thickBot="1" x14ac:dyDescent="0.35">
      <c r="A30">
        <f t="shared" si="3"/>
        <v>29</v>
      </c>
      <c r="D30" s="116">
        <f>+'sp fin'!C30</f>
        <v>0</v>
      </c>
    </row>
    <row r="31" spans="1:16" ht="15" thickBot="1" x14ac:dyDescent="0.35">
      <c r="A31">
        <f t="shared" si="3"/>
        <v>30</v>
      </c>
      <c r="C31" s="148" t="s">
        <v>42</v>
      </c>
      <c r="D31" s="152">
        <f>+'sp fin'!C31</f>
        <v>56313</v>
      </c>
      <c r="E31" s="152">
        <f>+$D$31+'Scheda Inv'!D35</f>
        <v>56313</v>
      </c>
      <c r="F31" s="152">
        <f>+$D$31+SUM('Scheda Inv'!$D35:E35)</f>
        <v>56313</v>
      </c>
      <c r="G31" s="152">
        <f>+$D$31+SUM('Scheda Inv'!$D35:F35)</f>
        <v>56313</v>
      </c>
      <c r="H31" s="152">
        <f>+$D$31+SUM('Scheda Inv'!$D35:G35)</f>
        <v>56313</v>
      </c>
      <c r="I31" s="152">
        <f>+$D$31+SUM('Scheda Inv'!$D35:H35)</f>
        <v>56313</v>
      </c>
      <c r="J31" s="152">
        <f>+$D$31+SUM('Scheda Inv'!$D35:I35)</f>
        <v>56313</v>
      </c>
      <c r="K31" s="152">
        <f>+$D$31+SUM('Scheda Inv'!$D35:J35)</f>
        <v>56313</v>
      </c>
      <c r="L31" s="152">
        <f>+$D$31+SUM('Scheda Inv'!$D35:K35)</f>
        <v>56313</v>
      </c>
      <c r="M31" s="152">
        <f>+$D$31+SUM('Scheda Inv'!$D35:L35)</f>
        <v>56313</v>
      </c>
      <c r="N31" s="153">
        <f>+$D$31+SUM('Scheda Inv'!$D35:M35)</f>
        <v>56313</v>
      </c>
      <c r="O31" s="153">
        <f>+$D$31+SUM('Scheda Inv'!$D35:N35)</f>
        <v>56313</v>
      </c>
      <c r="P31" s="153">
        <f>+$D$31+SUM('Scheda Inv'!$D35:O35)</f>
        <v>56313</v>
      </c>
    </row>
    <row r="32" spans="1:16" ht="15" thickBot="1" x14ac:dyDescent="0.35">
      <c r="A32">
        <f t="shared" si="3"/>
        <v>31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</row>
    <row r="33" spans="1:16" ht="15" thickBot="1" x14ac:dyDescent="0.35">
      <c r="A33">
        <f t="shared" si="3"/>
        <v>32</v>
      </c>
      <c r="C33" s="2" t="s">
        <v>629</v>
      </c>
      <c r="D33" s="151">
        <f>+D25+D17+D13+D7+D5+D31</f>
        <v>796189</v>
      </c>
      <c r="E33" s="151">
        <f t="shared" ref="E33:N33" si="16">+E25+E17+E13+E7+E5+E31</f>
        <v>798076.06400000001</v>
      </c>
      <c r="F33" s="151">
        <f t="shared" si="16"/>
        <v>821051.68900000001</v>
      </c>
      <c r="G33" s="151">
        <f t="shared" si="16"/>
        <v>939374.31400000001</v>
      </c>
      <c r="H33" s="151">
        <f t="shared" si="16"/>
        <v>958819.05</v>
      </c>
      <c r="I33" s="151">
        <f t="shared" si="16"/>
        <v>984669.67500000005</v>
      </c>
      <c r="J33" s="151">
        <f t="shared" si="16"/>
        <v>1015762.3</v>
      </c>
      <c r="K33" s="151">
        <f t="shared" si="16"/>
        <v>1046854.925</v>
      </c>
      <c r="L33" s="151">
        <f t="shared" si="16"/>
        <v>1077947.55</v>
      </c>
      <c r="M33" s="151">
        <f t="shared" si="16"/>
        <v>1109040.175</v>
      </c>
      <c r="N33" s="151">
        <f t="shared" si="16"/>
        <v>1140132.8</v>
      </c>
      <c r="O33" s="151">
        <f t="shared" ref="O33:P33" si="17">+O25+O17+O13+O7+O5+O31</f>
        <v>1171225.425</v>
      </c>
      <c r="P33" s="151">
        <f t="shared" si="17"/>
        <v>1202318.05</v>
      </c>
    </row>
    <row r="34" spans="1:16" x14ac:dyDescent="0.3">
      <c r="A34">
        <f t="shared" si="3"/>
        <v>33</v>
      </c>
    </row>
    <row r="35" spans="1:16" ht="15.6" x14ac:dyDescent="0.3">
      <c r="A35">
        <f t="shared" si="3"/>
        <v>34</v>
      </c>
      <c r="C35" s="104" t="s">
        <v>351</v>
      </c>
      <c r="D35" s="200">
        <f>+D3</f>
        <v>43101</v>
      </c>
      <c r="E35" s="200">
        <f t="shared" ref="E35:N35" si="18">+E3</f>
        <v>43159</v>
      </c>
      <c r="F35" s="200">
        <f t="shared" si="18"/>
        <v>43190</v>
      </c>
      <c r="G35" s="200">
        <f t="shared" si="18"/>
        <v>43220</v>
      </c>
      <c r="H35" s="200">
        <f t="shared" si="18"/>
        <v>43251</v>
      </c>
      <c r="I35" s="200">
        <f t="shared" si="18"/>
        <v>43281</v>
      </c>
      <c r="J35" s="200">
        <f t="shared" si="18"/>
        <v>43312</v>
      </c>
      <c r="K35" s="200">
        <f t="shared" si="18"/>
        <v>43343</v>
      </c>
      <c r="L35" s="200">
        <f t="shared" si="18"/>
        <v>43373</v>
      </c>
      <c r="M35" s="200">
        <f t="shared" si="18"/>
        <v>43404</v>
      </c>
      <c r="N35" s="200">
        <f t="shared" si="18"/>
        <v>43434</v>
      </c>
      <c r="O35" s="200">
        <f t="shared" ref="O35:P35" si="19">+O3</f>
        <v>43465</v>
      </c>
      <c r="P35" s="200">
        <f t="shared" si="19"/>
        <v>43496</v>
      </c>
    </row>
    <row r="36" spans="1:16" ht="15" thickBot="1" x14ac:dyDescent="0.35">
      <c r="A36">
        <f t="shared" si="3"/>
        <v>35</v>
      </c>
    </row>
    <row r="37" spans="1:16" ht="15" thickBot="1" x14ac:dyDescent="0.35">
      <c r="A37">
        <f t="shared" si="3"/>
        <v>36</v>
      </c>
      <c r="C37" s="148" t="s">
        <v>630</v>
      </c>
      <c r="D37" s="152">
        <f>+D38</f>
        <v>0</v>
      </c>
      <c r="E37" s="152">
        <f t="shared" ref="E37:P37" si="20">+E38</f>
        <v>0</v>
      </c>
      <c r="F37" s="152">
        <f t="shared" si="20"/>
        <v>0</v>
      </c>
      <c r="G37" s="152">
        <f t="shared" si="20"/>
        <v>0</v>
      </c>
      <c r="H37" s="152">
        <f t="shared" si="20"/>
        <v>0</v>
      </c>
      <c r="I37" s="152">
        <f t="shared" si="20"/>
        <v>0</v>
      </c>
      <c r="J37" s="152">
        <f t="shared" si="20"/>
        <v>0</v>
      </c>
      <c r="K37" s="152">
        <f t="shared" si="20"/>
        <v>0</v>
      </c>
      <c r="L37" s="152">
        <f t="shared" si="20"/>
        <v>0</v>
      </c>
      <c r="M37" s="152">
        <f t="shared" si="20"/>
        <v>0</v>
      </c>
      <c r="N37" s="153">
        <f t="shared" si="20"/>
        <v>0</v>
      </c>
      <c r="O37" s="153">
        <f t="shared" si="20"/>
        <v>0</v>
      </c>
      <c r="P37" s="153">
        <f t="shared" si="20"/>
        <v>0</v>
      </c>
    </row>
    <row r="38" spans="1:16" x14ac:dyDescent="0.3">
      <c r="A38">
        <f t="shared" si="3"/>
        <v>37</v>
      </c>
      <c r="C38" s="149" t="s">
        <v>884</v>
      </c>
      <c r="D38" s="116">
        <f>+'sp fin'!C38</f>
        <v>0</v>
      </c>
      <c r="E38" s="116">
        <f>+IF(Calcoli!C115&lt;0,-Calcoli!C115,0)</f>
        <v>0</v>
      </c>
      <c r="F38" s="116">
        <f>+IF(Calcoli!D115&lt;0,-Calcoli!D115,0)</f>
        <v>0</v>
      </c>
      <c r="G38" s="116">
        <f>+IF(Calcoli!E115&lt;0,-Calcoli!E115,0)</f>
        <v>0</v>
      </c>
      <c r="H38" s="116">
        <f>+IF(Calcoli!F115&lt;0,-Calcoli!F115,0)</f>
        <v>0</v>
      </c>
      <c r="I38" s="116">
        <f>+IF(Calcoli!G115&lt;0,-Calcoli!G115,0)</f>
        <v>0</v>
      </c>
      <c r="J38" s="116">
        <f>+IF(Calcoli!H115&lt;0,-Calcoli!H115,0)</f>
        <v>0</v>
      </c>
      <c r="K38" s="116">
        <f>+IF(Calcoli!I115&lt;0,-Calcoli!I115,0)</f>
        <v>0</v>
      </c>
      <c r="L38" s="116">
        <f>+IF(Calcoli!J115&lt;0,-Calcoli!J115,0)</f>
        <v>0</v>
      </c>
      <c r="M38" s="116">
        <f>+IF(Calcoli!K115&lt;0,-Calcoli!K115,0)</f>
        <v>0</v>
      </c>
      <c r="N38" s="116">
        <f>+IF(Calcoli!L115&lt;0,-Calcoli!L115,0)</f>
        <v>0</v>
      </c>
      <c r="O38" s="116">
        <f>+IF(Calcoli!M115&lt;0,-Calcoli!M115,0)</f>
        <v>0</v>
      </c>
      <c r="P38" s="116">
        <f>+IF(Calcoli!N115&lt;0,-Calcoli!N115,0)</f>
        <v>0</v>
      </c>
    </row>
    <row r="39" spans="1:16" ht="15" thickBot="1" x14ac:dyDescent="0.35">
      <c r="A39">
        <f t="shared" si="3"/>
        <v>38</v>
      </c>
      <c r="C39" s="46"/>
      <c r="F39" s="174"/>
    </row>
    <row r="40" spans="1:16" ht="15" thickBot="1" x14ac:dyDescent="0.35">
      <c r="A40">
        <f t="shared" si="3"/>
        <v>39</v>
      </c>
      <c r="C40" s="148" t="s">
        <v>632</v>
      </c>
      <c r="D40" s="152">
        <f>+D41+D42+D43+D44+D45</f>
        <v>236484</v>
      </c>
      <c r="E40" s="152">
        <f t="shared" ref="E40:N40" si="21">+E41+E42+E43+E44+E45</f>
        <v>199466.88900000002</v>
      </c>
      <c r="F40" s="152">
        <f t="shared" si="21"/>
        <v>191349.88900000002</v>
      </c>
      <c r="G40" s="152">
        <f t="shared" si="21"/>
        <v>278579.88900000002</v>
      </c>
      <c r="H40" s="152">
        <f t="shared" si="21"/>
        <v>266931.99999999994</v>
      </c>
      <c r="I40" s="152">
        <f t="shared" si="21"/>
        <v>261689.99999999994</v>
      </c>
      <c r="J40" s="152">
        <f t="shared" si="21"/>
        <v>261689.99999999994</v>
      </c>
      <c r="K40" s="152">
        <f t="shared" si="21"/>
        <v>261689.99999999994</v>
      </c>
      <c r="L40" s="152">
        <f t="shared" si="21"/>
        <v>261689.99999999994</v>
      </c>
      <c r="M40" s="152">
        <f t="shared" si="21"/>
        <v>261689.99999999994</v>
      </c>
      <c r="N40" s="153">
        <f t="shared" si="21"/>
        <v>261689.99999999994</v>
      </c>
      <c r="O40" s="153">
        <f t="shared" ref="O40:P40" si="22">+O41+O42+O43+O44+O45</f>
        <v>261689.99999999994</v>
      </c>
      <c r="P40" s="153">
        <f t="shared" si="22"/>
        <v>261689.99999999994</v>
      </c>
    </row>
    <row r="41" spans="1:16" x14ac:dyDescent="0.3">
      <c r="A41">
        <f t="shared" si="3"/>
        <v>40</v>
      </c>
      <c r="C41" s="149" t="s">
        <v>794</v>
      </c>
      <c r="D41" s="116">
        <f>+'sp fin'!C41</f>
        <v>164324</v>
      </c>
      <c r="E41" s="116">
        <f>+D41+Calcoli!C67+Calcoli!C76-'Scheda Debiti'!E14</f>
        <v>183201.88900000002</v>
      </c>
      <c r="F41" s="116">
        <f>+E41+Calcoli!D67-Calcoli!C67+Calcoli!D76-Calcoli!C76-'Scheda Debiti'!F14</f>
        <v>186107.88900000002</v>
      </c>
      <c r="G41" s="116">
        <f>+F41+Calcoli!E67-Calcoli!D67+Calcoli!E76-Calcoli!D76-'Scheda Debiti'!G14</f>
        <v>273337.88900000002</v>
      </c>
      <c r="H41" s="116">
        <f>+G41+Calcoli!F67-Calcoli!E67+Calcoli!F76-Calcoli!E76-'Scheda Debiti'!H14</f>
        <v>261689.99999999994</v>
      </c>
      <c r="I41" s="116">
        <f>+H41+Calcoli!G67-Calcoli!F67+Calcoli!G76-Calcoli!F76-'Scheda Debiti'!I14</f>
        <v>261689.99999999994</v>
      </c>
      <c r="J41" s="116">
        <f>+I41+Calcoli!H67-Calcoli!G67+Calcoli!H76-Calcoli!G76-'Scheda Debiti'!J14</f>
        <v>261689.99999999994</v>
      </c>
      <c r="K41" s="116">
        <f>+J41+Calcoli!I67-Calcoli!H67+Calcoli!I76-Calcoli!H76-'Scheda Debiti'!K14</f>
        <v>261689.99999999994</v>
      </c>
      <c r="L41" s="116">
        <f>+K41+Calcoli!J67-Calcoli!I67+Calcoli!J76-Calcoli!I76-'Scheda Debiti'!L14</f>
        <v>261689.99999999994</v>
      </c>
      <c r="M41" s="116">
        <f>+L41+Calcoli!K67-Calcoli!J67+Calcoli!K76-Calcoli!J76-'Scheda Debiti'!M14</f>
        <v>261689.99999999994</v>
      </c>
      <c r="N41" s="116">
        <f>+M41+Calcoli!L67-Calcoli!K67+Calcoli!L76-Calcoli!K76-'Scheda Debiti'!N14</f>
        <v>261689.99999999994</v>
      </c>
      <c r="O41" s="116">
        <f>+N41+Calcoli!M67-Calcoli!L67+Calcoli!M76-Calcoli!L76-'Scheda Debiti'!O14</f>
        <v>261689.99999999994</v>
      </c>
      <c r="P41" s="116">
        <f>+O41+Calcoli!N67-Calcoli!M67+Calcoli!N76-Calcoli!M76-'Scheda Debiti'!P14</f>
        <v>261689.99999999994</v>
      </c>
    </row>
    <row r="42" spans="1:16" x14ac:dyDescent="0.3">
      <c r="A42">
        <f t="shared" si="3"/>
        <v>41</v>
      </c>
      <c r="C42" s="149" t="s">
        <v>23</v>
      </c>
      <c r="D42" s="116">
        <f>+'sp fin'!C42</f>
        <v>10349</v>
      </c>
      <c r="E42" s="116">
        <f>+D42-'Scheda Debiti'!E15</f>
        <v>0</v>
      </c>
      <c r="F42" s="116">
        <f>+$D$42-SUM('Scheda Debiti'!$E15:F15)</f>
        <v>0</v>
      </c>
      <c r="G42" s="116">
        <f>+$D$42-SUM('Scheda Debiti'!$E15:G15)</f>
        <v>0</v>
      </c>
      <c r="H42" s="116">
        <f>+$D$42-SUM('Scheda Debiti'!$E15:H15)</f>
        <v>0</v>
      </c>
      <c r="I42" s="116">
        <f>+$D$42-SUM('Scheda Debiti'!$E15:I15)</f>
        <v>0</v>
      </c>
      <c r="J42" s="116">
        <f>+$D$42-SUM('Scheda Debiti'!$E15:J15)</f>
        <v>0</v>
      </c>
      <c r="K42" s="116">
        <f>+$D$42-SUM('Scheda Debiti'!$E15:K15)</f>
        <v>0</v>
      </c>
      <c r="L42" s="116">
        <f>+$D$42-SUM('Scheda Debiti'!$E15:L15)</f>
        <v>0</v>
      </c>
      <c r="M42" s="116">
        <f>+$D$42-SUM('Scheda Debiti'!$E15:M15)</f>
        <v>0</v>
      </c>
      <c r="N42" s="116">
        <f>+$D$42-SUM('Scheda Debiti'!$E15:N15)</f>
        <v>0</v>
      </c>
      <c r="O42" s="116">
        <f>+$D$42-SUM('Scheda Debiti'!$E15:O15)</f>
        <v>0</v>
      </c>
      <c r="P42" s="116">
        <f>+$D$42-SUM('Scheda Debiti'!$E15:P15)</f>
        <v>0</v>
      </c>
    </row>
    <row r="43" spans="1:16" x14ac:dyDescent="0.3">
      <c r="A43">
        <f t="shared" si="3"/>
        <v>42</v>
      </c>
      <c r="C43" s="149" t="s">
        <v>24</v>
      </c>
      <c r="D43" s="116">
        <f>+'sp fin'!C43</f>
        <v>5242</v>
      </c>
      <c r="E43" s="116">
        <f>+D43-'Scheda Debiti'!E16</f>
        <v>5242</v>
      </c>
      <c r="F43" s="116">
        <f>+E43-'Scheda Debiti'!F16</f>
        <v>5242</v>
      </c>
      <c r="G43" s="116">
        <f>+F43-'Scheda Debiti'!G16</f>
        <v>5242</v>
      </c>
      <c r="H43" s="116">
        <f>+G43-'Scheda Debiti'!H16</f>
        <v>5242</v>
      </c>
      <c r="I43" s="116">
        <f>+H43-'Scheda Debiti'!I16</f>
        <v>0</v>
      </c>
      <c r="J43" s="116">
        <f>+I43-'Scheda Debiti'!J16</f>
        <v>0</v>
      </c>
      <c r="K43" s="116">
        <f>+J43-'Scheda Debiti'!K16</f>
        <v>0</v>
      </c>
      <c r="L43" s="116">
        <f>+K43-'Scheda Debiti'!L16</f>
        <v>0</v>
      </c>
      <c r="M43" s="116">
        <f>+L43-'Scheda Debiti'!M16</f>
        <v>0</v>
      </c>
      <c r="N43" s="116">
        <f>+M43-'Scheda Debiti'!N16</f>
        <v>0</v>
      </c>
      <c r="O43" s="116">
        <f>+N43-'Scheda Debiti'!O16</f>
        <v>0</v>
      </c>
      <c r="P43" s="116">
        <f>+O43-'Scheda Debiti'!P16</f>
        <v>0</v>
      </c>
    </row>
    <row r="44" spans="1:16" x14ac:dyDescent="0.3">
      <c r="A44">
        <f t="shared" si="3"/>
        <v>43</v>
      </c>
      <c r="C44" s="149" t="s">
        <v>25</v>
      </c>
      <c r="D44" s="116">
        <f>+'sp fin'!C44</f>
        <v>35546</v>
      </c>
      <c r="E44" s="116">
        <f>+D44-'Scheda Debiti'!E17</f>
        <v>0</v>
      </c>
      <c r="F44" s="116">
        <f>+E44-'Scheda Debiti'!F17</f>
        <v>0</v>
      </c>
      <c r="G44" s="116">
        <f>+F44-'Scheda Debiti'!G17</f>
        <v>0</v>
      </c>
      <c r="H44" s="116">
        <f>+G44-'Scheda Debiti'!H17</f>
        <v>0</v>
      </c>
      <c r="I44" s="116">
        <f>+H44-'Scheda Debiti'!I17</f>
        <v>0</v>
      </c>
      <c r="J44" s="116">
        <f>+I44-'Scheda Debiti'!J17</f>
        <v>0</v>
      </c>
      <c r="K44" s="116">
        <f>+J44-'Scheda Debiti'!K17</f>
        <v>0</v>
      </c>
      <c r="L44" s="116">
        <f>+K44-'Scheda Debiti'!L17</f>
        <v>0</v>
      </c>
      <c r="M44" s="116">
        <f>+L44-'Scheda Debiti'!M17</f>
        <v>0</v>
      </c>
      <c r="N44" s="116">
        <f>+M44-'Scheda Debiti'!N17</f>
        <v>0</v>
      </c>
      <c r="O44" s="116">
        <f>+N44-'Scheda Debiti'!O17</f>
        <v>0</v>
      </c>
      <c r="P44" s="116">
        <f>+O44-'Scheda Debiti'!P17</f>
        <v>0</v>
      </c>
    </row>
    <row r="45" spans="1:16" x14ac:dyDescent="0.3">
      <c r="A45">
        <f t="shared" si="3"/>
        <v>44</v>
      </c>
      <c r="C45" s="149" t="s">
        <v>26</v>
      </c>
      <c r="D45" s="116">
        <f>+'sp fin'!C45</f>
        <v>21023</v>
      </c>
      <c r="E45" s="116">
        <f>+D45-'Scheda Debiti'!E18</f>
        <v>11023</v>
      </c>
      <c r="F45" s="116">
        <f>+E45-'Scheda Debiti'!F18</f>
        <v>0</v>
      </c>
      <c r="G45" s="116">
        <f>+F45-'Scheda Debiti'!G18</f>
        <v>0</v>
      </c>
      <c r="H45" s="116">
        <f>+G45-'Scheda Debiti'!H18</f>
        <v>0</v>
      </c>
      <c r="I45" s="116">
        <f>+H45-'Scheda Debiti'!I18</f>
        <v>0</v>
      </c>
      <c r="J45" s="116">
        <f>+I45-'Scheda Debiti'!J18</f>
        <v>0</v>
      </c>
      <c r="K45" s="116">
        <f>+J45-'Scheda Debiti'!K18</f>
        <v>0</v>
      </c>
      <c r="L45" s="116">
        <f>+K45-'Scheda Debiti'!L18</f>
        <v>0</v>
      </c>
      <c r="M45" s="116">
        <f>+L45-'Scheda Debiti'!M18</f>
        <v>0</v>
      </c>
      <c r="N45" s="116">
        <f>+M45-'Scheda Debiti'!N18</f>
        <v>0</v>
      </c>
      <c r="O45" s="116">
        <f>+N45-'Scheda Debiti'!O18</f>
        <v>0</v>
      </c>
      <c r="P45" s="116">
        <f>+O45-'Scheda Debiti'!P18</f>
        <v>0</v>
      </c>
    </row>
    <row r="46" spans="1:16" ht="15" thickBot="1" x14ac:dyDescent="0.35">
      <c r="A46">
        <f t="shared" si="3"/>
        <v>45</v>
      </c>
    </row>
    <row r="47" spans="1:16" ht="15" thickBot="1" x14ac:dyDescent="0.35">
      <c r="A47">
        <f t="shared" si="3"/>
        <v>46</v>
      </c>
      <c r="C47" s="148" t="s">
        <v>638</v>
      </c>
      <c r="D47" s="152">
        <f>+'sp fin'!C47</f>
        <v>65768</v>
      </c>
      <c r="E47" s="152">
        <f>+D47</f>
        <v>65768</v>
      </c>
      <c r="F47" s="152">
        <f t="shared" ref="F47:N47" si="23">+E47</f>
        <v>65768</v>
      </c>
      <c r="G47" s="152">
        <f t="shared" si="23"/>
        <v>65768</v>
      </c>
      <c r="H47" s="152">
        <f t="shared" si="23"/>
        <v>65768</v>
      </c>
      <c r="I47" s="152">
        <f t="shared" si="23"/>
        <v>65768</v>
      </c>
      <c r="J47" s="152">
        <f t="shared" si="23"/>
        <v>65768</v>
      </c>
      <c r="K47" s="152">
        <f t="shared" si="23"/>
        <v>65768</v>
      </c>
      <c r="L47" s="152">
        <f t="shared" si="23"/>
        <v>65768</v>
      </c>
      <c r="M47" s="152">
        <f t="shared" si="23"/>
        <v>65768</v>
      </c>
      <c r="N47" s="153">
        <f t="shared" si="23"/>
        <v>65768</v>
      </c>
      <c r="O47" s="153">
        <f t="shared" ref="O47" si="24">+N47</f>
        <v>65768</v>
      </c>
      <c r="P47" s="153">
        <f t="shared" ref="P47" si="25">+O47</f>
        <v>65768</v>
      </c>
    </row>
    <row r="48" spans="1:16" ht="15" thickBot="1" x14ac:dyDescent="0.35">
      <c r="A48">
        <f t="shared" si="3"/>
        <v>47</v>
      </c>
      <c r="C48" s="2"/>
    </row>
    <row r="49" spans="1:16" ht="15" thickBot="1" x14ac:dyDescent="0.35">
      <c r="A49">
        <f t="shared" si="3"/>
        <v>48</v>
      </c>
      <c r="C49" s="148" t="s">
        <v>639</v>
      </c>
      <c r="D49" s="152">
        <f>+SUM(D50:D54)</f>
        <v>121229</v>
      </c>
      <c r="E49" s="152">
        <f t="shared" ref="E49:N49" si="26">+SUM(E50:E54)</f>
        <v>142729</v>
      </c>
      <c r="F49" s="152">
        <f t="shared" si="26"/>
        <v>164229</v>
      </c>
      <c r="G49" s="152">
        <f t="shared" si="26"/>
        <v>185729</v>
      </c>
      <c r="H49" s="152">
        <f t="shared" si="26"/>
        <v>207229</v>
      </c>
      <c r="I49" s="152">
        <f t="shared" si="26"/>
        <v>228729</v>
      </c>
      <c r="J49" s="152">
        <f t="shared" si="26"/>
        <v>250229</v>
      </c>
      <c r="K49" s="152">
        <f t="shared" si="26"/>
        <v>271729</v>
      </c>
      <c r="L49" s="152">
        <f t="shared" si="26"/>
        <v>293229</v>
      </c>
      <c r="M49" s="152">
        <f t="shared" si="26"/>
        <v>314729</v>
      </c>
      <c r="N49" s="153">
        <f t="shared" si="26"/>
        <v>336229</v>
      </c>
      <c r="O49" s="153">
        <f t="shared" ref="O49:P49" si="27">+SUM(O50:O54)</f>
        <v>357729</v>
      </c>
      <c r="P49" s="153">
        <f t="shared" si="27"/>
        <v>379229</v>
      </c>
    </row>
    <row r="50" spans="1:16" x14ac:dyDescent="0.3">
      <c r="A50">
        <f t="shared" si="3"/>
        <v>49</v>
      </c>
      <c r="C50" s="149" t="s">
        <v>16</v>
      </c>
      <c r="D50" s="116">
        <f>+'sp fin'!C50</f>
        <v>0</v>
      </c>
      <c r="E50" s="116">
        <f>+D50-'Scheda Debiti'!E5+'Input Previsionale'!E23-'Input Previsionale'!E24</f>
        <v>0</v>
      </c>
      <c r="F50" s="116">
        <f>+E50-'Scheda Debiti'!F5+'Input Previsionale'!F23-'Input Previsionale'!F24</f>
        <v>0</v>
      </c>
      <c r="G50" s="116">
        <f>+F50-'Scheda Debiti'!G5+'Input Previsionale'!G23-'Input Previsionale'!G24</f>
        <v>0</v>
      </c>
      <c r="H50" s="116">
        <f>+G50-'Scheda Debiti'!H5+'Input Previsionale'!H23-'Input Previsionale'!H24</f>
        <v>0</v>
      </c>
      <c r="I50" s="116">
        <f>+H50-'Scheda Debiti'!I5+'Input Previsionale'!I23-'Input Previsionale'!I24</f>
        <v>0</v>
      </c>
      <c r="J50" s="116">
        <f>+I50-'Scheda Debiti'!J5+'Input Previsionale'!J23-'Input Previsionale'!J24</f>
        <v>0</v>
      </c>
      <c r="K50" s="116">
        <f>+J50-'Scheda Debiti'!K5+'Input Previsionale'!K23-'Input Previsionale'!K24</f>
        <v>0</v>
      </c>
      <c r="L50" s="116">
        <f>+K50-'Scheda Debiti'!L5+'Input Previsionale'!L23-'Input Previsionale'!L24</f>
        <v>0</v>
      </c>
      <c r="M50" s="116">
        <f>+L50-'Scheda Debiti'!M5+'Input Previsionale'!M23-'Input Previsionale'!M24</f>
        <v>0</v>
      </c>
      <c r="N50" s="116">
        <f>+M50-'Scheda Debiti'!N5+'Input Previsionale'!N23-'Input Previsionale'!N24</f>
        <v>0</v>
      </c>
      <c r="O50" s="116">
        <f>+N50-'Scheda Debiti'!O5+'Input Previsionale'!O23-'Input Previsionale'!O24</f>
        <v>0</v>
      </c>
      <c r="P50" s="116">
        <f>+O50-'Scheda Debiti'!P5+'Input Previsionale'!P23-'Input Previsionale'!P24</f>
        <v>0</v>
      </c>
    </row>
    <row r="51" spans="1:16" x14ac:dyDescent="0.3">
      <c r="A51">
        <f t="shared" si="3"/>
        <v>50</v>
      </c>
      <c r="C51" s="149" t="s">
        <v>19</v>
      </c>
      <c r="D51" s="116">
        <f>+'sp fin'!C51</f>
        <v>121229</v>
      </c>
      <c r="E51" s="116">
        <f>+D51-'Scheda Debiti'!E9+'CE Previsionale'!C28</f>
        <v>142729</v>
      </c>
      <c r="F51" s="116">
        <f>+E51-'Scheda Debiti'!F9+'CE Previsionale'!D28</f>
        <v>164229</v>
      </c>
      <c r="G51" s="116">
        <f>+F51-'Scheda Debiti'!G9+'CE Previsionale'!E28</f>
        <v>185729</v>
      </c>
      <c r="H51" s="116">
        <f>+G51-'Scheda Debiti'!H9+'CE Previsionale'!F28</f>
        <v>207229</v>
      </c>
      <c r="I51" s="116">
        <f>+H51-'Scheda Debiti'!I9+'CE Previsionale'!G28</f>
        <v>228729</v>
      </c>
      <c r="J51" s="116">
        <f>+I51-'Scheda Debiti'!J9+'CE Previsionale'!H28</f>
        <v>250229</v>
      </c>
      <c r="K51" s="116">
        <f>+J51-'Scheda Debiti'!K9+'CE Previsionale'!I28</f>
        <v>271729</v>
      </c>
      <c r="L51" s="116">
        <f>+K51-'Scheda Debiti'!L9+'CE Previsionale'!J28</f>
        <v>293229</v>
      </c>
      <c r="M51" s="116">
        <f>+L51-'Scheda Debiti'!M9+'CE Previsionale'!K28</f>
        <v>314729</v>
      </c>
      <c r="N51" s="116">
        <f>+M51-'Scheda Debiti'!N9+'CE Previsionale'!L28</f>
        <v>336229</v>
      </c>
      <c r="O51" s="116">
        <f>+N51-'Scheda Debiti'!O9+'CE Previsionale'!M28</f>
        <v>357729</v>
      </c>
      <c r="P51" s="116">
        <f>+O51-'Scheda Debiti'!P9+'CE Previsionale'!N28</f>
        <v>379229</v>
      </c>
    </row>
    <row r="52" spans="1:16" x14ac:dyDescent="0.3">
      <c r="A52">
        <f t="shared" si="3"/>
        <v>51</v>
      </c>
      <c r="C52" s="149" t="s">
        <v>20</v>
      </c>
      <c r="D52" s="116">
        <f>+'sp fin'!C52</f>
        <v>0</v>
      </c>
      <c r="E52" s="116">
        <f>+D52-'Scheda Debiti'!E10+'CE Previsionale'!C26</f>
        <v>0</v>
      </c>
      <c r="F52" s="116">
        <f>+E52-'Scheda Debiti'!F10+'CE Previsionale'!D26</f>
        <v>0</v>
      </c>
      <c r="G52" s="116">
        <f>+F52-'Scheda Debiti'!G10+'CE Previsionale'!E26</f>
        <v>0</v>
      </c>
      <c r="H52" s="116">
        <f>+G52-'Scheda Debiti'!H10+'CE Previsionale'!F26</f>
        <v>0</v>
      </c>
      <c r="I52" s="116">
        <f>+H52-'Scheda Debiti'!I10+'CE Previsionale'!G26</f>
        <v>0</v>
      </c>
      <c r="J52" s="116">
        <f>+I52-'Scheda Debiti'!J10+'CE Previsionale'!H26</f>
        <v>0</v>
      </c>
      <c r="K52" s="116">
        <f>+J52-'Scheda Debiti'!K10+'CE Previsionale'!I26</f>
        <v>0</v>
      </c>
      <c r="L52" s="116">
        <f>+K52-'Scheda Debiti'!L10+'CE Previsionale'!J26</f>
        <v>0</v>
      </c>
      <c r="M52" s="116">
        <f>+L52-'Scheda Debiti'!M10+'CE Previsionale'!K26</f>
        <v>0</v>
      </c>
      <c r="N52" s="116">
        <f>+M52-'Scheda Debiti'!N10+'CE Previsionale'!L26</f>
        <v>0</v>
      </c>
      <c r="O52" s="116">
        <f>+N52-'Scheda Debiti'!O10+'CE Previsionale'!M26</f>
        <v>0</v>
      </c>
      <c r="P52" s="116">
        <f>+O52-'Scheda Debiti'!P10+'CE Previsionale'!N26</f>
        <v>0</v>
      </c>
    </row>
    <row r="53" spans="1:16" x14ac:dyDescent="0.3">
      <c r="A53">
        <f t="shared" si="3"/>
        <v>52</v>
      </c>
      <c r="C53" s="149" t="s">
        <v>21</v>
      </c>
      <c r="D53" s="116">
        <f>+'sp fin'!C53</f>
        <v>0</v>
      </c>
      <c r="E53" s="116">
        <f>+D53-'Scheda Debiti'!E11</f>
        <v>0</v>
      </c>
      <c r="F53" s="116">
        <f>+E53-'Scheda Debiti'!F11</f>
        <v>0</v>
      </c>
      <c r="G53" s="116">
        <f>+F53-'Scheda Debiti'!G11</f>
        <v>0</v>
      </c>
      <c r="H53" s="116">
        <f>+G53-'Scheda Debiti'!H11</f>
        <v>0</v>
      </c>
      <c r="I53" s="116">
        <f>+H53-'Scheda Debiti'!I11</f>
        <v>0</v>
      </c>
      <c r="J53" s="116">
        <f>+I53-'Scheda Debiti'!J11</f>
        <v>0</v>
      </c>
      <c r="K53" s="116">
        <f>+J53-'Scheda Debiti'!K11</f>
        <v>0</v>
      </c>
      <c r="L53" s="116">
        <f>+K53-'Scheda Debiti'!L11</f>
        <v>0</v>
      </c>
      <c r="M53" s="116">
        <f>+L53-'Scheda Debiti'!M11</f>
        <v>0</v>
      </c>
      <c r="N53" s="116">
        <f>+M53-'Scheda Debiti'!N11</f>
        <v>0</v>
      </c>
      <c r="O53" s="116">
        <f>+N53-'Scheda Debiti'!O11</f>
        <v>0</v>
      </c>
      <c r="P53" s="116">
        <f>+O53-'Scheda Debiti'!P11</f>
        <v>0</v>
      </c>
    </row>
    <row r="54" spans="1:16" x14ac:dyDescent="0.3">
      <c r="A54">
        <f t="shared" si="3"/>
        <v>53</v>
      </c>
      <c r="C54" s="149" t="s">
        <v>22</v>
      </c>
      <c r="D54" s="116">
        <f>+'sp fin'!C54</f>
        <v>0</v>
      </c>
      <c r="E54" s="116">
        <f>+D54-'Scheda Debiti'!E12</f>
        <v>0</v>
      </c>
      <c r="F54" s="116">
        <f>+E54-'Scheda Debiti'!F12</f>
        <v>0</v>
      </c>
      <c r="G54" s="116">
        <f>+F54-'Scheda Debiti'!G12</f>
        <v>0</v>
      </c>
      <c r="H54" s="116">
        <f>+G54-'Scheda Debiti'!H12</f>
        <v>0</v>
      </c>
      <c r="I54" s="116">
        <f>+H54-'Scheda Debiti'!I12</f>
        <v>0</v>
      </c>
      <c r="J54" s="116">
        <f>+I54-'Scheda Debiti'!J12</f>
        <v>0</v>
      </c>
      <c r="K54" s="116">
        <f>+J54-'Scheda Debiti'!K12</f>
        <v>0</v>
      </c>
      <c r="L54" s="116">
        <f>+K54-'Scheda Debiti'!L12</f>
        <v>0</v>
      </c>
      <c r="M54" s="116">
        <f>+L54-'Scheda Debiti'!M12</f>
        <v>0</v>
      </c>
      <c r="N54" s="116">
        <f>+M54-'Scheda Debiti'!N12</f>
        <v>0</v>
      </c>
      <c r="O54" s="116">
        <f>+N54-'Scheda Debiti'!O12</f>
        <v>0</v>
      </c>
      <c r="P54" s="116">
        <f>+O54-'Scheda Debiti'!P12</f>
        <v>0</v>
      </c>
    </row>
    <row r="55" spans="1:16" ht="15" thickBot="1" x14ac:dyDescent="0.35">
      <c r="A55">
        <f t="shared" si="3"/>
        <v>54</v>
      </c>
      <c r="C55" s="46"/>
    </row>
    <row r="56" spans="1:16" ht="15" thickBot="1" x14ac:dyDescent="0.35">
      <c r="A56">
        <f t="shared" si="3"/>
        <v>55</v>
      </c>
      <c r="C56" s="148" t="s">
        <v>645</v>
      </c>
      <c r="D56" s="152">
        <f>+D57+D58+D59+D60+D61</f>
        <v>372708</v>
      </c>
      <c r="E56" s="152">
        <f t="shared" ref="E56:N56" si="28">+E57+E58+E59+E60+E61</f>
        <v>390112.17499999999</v>
      </c>
      <c r="F56" s="152">
        <f t="shared" si="28"/>
        <v>399704.8</v>
      </c>
      <c r="G56" s="152">
        <f t="shared" si="28"/>
        <v>409297.42499999999</v>
      </c>
      <c r="H56" s="152">
        <f t="shared" si="28"/>
        <v>418890.05</v>
      </c>
      <c r="I56" s="152">
        <f t="shared" si="28"/>
        <v>428482.67499999999</v>
      </c>
      <c r="J56" s="152">
        <f t="shared" si="28"/>
        <v>438075.3</v>
      </c>
      <c r="K56" s="152">
        <f t="shared" si="28"/>
        <v>447667.92499999999</v>
      </c>
      <c r="L56" s="152">
        <f t="shared" si="28"/>
        <v>457260.55</v>
      </c>
      <c r="M56" s="152">
        <f t="shared" si="28"/>
        <v>466853.17499999999</v>
      </c>
      <c r="N56" s="153">
        <f t="shared" si="28"/>
        <v>476445.8</v>
      </c>
      <c r="O56" s="153">
        <f t="shared" ref="O56:P56" si="29">+O57+O58+O59+O60+O61</f>
        <v>486038.42499999999</v>
      </c>
      <c r="P56" s="153">
        <f t="shared" si="29"/>
        <v>495631.05</v>
      </c>
    </row>
    <row r="57" spans="1:16" x14ac:dyDescent="0.3">
      <c r="A57">
        <f t="shared" si="3"/>
        <v>56</v>
      </c>
      <c r="C57" s="149" t="s">
        <v>804</v>
      </c>
      <c r="D57" s="116">
        <f>+'sp fin'!C57</f>
        <v>106932</v>
      </c>
      <c r="E57" s="116">
        <f>+D57+'Input Previsionale'!E28</f>
        <v>106932</v>
      </c>
      <c r="F57" s="116">
        <f>+E57+'Input Previsionale'!F28</f>
        <v>106932</v>
      </c>
      <c r="G57" s="116">
        <f>+F57+'Input Previsionale'!G28</f>
        <v>106932</v>
      </c>
      <c r="H57" s="116">
        <f>+G57+'Input Previsionale'!H28</f>
        <v>106932</v>
      </c>
      <c r="I57" s="116">
        <f>+H57+'Input Previsionale'!I28</f>
        <v>106932</v>
      </c>
      <c r="J57" s="116">
        <f>+I57+'Input Previsionale'!J28</f>
        <v>106932</v>
      </c>
      <c r="K57" s="116">
        <f>+J57+'Input Previsionale'!K28</f>
        <v>106932</v>
      </c>
      <c r="L57" s="116">
        <f>+K57+'Input Previsionale'!L28</f>
        <v>106932</v>
      </c>
      <c r="M57" s="116">
        <f>+L57+'Input Previsionale'!M28</f>
        <v>106932</v>
      </c>
      <c r="N57" s="116">
        <f>+M57+'Input Previsionale'!N28</f>
        <v>106932</v>
      </c>
      <c r="O57" s="116">
        <f>+N57+'Input Previsionale'!O28</f>
        <v>106932</v>
      </c>
      <c r="P57" s="116">
        <f>+O57+'Input Previsionale'!P28</f>
        <v>106932</v>
      </c>
    </row>
    <row r="58" spans="1:16" x14ac:dyDescent="0.3">
      <c r="A58">
        <f t="shared" si="3"/>
        <v>57</v>
      </c>
      <c r="C58" s="149" t="s">
        <v>806</v>
      </c>
      <c r="D58" s="116">
        <f>+'sp fin'!C58</f>
        <v>108798</v>
      </c>
      <c r="E58" s="116">
        <f>+D58</f>
        <v>108798</v>
      </c>
      <c r="F58" s="116">
        <f t="shared" ref="F58:N58" si="30">+E58</f>
        <v>108798</v>
      </c>
      <c r="G58" s="116">
        <f t="shared" si="30"/>
        <v>108798</v>
      </c>
      <c r="H58" s="116">
        <f t="shared" si="30"/>
        <v>108798</v>
      </c>
      <c r="I58" s="116">
        <f t="shared" si="30"/>
        <v>108798</v>
      </c>
      <c r="J58" s="116">
        <f t="shared" si="30"/>
        <v>108798</v>
      </c>
      <c r="K58" s="116">
        <f t="shared" si="30"/>
        <v>108798</v>
      </c>
      <c r="L58" s="116">
        <f t="shared" si="30"/>
        <v>108798</v>
      </c>
      <c r="M58" s="116">
        <f t="shared" si="30"/>
        <v>108798</v>
      </c>
      <c r="N58" s="116">
        <f t="shared" si="30"/>
        <v>108798</v>
      </c>
      <c r="O58" s="116">
        <f t="shared" ref="O58:O59" si="31">+N58</f>
        <v>108798</v>
      </c>
      <c r="P58" s="116">
        <f t="shared" ref="P58:P59" si="32">+O58</f>
        <v>108798</v>
      </c>
    </row>
    <row r="59" spans="1:16" x14ac:dyDescent="0.3">
      <c r="A59">
        <f t="shared" si="3"/>
        <v>58</v>
      </c>
      <c r="C59" s="149" t="s">
        <v>805</v>
      </c>
      <c r="D59" s="116">
        <f>+'sp fin'!C59</f>
        <v>251438</v>
      </c>
      <c r="E59" s="116">
        <f>+D59</f>
        <v>251438</v>
      </c>
      <c r="F59" s="116">
        <f t="shared" ref="F59:N59" si="33">+E59</f>
        <v>251438</v>
      </c>
      <c r="G59" s="116">
        <f t="shared" si="33"/>
        <v>251438</v>
      </c>
      <c r="H59" s="116">
        <f t="shared" si="33"/>
        <v>251438</v>
      </c>
      <c r="I59" s="116">
        <f t="shared" si="33"/>
        <v>251438</v>
      </c>
      <c r="J59" s="116">
        <f t="shared" si="33"/>
        <v>251438</v>
      </c>
      <c r="K59" s="116">
        <f t="shared" si="33"/>
        <v>251438</v>
      </c>
      <c r="L59" s="116">
        <f t="shared" si="33"/>
        <v>251438</v>
      </c>
      <c r="M59" s="116">
        <f t="shared" si="33"/>
        <v>251438</v>
      </c>
      <c r="N59" s="116">
        <f t="shared" si="33"/>
        <v>251438</v>
      </c>
      <c r="O59" s="116">
        <f t="shared" si="31"/>
        <v>251438</v>
      </c>
      <c r="P59" s="116">
        <f t="shared" si="32"/>
        <v>251438</v>
      </c>
    </row>
    <row r="60" spans="1:16" x14ac:dyDescent="0.3">
      <c r="A60">
        <f t="shared" si="3"/>
        <v>59</v>
      </c>
      <c r="C60" s="149" t="s">
        <v>807</v>
      </c>
      <c r="D60" s="116">
        <f>+'sp fin'!C60</f>
        <v>0</v>
      </c>
      <c r="E60" s="116">
        <f>+D60+D61-'Input Previsionale'!E36</f>
        <v>-94460</v>
      </c>
      <c r="F60" s="116">
        <f>+E60+E61-'Input Previsionale'!F36</f>
        <v>-77055.825000000012</v>
      </c>
      <c r="G60" s="116">
        <f>+F60+F61-'Input Previsionale'!G36</f>
        <v>-67463.200000000012</v>
      </c>
      <c r="H60" s="116">
        <f>+G60+G61-'Input Previsionale'!H36</f>
        <v>-57870.575000000012</v>
      </c>
      <c r="I60" s="116">
        <f>+H60+H61-'Input Previsionale'!I36</f>
        <v>-48277.950000000012</v>
      </c>
      <c r="J60" s="116">
        <f>+I60+I61-'Input Previsionale'!J36</f>
        <v>-38685.325000000012</v>
      </c>
      <c r="K60" s="116">
        <f>+J60+J61-'Input Previsionale'!K36</f>
        <v>-29092.700000000012</v>
      </c>
      <c r="L60" s="116">
        <f>+K60+K61-'Input Previsionale'!L36</f>
        <v>-19500.075000000012</v>
      </c>
      <c r="M60" s="116">
        <f>+L60+L61-'Input Previsionale'!M36</f>
        <v>-9907.4500000000116</v>
      </c>
      <c r="N60" s="116">
        <f>+M60+M61-'Input Previsionale'!N36</f>
        <v>-314.82500000001164</v>
      </c>
      <c r="O60" s="116">
        <f>+N60+N61-'Input Previsionale'!O36</f>
        <v>9277.7999999999884</v>
      </c>
      <c r="P60" s="116">
        <f>+O60+O61-'Input Previsionale'!P36</f>
        <v>18870.424999999988</v>
      </c>
    </row>
    <row r="61" spans="1:16" x14ac:dyDescent="0.3">
      <c r="A61">
        <f t="shared" si="3"/>
        <v>60</v>
      </c>
      <c r="C61" s="149" t="s">
        <v>808</v>
      </c>
      <c r="D61" s="116">
        <f>+'sp fin'!C61</f>
        <v>-94460</v>
      </c>
      <c r="E61" s="116">
        <f>+'CE Previsionale'!C44</f>
        <v>17404.174999999988</v>
      </c>
      <c r="F61" s="116">
        <f>+'CE Previsionale'!D44</f>
        <v>9592.625</v>
      </c>
      <c r="G61" s="116">
        <f>+'CE Previsionale'!E44</f>
        <v>9592.625</v>
      </c>
      <c r="H61" s="116">
        <f>+'CE Previsionale'!F44</f>
        <v>9592.625</v>
      </c>
      <c r="I61" s="116">
        <f>+'CE Previsionale'!G44</f>
        <v>9592.625</v>
      </c>
      <c r="J61" s="116">
        <f>+'CE Previsionale'!H44</f>
        <v>9592.625</v>
      </c>
      <c r="K61" s="116">
        <f>+'CE Previsionale'!I44</f>
        <v>9592.625</v>
      </c>
      <c r="L61" s="116">
        <f>+'CE Previsionale'!J44</f>
        <v>9592.625</v>
      </c>
      <c r="M61" s="116">
        <f>+'CE Previsionale'!K44</f>
        <v>9592.625</v>
      </c>
      <c r="N61" s="116">
        <f>+'CE Previsionale'!L44</f>
        <v>9592.625</v>
      </c>
      <c r="O61" s="116">
        <f>+'CE Previsionale'!M44</f>
        <v>9592.625</v>
      </c>
      <c r="P61" s="116">
        <f>+'CE Previsionale'!N44</f>
        <v>9592.625</v>
      </c>
    </row>
    <row r="62" spans="1:16" x14ac:dyDescent="0.3">
      <c r="C62" s="49"/>
    </row>
    <row r="63" spans="1:16" x14ac:dyDescent="0.3">
      <c r="C63" s="2" t="s">
        <v>651</v>
      </c>
      <c r="D63" s="45">
        <f t="shared" ref="D63:N63" si="34">+D56+D49+D47+D40+D37</f>
        <v>796189</v>
      </c>
      <c r="E63" s="45">
        <f t="shared" si="34"/>
        <v>798076.06400000001</v>
      </c>
      <c r="F63" s="45">
        <f t="shared" si="34"/>
        <v>821051.68900000001</v>
      </c>
      <c r="G63" s="45">
        <f t="shared" si="34"/>
        <v>939374.31400000001</v>
      </c>
      <c r="H63" s="45">
        <f t="shared" si="34"/>
        <v>958819.05</v>
      </c>
      <c r="I63" s="45">
        <f t="shared" si="34"/>
        <v>984669.67500000005</v>
      </c>
      <c r="J63" s="45">
        <f t="shared" si="34"/>
        <v>1015762.3</v>
      </c>
      <c r="K63" s="45">
        <f t="shared" si="34"/>
        <v>1046854.925</v>
      </c>
      <c r="L63" s="45">
        <f t="shared" si="34"/>
        <v>1077947.55</v>
      </c>
      <c r="M63" s="45">
        <f t="shared" si="34"/>
        <v>1109040.175</v>
      </c>
      <c r="N63" s="45">
        <f t="shared" si="34"/>
        <v>1140132.8</v>
      </c>
      <c r="O63" s="45">
        <f t="shared" ref="O63:P63" si="35">+O56+O49+O47+O40+O37</f>
        <v>1171225.425</v>
      </c>
      <c r="P63" s="45">
        <f t="shared" si="35"/>
        <v>1202318.05</v>
      </c>
    </row>
    <row r="65" spans="4:16" x14ac:dyDescent="0.3">
      <c r="D65" s="49">
        <f t="shared" ref="D65:F65" si="36">+D33-D63</f>
        <v>0</v>
      </c>
      <c r="E65" s="49">
        <f>+E33-E63</f>
        <v>0</v>
      </c>
      <c r="F65" s="49">
        <f t="shared" si="36"/>
        <v>0</v>
      </c>
      <c r="G65" s="49">
        <f t="shared" ref="G65:N65" si="37">+G33-G63</f>
        <v>0</v>
      </c>
      <c r="H65" s="49">
        <f t="shared" si="37"/>
        <v>0</v>
      </c>
      <c r="I65" s="49">
        <f t="shared" si="37"/>
        <v>0</v>
      </c>
      <c r="J65" s="49">
        <f t="shared" si="37"/>
        <v>0</v>
      </c>
      <c r="K65" s="49">
        <f t="shared" si="37"/>
        <v>0</v>
      </c>
      <c r="L65" s="49">
        <f t="shared" si="37"/>
        <v>0</v>
      </c>
      <c r="M65" s="49">
        <f t="shared" si="37"/>
        <v>0</v>
      </c>
      <c r="N65" s="49">
        <f t="shared" si="37"/>
        <v>0</v>
      </c>
      <c r="O65" s="49">
        <f t="shared" ref="O65:P65" si="38">+O33-O63</f>
        <v>0</v>
      </c>
      <c r="P65" s="49">
        <f t="shared" si="38"/>
        <v>0</v>
      </c>
    </row>
  </sheetData>
  <conditionalFormatting sqref="D65:P65">
    <cfRule type="cellIs" dxfId="24" priority="1" operator="notEqual">
      <formula>0</formula>
    </cfRule>
  </conditionalFormatting>
  <hyperlinks>
    <hyperlink ref="A1" location="Menu!A1" display="MENU" xr:uid="{00000000-0004-0000-08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15</vt:i4>
      </vt:variant>
      <vt:variant>
        <vt:lpstr>Intervalli denominati</vt:lpstr>
      </vt:variant>
      <vt:variant>
        <vt:i4>3</vt:i4>
      </vt:variant>
    </vt:vector>
  </HeadingPairs>
  <TitlesOfParts>
    <vt:vector size="18" baseType="lpstr">
      <vt:lpstr>Menu</vt:lpstr>
      <vt:lpstr>SP</vt:lpstr>
      <vt:lpstr>Input Previsionale</vt:lpstr>
      <vt:lpstr>Scheda Debiti</vt:lpstr>
      <vt:lpstr>Scheda Crediti</vt:lpstr>
      <vt:lpstr>Scheda Inv</vt:lpstr>
      <vt:lpstr>Calcoli</vt:lpstr>
      <vt:lpstr>Flussi Cassa_Solvibilità</vt:lpstr>
      <vt:lpstr>SP Previsionale</vt:lpstr>
      <vt:lpstr>sp fin</vt:lpstr>
      <vt:lpstr>CE Previsionale</vt:lpstr>
      <vt:lpstr>ce va</vt:lpstr>
      <vt:lpstr>Fonte Impieghi</vt:lpstr>
      <vt:lpstr>Rat MedioCreditoCentrale</vt:lpstr>
      <vt:lpstr>In_Bancabilità</vt:lpstr>
      <vt:lpstr>'Input Previsionale'!Area_stampa</vt:lpstr>
      <vt:lpstr>SP!Area_stampa</vt:lpstr>
      <vt:lpstr>'sp fin'!Area_stampa</vt:lpstr>
    </vt:vector>
  </TitlesOfParts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Imperiale, Gianluca</dc:creator>
  <cp:lastModifiedBy>Gianluca Imperiale</cp:lastModifiedBy>
  <cp:revision/>
  <cp:lastPrinted>2018-07-16T14:23:47Z</cp:lastPrinted>
  <dcterms:created xsi:type="dcterms:W3CDTF">2015-03-06T11:34:44Z</dcterms:created>
  <dcterms:modified xsi:type="dcterms:W3CDTF">2019-05-03T07:17:17Z</dcterms:modified>
</cp:coreProperties>
</file>