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ianluca.imperiale\Dropbox\Corso Udemy\"/>
    </mc:Choice>
  </mc:AlternateContent>
  <xr:revisionPtr revIDLastSave="0" documentId="10_ncr:100000_{2CACCE46-B513-4F8D-872D-DE7D7D01B19D}" xr6:coauthVersionLast="31" xr6:coauthVersionMax="31" xr10:uidLastSave="{00000000-0000-0000-0000-000000000000}"/>
  <bookViews>
    <workbookView xWindow="396" yWindow="456" windowWidth="27816" windowHeight="16236" tabRatio="768" firstSheet="2" activeTab="13" xr2:uid="{00000000-000D-0000-FFFF-FFFF00000000}"/>
  </bookViews>
  <sheets>
    <sheet name="Menu" sheetId="1" r:id="rId1"/>
    <sheet name="SP" sheetId="2" r:id="rId2"/>
    <sheet name="CE" sheetId="3" r:id="rId3"/>
    <sheet name="Input Previsionale" sheetId="14" r:id="rId4"/>
    <sheet name="Scheda Debiti" sheetId="20" r:id="rId5"/>
    <sheet name="Scheda Crediti" sheetId="22" r:id="rId6"/>
    <sheet name="Scheda Inv" sheetId="19" r:id="rId7"/>
    <sheet name="Calcoli" sheetId="21" r:id="rId8"/>
    <sheet name="SP Previsionale" sheetId="18" r:id="rId9"/>
    <sheet name="CE Previsionale" sheetId="17" r:id="rId10"/>
    <sheet name="sp fin" sheetId="12" r:id="rId11"/>
    <sheet name="ce mcl" sheetId="9" r:id="rId12"/>
    <sheet name="ce va" sheetId="11" state="hidden" r:id="rId13"/>
    <sheet name="Valore Aziendale" sheetId="26" r:id="rId14"/>
  </sheets>
  <externalReferences>
    <externalReference r:id="rId15"/>
  </externalReferences>
  <definedNames>
    <definedName name="anno_Prec">[1]Configurazione!$M$1</definedName>
    <definedName name="anno_Rif">[1]Configurazione!$K$1</definedName>
    <definedName name="firstItemRow" localSheetId="2">CE!$C$2</definedName>
    <definedName name="nomeFoglio" localSheetId="2">CE!$F$2</definedName>
    <definedName name="prefix">CE!$B$2</definedName>
    <definedName name="_xlnm.Print_Area" localSheetId="2">CE!$A$3:$I$93</definedName>
    <definedName name="_xlnm.Print_Area" localSheetId="3">'Input Previsionale'!$B$8:$E$31</definedName>
    <definedName name="_xlnm.Print_Area" localSheetId="1">SP!$A$3:$J$238</definedName>
    <definedName name="_xlnm.Print_Area" localSheetId="10">'sp fin'!$B$13:$F$15</definedName>
    <definedName name="prospettiRng">[1]Impostazioni!$A$20:$J$52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1" i="26" l="1"/>
  <c r="D70" i="26"/>
  <c r="E70" i="26"/>
  <c r="G54" i="26" l="1"/>
  <c r="G35" i="26"/>
  <c r="E56" i="26"/>
  <c r="E49" i="26"/>
  <c r="E40" i="26"/>
  <c r="E37" i="26"/>
  <c r="E35" i="26"/>
  <c r="E26" i="26"/>
  <c r="E25" i="26" s="1"/>
  <c r="E20" i="26"/>
  <c r="E18" i="26"/>
  <c r="E13" i="26"/>
  <c r="E7" i="26"/>
  <c r="C2" i="26"/>
  <c r="E17" i="26" l="1"/>
  <c r="E33" i="26" s="1"/>
  <c r="C88" i="26" s="1"/>
  <c r="E63" i="26"/>
  <c r="I34" i="3" l="1"/>
  <c r="F15" i="12" l="1"/>
  <c r="E15" i="12"/>
  <c r="F14" i="12"/>
  <c r="E14" i="12"/>
  <c r="C18" i="21" l="1"/>
  <c r="C24" i="21" s="1"/>
  <c r="I14" i="3" l="1"/>
  <c r="I37" i="3"/>
  <c r="I30" i="3"/>
  <c r="I29" i="3"/>
  <c r="I23" i="3"/>
  <c r="I19" i="3"/>
  <c r="I18" i="3"/>
  <c r="I8" i="3"/>
  <c r="J230" i="2"/>
  <c r="J221" i="2"/>
  <c r="J197" i="2"/>
  <c r="J101" i="2" l="1"/>
  <c r="J102" i="2"/>
  <c r="J73" i="2"/>
  <c r="J26" i="2"/>
  <c r="J24" i="2"/>
  <c r="J25" i="2"/>
  <c r="C4" i="9" l="1"/>
  <c r="C10" i="9"/>
  <c r="F12" i="17" l="1"/>
  <c r="D1" i="17" l="1"/>
  <c r="E1" i="17"/>
  <c r="F1" i="17"/>
  <c r="G1" i="17"/>
  <c r="H1" i="17"/>
  <c r="C1" i="17"/>
  <c r="C10" i="17" l="1"/>
  <c r="C33" i="17"/>
  <c r="D33" i="17"/>
  <c r="E33" i="17"/>
  <c r="C5" i="9"/>
  <c r="C5" i="17" s="1"/>
  <c r="D5" i="9"/>
  <c r="D5" i="17" s="1"/>
  <c r="C11" i="9"/>
  <c r="D11" i="9"/>
  <c r="C17" i="9"/>
  <c r="C17" i="17" s="1"/>
  <c r="D17" i="9"/>
  <c r="D17" i="17" s="1"/>
  <c r="C18" i="9"/>
  <c r="D18" i="9"/>
  <c r="C23" i="9"/>
  <c r="C23" i="17" s="1"/>
  <c r="D23" i="9"/>
  <c r="D23" i="17" s="1"/>
  <c r="C24" i="9"/>
  <c r="C24" i="17" s="1"/>
  <c r="D24" i="9"/>
  <c r="D24" i="17" s="1"/>
  <c r="C25" i="9"/>
  <c r="C25" i="17" s="1"/>
  <c r="D25" i="9"/>
  <c r="D25" i="17" s="1"/>
  <c r="C26" i="9"/>
  <c r="C26" i="17" s="1"/>
  <c r="D26" i="9"/>
  <c r="D26" i="17" s="1"/>
  <c r="C27" i="9"/>
  <c r="C27" i="17" s="1"/>
  <c r="D27" i="9"/>
  <c r="D27" i="17" s="1"/>
  <c r="C28" i="9"/>
  <c r="C28" i="17" s="1"/>
  <c r="D28" i="9"/>
  <c r="D28" i="17" s="1"/>
  <c r="F15" i="18"/>
  <c r="G15" i="18"/>
  <c r="C15" i="26" s="1"/>
  <c r="G15" i="26" s="1"/>
  <c r="C14" i="12"/>
  <c r="C15" i="12"/>
  <c r="D15" i="18" s="1"/>
  <c r="C19" i="12"/>
  <c r="D19" i="18" s="1"/>
  <c r="D18" i="18" s="1"/>
  <c r="C21" i="12"/>
  <c r="C22" i="12"/>
  <c r="D22" i="18" s="1"/>
  <c r="C23" i="12"/>
  <c r="D23" i="18" s="1"/>
  <c r="C27" i="12"/>
  <c r="D27" i="18" s="1"/>
  <c r="C28" i="12"/>
  <c r="D28" i="18" s="1"/>
  <c r="C29" i="12"/>
  <c r="D29" i="18" s="1"/>
  <c r="C38" i="12"/>
  <c r="C37" i="12" s="1"/>
  <c r="C50" i="12"/>
  <c r="C51" i="12"/>
  <c r="D51" i="18" s="1"/>
  <c r="C57" i="12"/>
  <c r="D57" i="18" s="1"/>
  <c r="C58" i="12"/>
  <c r="D58" i="18" s="1"/>
  <c r="C60" i="12"/>
  <c r="D60" i="18" s="1"/>
  <c r="C61" i="12"/>
  <c r="D61" i="18" s="1"/>
  <c r="D14" i="12"/>
  <c r="D15" i="12"/>
  <c r="E15" i="18" s="1"/>
  <c r="D19" i="12"/>
  <c r="D18" i="12" s="1"/>
  <c r="D21" i="12"/>
  <c r="D22" i="12"/>
  <c r="E22" i="18" s="1"/>
  <c r="D23" i="12"/>
  <c r="E23" i="18" s="1"/>
  <c r="D27" i="12"/>
  <c r="E27" i="18" s="1"/>
  <c r="D28" i="12"/>
  <c r="E28" i="18" s="1"/>
  <c r="D29" i="12"/>
  <c r="E29" i="18" s="1"/>
  <c r="D38" i="12"/>
  <c r="D37" i="12" s="1"/>
  <c r="D50" i="12"/>
  <c r="E50" i="18" s="1"/>
  <c r="D51" i="12"/>
  <c r="E51" i="18" s="1"/>
  <c r="D57" i="12"/>
  <c r="E57" i="18" s="1"/>
  <c r="D58" i="12"/>
  <c r="E58" i="18" s="1"/>
  <c r="D60" i="12"/>
  <c r="E60" i="18" s="1"/>
  <c r="D61" i="12"/>
  <c r="E61" i="18" s="1"/>
  <c r="G15" i="3"/>
  <c r="H15" i="3"/>
  <c r="G16" i="3"/>
  <c r="H16" i="3"/>
  <c r="G27" i="3"/>
  <c r="H27" i="3"/>
  <c r="G33" i="3"/>
  <c r="G38" i="3" s="1"/>
  <c r="G39" i="3" s="1"/>
  <c r="H33" i="3"/>
  <c r="G45" i="3"/>
  <c r="H45" i="3"/>
  <c r="G52" i="3"/>
  <c r="H52" i="3"/>
  <c r="G60" i="3"/>
  <c r="H60" i="3"/>
  <c r="H61" i="3" s="1"/>
  <c r="G61" i="3"/>
  <c r="G67" i="3"/>
  <c r="H67" i="3"/>
  <c r="G76" i="3"/>
  <c r="H76" i="3"/>
  <c r="G82" i="3"/>
  <c r="H82" i="3"/>
  <c r="G83" i="3"/>
  <c r="C34" i="9" s="1"/>
  <c r="C34" i="17" s="1"/>
  <c r="G90" i="3"/>
  <c r="C42" i="9" s="1"/>
  <c r="C42" i="17" s="1"/>
  <c r="H90" i="3"/>
  <c r="D42" i="9" s="1"/>
  <c r="D42" i="17" s="1"/>
  <c r="G70" i="2"/>
  <c r="H70" i="2"/>
  <c r="C12" i="9" s="1"/>
  <c r="D10" i="9" s="1"/>
  <c r="G75" i="2"/>
  <c r="H75" i="2"/>
  <c r="D8" i="12" s="1"/>
  <c r="E8" i="18" s="1"/>
  <c r="G79" i="2"/>
  <c r="H79" i="2"/>
  <c r="G83" i="2"/>
  <c r="H83" i="2"/>
  <c r="G87" i="2"/>
  <c r="H87" i="2"/>
  <c r="G91" i="2"/>
  <c r="H91" i="2"/>
  <c r="G95" i="2"/>
  <c r="H95" i="2"/>
  <c r="G99" i="2"/>
  <c r="H99" i="2"/>
  <c r="G103" i="2"/>
  <c r="H103" i="2"/>
  <c r="G113" i="2"/>
  <c r="H113" i="2"/>
  <c r="G118" i="2"/>
  <c r="H118" i="2"/>
  <c r="D5" i="12" s="1"/>
  <c r="E5" i="18" s="1"/>
  <c r="G123" i="2"/>
  <c r="H123" i="2"/>
  <c r="D10" i="12" s="1"/>
  <c r="E10" i="18" s="1"/>
  <c r="G132" i="2"/>
  <c r="H132" i="2"/>
  <c r="G153" i="2"/>
  <c r="H153" i="2"/>
  <c r="H155" i="2" s="1"/>
  <c r="G161" i="2"/>
  <c r="H161" i="2"/>
  <c r="G169" i="2"/>
  <c r="C52" i="12" s="1"/>
  <c r="D52" i="18" s="1"/>
  <c r="H169" i="2"/>
  <c r="G175" i="2"/>
  <c r="H175" i="2"/>
  <c r="D54" i="12" s="1"/>
  <c r="E54" i="18" s="1"/>
  <c r="G179" i="2"/>
  <c r="H179" i="2"/>
  <c r="G183" i="2"/>
  <c r="C47" i="12" s="1"/>
  <c r="D47" i="18" s="1"/>
  <c r="H183" i="2"/>
  <c r="D47" i="12" s="1"/>
  <c r="E47" i="18" s="1"/>
  <c r="G187" i="2"/>
  <c r="H187" i="2"/>
  <c r="G191" i="2"/>
  <c r="H191" i="2"/>
  <c r="G195" i="2"/>
  <c r="H195" i="2"/>
  <c r="G199" i="2"/>
  <c r="C41" i="12" s="1"/>
  <c r="H199" i="2"/>
  <c r="D41" i="12" s="1"/>
  <c r="E41" i="18" s="1"/>
  <c r="G203" i="2"/>
  <c r="H203" i="2"/>
  <c r="G207" i="2"/>
  <c r="H207" i="2"/>
  <c r="G211" i="2"/>
  <c r="C53" i="12" s="1"/>
  <c r="D53" i="18" s="1"/>
  <c r="H211" i="2"/>
  <c r="G215" i="2"/>
  <c r="H215" i="2"/>
  <c r="G219" i="2"/>
  <c r="H219" i="2"/>
  <c r="G223" i="2"/>
  <c r="C43" i="12" s="1"/>
  <c r="D43" i="18" s="1"/>
  <c r="H223" i="2"/>
  <c r="G227" i="2"/>
  <c r="C42" i="12" s="1"/>
  <c r="D42" i="18" s="1"/>
  <c r="H227" i="2"/>
  <c r="D42" i="12" s="1"/>
  <c r="E42" i="18" s="1"/>
  <c r="G231" i="2"/>
  <c r="H231" i="2"/>
  <c r="G236" i="2"/>
  <c r="C45" i="12" s="1"/>
  <c r="D45" i="18" s="1"/>
  <c r="H236" i="2"/>
  <c r="D45" i="12" s="1"/>
  <c r="E45" i="18" s="1"/>
  <c r="D53" i="12" l="1"/>
  <c r="E53" i="18" s="1"/>
  <c r="G155" i="2"/>
  <c r="H83" i="3"/>
  <c r="D34" i="9" s="1"/>
  <c r="D34" i="17" s="1"/>
  <c r="C32" i="17"/>
  <c r="C11" i="17"/>
  <c r="C9" i="9"/>
  <c r="D9" i="12"/>
  <c r="E9" i="18" s="1"/>
  <c r="C12" i="17"/>
  <c r="D10" i="17" s="1"/>
  <c r="D16" i="9"/>
  <c r="D11" i="17"/>
  <c r="D13" i="12"/>
  <c r="D44" i="12"/>
  <c r="E44" i="18" s="1"/>
  <c r="E40" i="18" s="1"/>
  <c r="C16" i="9"/>
  <c r="D18" i="17"/>
  <c r="D16" i="17" s="1"/>
  <c r="G232" i="2"/>
  <c r="G237" i="2" s="1"/>
  <c r="C54" i="12"/>
  <c r="D54" i="18" s="1"/>
  <c r="D59" i="12"/>
  <c r="E59" i="18" s="1"/>
  <c r="C18" i="12"/>
  <c r="H69" i="3"/>
  <c r="G69" i="3"/>
  <c r="D38" i="9"/>
  <c r="C38" i="9"/>
  <c r="C38" i="17" s="1"/>
  <c r="C37" i="17" s="1"/>
  <c r="C32" i="9"/>
  <c r="H38" i="3"/>
  <c r="H39" i="3" s="1"/>
  <c r="D32" i="9"/>
  <c r="D22" i="9"/>
  <c r="D22" i="17"/>
  <c r="C22" i="9"/>
  <c r="C22" i="17"/>
  <c r="C18" i="17"/>
  <c r="C16" i="17" s="1"/>
  <c r="D6" i="9"/>
  <c r="D6" i="17" s="1"/>
  <c r="C6" i="9"/>
  <c r="C6" i="17" s="1"/>
  <c r="C44" i="12"/>
  <c r="D44" i="18" s="1"/>
  <c r="D43" i="12"/>
  <c r="E43" i="18" s="1"/>
  <c r="D41" i="18"/>
  <c r="E38" i="18"/>
  <c r="E37" i="18" s="1"/>
  <c r="D52" i="12"/>
  <c r="E52" i="18" s="1"/>
  <c r="G163" i="2"/>
  <c r="H163" i="2"/>
  <c r="C59" i="12"/>
  <c r="D59" i="18" s="1"/>
  <c r="C10" i="12"/>
  <c r="D10" i="18" s="1"/>
  <c r="C5" i="12"/>
  <c r="D5" i="18" s="1"/>
  <c r="D11" i="12"/>
  <c r="E11" i="18" s="1"/>
  <c r="C11" i="12"/>
  <c r="D11" i="18" s="1"/>
  <c r="H104" i="2"/>
  <c r="H119" i="2" s="1"/>
  <c r="C26" i="12"/>
  <c r="C25" i="12" s="1"/>
  <c r="D20" i="12"/>
  <c r="C20" i="12"/>
  <c r="E21" i="18"/>
  <c r="E20" i="18" s="1"/>
  <c r="D21" i="18"/>
  <c r="D20" i="18" s="1"/>
  <c r="D17" i="18" s="1"/>
  <c r="E19" i="18"/>
  <c r="E18" i="18" s="1"/>
  <c r="D40" i="12"/>
  <c r="C8" i="12"/>
  <c r="D8" i="18" s="1"/>
  <c r="D26" i="18"/>
  <c r="D25" i="18" s="1"/>
  <c r="C13" i="12"/>
  <c r="D14" i="18"/>
  <c r="D13" i="18" s="1"/>
  <c r="G104" i="2"/>
  <c r="G119" i="2" s="1"/>
  <c r="C49" i="12"/>
  <c r="C7" i="9"/>
  <c r="C3" i="9" s="1"/>
  <c r="C4" i="17"/>
  <c r="E14" i="18"/>
  <c r="E13" i="18" s="1"/>
  <c r="D50" i="18"/>
  <c r="H232" i="2"/>
  <c r="D38" i="18"/>
  <c r="G84" i="3"/>
  <c r="G91" i="3" s="1"/>
  <c r="C9" i="12"/>
  <c r="D9" i="18" s="1"/>
  <c r="D56" i="18"/>
  <c r="C56" i="12"/>
  <c r="E49" i="18"/>
  <c r="E26" i="18"/>
  <c r="E25" i="18" s="1"/>
  <c r="E7" i="18"/>
  <c r="E56" i="18"/>
  <c r="D26" i="12"/>
  <c r="D25" i="12" s="1"/>
  <c r="D7" i="12"/>
  <c r="D56" i="12"/>
  <c r="D17" i="12"/>
  <c r="D101" i="21"/>
  <c r="E101" i="21"/>
  <c r="C101" i="21"/>
  <c r="E17" i="18" l="1"/>
  <c r="C9" i="17"/>
  <c r="H84" i="3"/>
  <c r="H91" i="3" s="1"/>
  <c r="C40" i="12"/>
  <c r="H237" i="2"/>
  <c r="D40" i="18"/>
  <c r="D32" i="17"/>
  <c r="C14" i="9"/>
  <c r="C20" i="9" s="1"/>
  <c r="C30" i="9" s="1"/>
  <c r="G93" i="3"/>
  <c r="C37" i="9"/>
  <c r="C17" i="12"/>
  <c r="D38" i="17"/>
  <c r="D37" i="17" s="1"/>
  <c r="D37" i="9"/>
  <c r="D49" i="12"/>
  <c r="D63" i="12" s="1"/>
  <c r="C7" i="12"/>
  <c r="D7" i="18"/>
  <c r="E63" i="18"/>
  <c r="D49" i="18"/>
  <c r="D37" i="18"/>
  <c r="D63" i="18" s="1"/>
  <c r="C63" i="12"/>
  <c r="D4" i="9"/>
  <c r="C7" i="17"/>
  <c r="C3" i="17" s="1"/>
  <c r="H93" i="3" l="1"/>
  <c r="C40" i="9"/>
  <c r="C44" i="9" s="1"/>
  <c r="C46" i="9" s="1"/>
  <c r="C14" i="17"/>
  <c r="D7" i="9"/>
  <c r="D4" i="17"/>
  <c r="E4" i="9" l="1"/>
  <c r="D7" i="17"/>
  <c r="D3" i="17" s="1"/>
  <c r="D3" i="9"/>
  <c r="C15" i="17"/>
  <c r="C20" i="17"/>
  <c r="C30" i="17" s="1"/>
  <c r="G7" i="17"/>
  <c r="H7" i="17"/>
  <c r="F7" i="17"/>
  <c r="G12" i="17"/>
  <c r="H12" i="17"/>
  <c r="C40" i="17" l="1"/>
  <c r="C44" i="17" s="1"/>
  <c r="E7" i="9"/>
  <c r="E7" i="17" s="1"/>
  <c r="F4" i="17" s="1"/>
  <c r="E4" i="17"/>
  <c r="D94" i="21" l="1"/>
  <c r="E94" i="21"/>
  <c r="C94" i="21"/>
  <c r="D104" i="21"/>
  <c r="E104" i="21"/>
  <c r="C104" i="21"/>
  <c r="F38" i="17"/>
  <c r="D95" i="21"/>
  <c r="E95" i="21"/>
  <c r="C95" i="21"/>
  <c r="D105" i="21"/>
  <c r="E105" i="21"/>
  <c r="E8" i="14" l="1"/>
  <c r="E34" i="14" s="1"/>
  <c r="I4" i="2"/>
  <c r="I41" i="2" s="1"/>
  <c r="J4" i="2"/>
  <c r="I118" i="2"/>
  <c r="E5" i="12" s="1"/>
  <c r="F5" i="18" s="1"/>
  <c r="J118" i="2"/>
  <c r="F5" i="12" s="1"/>
  <c r="G5" i="18" s="1"/>
  <c r="C5" i="26" s="1"/>
  <c r="G5" i="26" s="1"/>
  <c r="I75" i="2"/>
  <c r="I95" i="2"/>
  <c r="I99" i="2"/>
  <c r="I123" i="2"/>
  <c r="I79" i="2"/>
  <c r="I83" i="2"/>
  <c r="I87" i="2"/>
  <c r="I91" i="2"/>
  <c r="I103" i="2"/>
  <c r="I113" i="2"/>
  <c r="J75" i="2"/>
  <c r="F8" i="12" s="1"/>
  <c r="G8" i="18" s="1"/>
  <c r="C8" i="26" s="1"/>
  <c r="J95" i="2"/>
  <c r="J99" i="2"/>
  <c r="J123" i="2"/>
  <c r="J79" i="2"/>
  <c r="J83" i="2"/>
  <c r="J87" i="2"/>
  <c r="J91" i="2"/>
  <c r="J103" i="2"/>
  <c r="J113" i="2"/>
  <c r="F14" i="18"/>
  <c r="F13" i="18" s="1"/>
  <c r="G14" i="18"/>
  <c r="C14" i="26" s="1"/>
  <c r="E19" i="12"/>
  <c r="E21" i="12"/>
  <c r="E22" i="12"/>
  <c r="F22" i="18" s="1"/>
  <c r="E23" i="12"/>
  <c r="F23" i="18" s="1"/>
  <c r="F19" i="12"/>
  <c r="F21" i="12"/>
  <c r="G21" i="18" s="1"/>
  <c r="C21" i="26" s="1"/>
  <c r="F22" i="12"/>
  <c r="G22" i="18" s="1"/>
  <c r="C22" i="26" s="1"/>
  <c r="G22" i="26" s="1"/>
  <c r="F23" i="12"/>
  <c r="G23" i="18" s="1"/>
  <c r="C23" i="26" s="1"/>
  <c r="G23" i="26" s="1"/>
  <c r="E27" i="12"/>
  <c r="F27" i="18" s="1"/>
  <c r="E28" i="12"/>
  <c r="F28" i="18" s="1"/>
  <c r="E29" i="12"/>
  <c r="F29" i="18" s="1"/>
  <c r="F27" i="12"/>
  <c r="G27" i="18" s="1"/>
  <c r="C27" i="26" s="1"/>
  <c r="F28" i="12"/>
  <c r="G28" i="18" s="1"/>
  <c r="C28" i="26" s="1"/>
  <c r="G28" i="26" s="1"/>
  <c r="F29" i="12"/>
  <c r="G29" i="18" s="1"/>
  <c r="C29" i="26" s="1"/>
  <c r="G29" i="26" s="1"/>
  <c r="I53" i="2"/>
  <c r="E38" i="12"/>
  <c r="F38" i="12"/>
  <c r="G38" i="18" s="1"/>
  <c r="F37" i="12"/>
  <c r="I199" i="2"/>
  <c r="I227" i="2"/>
  <c r="E42" i="12" s="1"/>
  <c r="F42" i="18" s="1"/>
  <c r="I223" i="2"/>
  <c r="I191" i="2"/>
  <c r="I195" i="2"/>
  <c r="I203" i="2"/>
  <c r="I215" i="2"/>
  <c r="I219" i="2"/>
  <c r="I231" i="2"/>
  <c r="I236" i="2"/>
  <c r="E45" i="12" s="1"/>
  <c r="F45" i="18" s="1"/>
  <c r="J199" i="2"/>
  <c r="F41" i="12" s="1"/>
  <c r="G41" i="18" s="1"/>
  <c r="J227" i="2"/>
  <c r="F42" i="12" s="1"/>
  <c r="G42" i="18" s="1"/>
  <c r="C42" i="26" s="1"/>
  <c r="G42" i="26" s="1"/>
  <c r="J223" i="2"/>
  <c r="F43" i="12" s="1"/>
  <c r="G43" i="18" s="1"/>
  <c r="C43" i="26" s="1"/>
  <c r="G43" i="26" s="1"/>
  <c r="J191" i="2"/>
  <c r="J195" i="2"/>
  <c r="J203" i="2"/>
  <c r="J215" i="2"/>
  <c r="J219" i="2"/>
  <c r="J231" i="2"/>
  <c r="J236" i="2"/>
  <c r="F45" i="12" s="1"/>
  <c r="G45" i="18" s="1"/>
  <c r="I183" i="2"/>
  <c r="E47" i="12" s="1"/>
  <c r="F47" i="18" s="1"/>
  <c r="J183" i="2"/>
  <c r="F47" i="12" s="1"/>
  <c r="G47" i="18" s="1"/>
  <c r="C47" i="26" s="1"/>
  <c r="G47" i="26" s="1"/>
  <c r="E50" i="12"/>
  <c r="F50" i="18" s="1"/>
  <c r="E51" i="12"/>
  <c r="F51" i="18" s="1"/>
  <c r="I169" i="2"/>
  <c r="I211" i="2"/>
  <c r="I207" i="2"/>
  <c r="I175" i="2"/>
  <c r="I179" i="2"/>
  <c r="F50" i="12"/>
  <c r="G50" i="18" s="1"/>
  <c r="F51" i="12"/>
  <c r="G51" i="18" s="1"/>
  <c r="J169" i="2"/>
  <c r="F52" i="12" s="1"/>
  <c r="G52" i="18" s="1"/>
  <c r="C52" i="26" s="1"/>
  <c r="G52" i="26" s="1"/>
  <c r="J211" i="2"/>
  <c r="J207" i="2"/>
  <c r="J175" i="2"/>
  <c r="J179" i="2"/>
  <c r="F54" i="12" s="1"/>
  <c r="G54" i="18" s="1"/>
  <c r="E57" i="12"/>
  <c r="F57" i="18" s="1"/>
  <c r="E58" i="12"/>
  <c r="F58" i="18" s="1"/>
  <c r="I132" i="2"/>
  <c r="I153" i="2"/>
  <c r="E60" i="12"/>
  <c r="F60" i="18" s="1"/>
  <c r="E61" i="12"/>
  <c r="F57" i="12"/>
  <c r="G57" i="18" s="1"/>
  <c r="F58" i="12"/>
  <c r="G58" i="18" s="1"/>
  <c r="J132" i="2"/>
  <c r="J153" i="2"/>
  <c r="F60" i="12"/>
  <c r="G60" i="18" s="1"/>
  <c r="F61" i="12"/>
  <c r="G61" i="18" s="1"/>
  <c r="C61" i="26" s="1"/>
  <c r="G61" i="26" s="1"/>
  <c r="A6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D62" i="19"/>
  <c r="D192" i="19" s="1"/>
  <c r="E75" i="19"/>
  <c r="F75" i="19" s="1"/>
  <c r="F88" i="19"/>
  <c r="D18" i="21"/>
  <c r="D61" i="19"/>
  <c r="E61" i="19" s="1"/>
  <c r="E74" i="19"/>
  <c r="F74" i="19" s="1"/>
  <c r="F87" i="19"/>
  <c r="D60" i="19"/>
  <c r="E60" i="19" s="1"/>
  <c r="E73" i="19"/>
  <c r="F86" i="19"/>
  <c r="D54" i="19"/>
  <c r="D184" i="19" s="1"/>
  <c r="E67" i="19"/>
  <c r="F67" i="19" s="1"/>
  <c r="F80" i="19"/>
  <c r="D55" i="19"/>
  <c r="D185" i="19" s="1"/>
  <c r="E68" i="19"/>
  <c r="F68" i="19" s="1"/>
  <c r="F81" i="19"/>
  <c r="D56" i="19"/>
  <c r="D186" i="19" s="1"/>
  <c r="E69" i="19"/>
  <c r="F82" i="19"/>
  <c r="D53" i="19"/>
  <c r="E53" i="19" s="1"/>
  <c r="E66" i="19"/>
  <c r="F79" i="19"/>
  <c r="I4" i="3"/>
  <c r="H4" i="3" s="1"/>
  <c r="E5" i="9"/>
  <c r="E5" i="17" s="1"/>
  <c r="I15" i="3"/>
  <c r="E6" i="9" s="1"/>
  <c r="E6" i="17" s="1"/>
  <c r="E11" i="9"/>
  <c r="E17" i="9"/>
  <c r="E17" i="17" s="1"/>
  <c r="F17" i="17" s="1"/>
  <c r="E18" i="9"/>
  <c r="E18" i="17" s="1"/>
  <c r="F18" i="17" s="1"/>
  <c r="E23" i="9"/>
  <c r="E23" i="17" s="1"/>
  <c r="E24" i="9"/>
  <c r="E24" i="17" s="1"/>
  <c r="E25" i="9"/>
  <c r="E25" i="17" s="1"/>
  <c r="F25" i="17" s="1"/>
  <c r="E26" i="9"/>
  <c r="E26" i="17" s="1"/>
  <c r="F26" i="17" s="1"/>
  <c r="E27" i="9"/>
  <c r="E27" i="17" s="1"/>
  <c r="F27" i="17" s="1"/>
  <c r="E28" i="9"/>
  <c r="E28" i="17" s="1"/>
  <c r="I76" i="3"/>
  <c r="I82" i="3"/>
  <c r="I45" i="3"/>
  <c r="I60" i="3"/>
  <c r="I52" i="3"/>
  <c r="I67" i="3"/>
  <c r="I90" i="3"/>
  <c r="E42" i="9" s="1"/>
  <c r="E42" i="17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E39" i="19"/>
  <c r="E40" i="19"/>
  <c r="E41" i="19"/>
  <c r="E42" i="19"/>
  <c r="E46" i="19"/>
  <c r="E47" i="19"/>
  <c r="E48" i="19"/>
  <c r="F39" i="19"/>
  <c r="F40" i="19"/>
  <c r="F41" i="19"/>
  <c r="F42" i="19"/>
  <c r="F46" i="19"/>
  <c r="F47" i="19"/>
  <c r="F48" i="19"/>
  <c r="D39" i="19"/>
  <c r="D40" i="19"/>
  <c r="D41" i="19"/>
  <c r="D42" i="19"/>
  <c r="D46" i="19"/>
  <c r="D47" i="19"/>
  <c r="D48" i="19"/>
  <c r="B31" i="19"/>
  <c r="B47" i="19" s="1"/>
  <c r="B26" i="19"/>
  <c r="B42" i="19" s="1"/>
  <c r="C32" i="21"/>
  <c r="B31" i="21"/>
  <c r="B32" i="19"/>
  <c r="B62" i="19" s="1"/>
  <c r="B75" i="19" s="1"/>
  <c r="B88" i="19" s="1"/>
  <c r="B101" i="19" s="1"/>
  <c r="B114" i="19" s="1"/>
  <c r="B127" i="19" s="1"/>
  <c r="B140" i="19" s="1"/>
  <c r="B153" i="19" s="1"/>
  <c r="B166" i="19" s="1"/>
  <c r="B179" i="19" s="1"/>
  <c r="B192" i="19" s="1"/>
  <c r="B30" i="19"/>
  <c r="B60" i="19" s="1"/>
  <c r="B73" i="19" s="1"/>
  <c r="B86" i="19" s="1"/>
  <c r="B99" i="19" s="1"/>
  <c r="B112" i="19" s="1"/>
  <c r="B125" i="19" s="1"/>
  <c r="B138" i="19" s="1"/>
  <c r="B151" i="19" s="1"/>
  <c r="B164" i="19" s="1"/>
  <c r="B177" i="19" s="1"/>
  <c r="B190" i="19" s="1"/>
  <c r="C29" i="19"/>
  <c r="B29" i="19"/>
  <c r="B24" i="19"/>
  <c r="B40" i="19" s="1"/>
  <c r="B25" i="19"/>
  <c r="B41" i="19" s="1"/>
  <c r="B56" i="19"/>
  <c r="B69" i="19" s="1"/>
  <c r="B82" i="19" s="1"/>
  <c r="B95" i="19" s="1"/>
  <c r="B108" i="19" s="1"/>
  <c r="B121" i="19" s="1"/>
  <c r="B134" i="19" s="1"/>
  <c r="B147" i="19" s="1"/>
  <c r="B160" i="19" s="1"/>
  <c r="B173" i="19" s="1"/>
  <c r="B186" i="19" s="1"/>
  <c r="B23" i="19"/>
  <c r="B53" i="19" s="1"/>
  <c r="B66" i="19" s="1"/>
  <c r="B79" i="19" s="1"/>
  <c r="B92" i="19" s="1"/>
  <c r="B105" i="19" s="1"/>
  <c r="B118" i="19" s="1"/>
  <c r="B131" i="19" s="1"/>
  <c r="B144" i="19" s="1"/>
  <c r="B157" i="19" s="1"/>
  <c r="B170" i="19" s="1"/>
  <c r="B183" i="19" s="1"/>
  <c r="B22" i="19"/>
  <c r="F32" i="17"/>
  <c r="G32" i="17"/>
  <c r="G38" i="17"/>
  <c r="D136" i="21" s="1"/>
  <c r="H32" i="17"/>
  <c r="H38" i="17"/>
  <c r="E136" i="21" s="1"/>
  <c r="B25" i="21"/>
  <c r="B24" i="21"/>
  <c r="B23" i="21"/>
  <c r="B5" i="21"/>
  <c r="B12" i="21" s="1"/>
  <c r="B6" i="21"/>
  <c r="B13" i="21" s="1"/>
  <c r="B7" i="21"/>
  <c r="B14" i="21" s="1"/>
  <c r="B4" i="21"/>
  <c r="B11" i="21" s="1"/>
  <c r="C3" i="11"/>
  <c r="D3" i="11"/>
  <c r="D8" i="11" s="1"/>
  <c r="E3" i="11"/>
  <c r="E8" i="11" s="1"/>
  <c r="F3" i="11"/>
  <c r="G3" i="11"/>
  <c r="G8" i="11" s="1"/>
  <c r="G4" i="11"/>
  <c r="G5" i="11"/>
  <c r="G6" i="11"/>
  <c r="G7" i="11"/>
  <c r="H3" i="11"/>
  <c r="H8" i="11" s="1"/>
  <c r="I3" i="11"/>
  <c r="I8" i="11" s="1"/>
  <c r="J3" i="11"/>
  <c r="J8" i="11" s="1"/>
  <c r="K3" i="11"/>
  <c r="K4" i="11"/>
  <c r="K5" i="11"/>
  <c r="K6" i="11"/>
  <c r="K7" i="11"/>
  <c r="K8" i="11"/>
  <c r="B3" i="11"/>
  <c r="C4" i="11"/>
  <c r="D4" i="11"/>
  <c r="E4" i="11"/>
  <c r="F4" i="11"/>
  <c r="H4" i="11"/>
  <c r="I4" i="11"/>
  <c r="J4" i="11"/>
  <c r="C5" i="11"/>
  <c r="D5" i="11"/>
  <c r="D6" i="11"/>
  <c r="D7" i="11"/>
  <c r="D10" i="11"/>
  <c r="D9" i="11" s="1"/>
  <c r="D11" i="11"/>
  <c r="D12" i="11"/>
  <c r="D13" i="11"/>
  <c r="D14" i="11"/>
  <c r="E5" i="11"/>
  <c r="F5" i="11"/>
  <c r="H5" i="11"/>
  <c r="I5" i="11"/>
  <c r="J5" i="11"/>
  <c r="C6" i="11"/>
  <c r="E6" i="11"/>
  <c r="F6" i="11"/>
  <c r="G10" i="11"/>
  <c r="G9" i="11" s="1"/>
  <c r="G11" i="11"/>
  <c r="G12" i="11"/>
  <c r="G13" i="11"/>
  <c r="G14" i="11"/>
  <c r="H6" i="11"/>
  <c r="I6" i="11"/>
  <c r="J6" i="11"/>
  <c r="C10" i="11"/>
  <c r="E10" i="11"/>
  <c r="E9" i="11" s="1"/>
  <c r="F10" i="11"/>
  <c r="F9" i="11" s="1"/>
  <c r="H10" i="11"/>
  <c r="H9" i="11" s="1"/>
  <c r="I10" i="11"/>
  <c r="I9" i="11" s="1"/>
  <c r="J10" i="11"/>
  <c r="J11" i="11"/>
  <c r="J12" i="11"/>
  <c r="J13" i="11"/>
  <c r="J14" i="11"/>
  <c r="K10" i="11"/>
  <c r="K9" i="11" s="1"/>
  <c r="K15" i="11" s="1"/>
  <c r="C11" i="11"/>
  <c r="E11" i="11"/>
  <c r="E12" i="11"/>
  <c r="E13" i="11"/>
  <c r="E14" i="11"/>
  <c r="E7" i="11"/>
  <c r="E16" i="11"/>
  <c r="E18" i="11"/>
  <c r="E20" i="11"/>
  <c r="E22" i="11"/>
  <c r="E26" i="11"/>
  <c r="F11" i="11"/>
  <c r="H11" i="11"/>
  <c r="I11" i="11"/>
  <c r="K11" i="11"/>
  <c r="C12" i="11"/>
  <c r="C13" i="11"/>
  <c r="C14" i="11"/>
  <c r="F12" i="11"/>
  <c r="H12" i="11"/>
  <c r="I12" i="11"/>
  <c r="I13" i="11"/>
  <c r="I14" i="11"/>
  <c r="K12" i="11"/>
  <c r="F13" i="11"/>
  <c r="H13" i="11"/>
  <c r="H14" i="11"/>
  <c r="K13" i="11"/>
  <c r="F14" i="11"/>
  <c r="K14" i="11"/>
  <c r="B14" i="11"/>
  <c r="B13" i="11"/>
  <c r="B11" i="11"/>
  <c r="B12" i="11"/>
  <c r="B10" i="11"/>
  <c r="B6" i="11"/>
  <c r="B5" i="11"/>
  <c r="B4" i="11"/>
  <c r="F7" i="11"/>
  <c r="I7" i="11"/>
  <c r="I16" i="3"/>
  <c r="J70" i="2"/>
  <c r="I70" i="2"/>
  <c r="D12" i="9" s="1"/>
  <c r="F26" i="11"/>
  <c r="G26" i="11"/>
  <c r="D26" i="11"/>
  <c r="C18" i="11"/>
  <c r="C16" i="11"/>
  <c r="I33" i="3"/>
  <c r="I27" i="3"/>
  <c r="B16" i="11" s="1"/>
  <c r="F2" i="3"/>
  <c r="E2" i="3"/>
  <c r="J187" i="2"/>
  <c r="J161" i="2"/>
  <c r="I187" i="2"/>
  <c r="I161" i="2"/>
  <c r="I20" i="11"/>
  <c r="D18" i="11"/>
  <c r="I18" i="11"/>
  <c r="H18" i="11"/>
  <c r="I16" i="11"/>
  <c r="H16" i="11"/>
  <c r="D16" i="11"/>
  <c r="F16" i="11"/>
  <c r="I22" i="11"/>
  <c r="B26" i="11"/>
  <c r="K20" i="11"/>
  <c r="K18" i="11"/>
  <c r="K22" i="11"/>
  <c r="J26" i="11"/>
  <c r="H7" i="11"/>
  <c r="I26" i="11"/>
  <c r="F22" i="11"/>
  <c r="H26" i="11"/>
  <c r="H22" i="11"/>
  <c r="J20" i="11"/>
  <c r="D20" i="11"/>
  <c r="C7" i="11"/>
  <c r="C20" i="11"/>
  <c r="J7" i="11"/>
  <c r="G37" i="17"/>
  <c r="G16" i="11"/>
  <c r="J16" i="11"/>
  <c r="K16" i="11"/>
  <c r="C26" i="11"/>
  <c r="G22" i="11"/>
  <c r="J18" i="11"/>
  <c r="C22" i="11"/>
  <c r="J9" i="11"/>
  <c r="G20" i="11"/>
  <c r="F18" i="11"/>
  <c r="J22" i="11"/>
  <c r="K26" i="11"/>
  <c r="G18" i="11"/>
  <c r="H20" i="11"/>
  <c r="F20" i="11"/>
  <c r="D22" i="11"/>
  <c r="I2" i="3"/>
  <c r="C2" i="3"/>
  <c r="B33" i="21" l="1"/>
  <c r="B39" i="19"/>
  <c r="B55" i="19"/>
  <c r="B68" i="19" s="1"/>
  <c r="B81" i="19" s="1"/>
  <c r="B94" i="19" s="1"/>
  <c r="B107" i="19" s="1"/>
  <c r="B120" i="19" s="1"/>
  <c r="B133" i="19" s="1"/>
  <c r="B146" i="19" s="1"/>
  <c r="B159" i="19" s="1"/>
  <c r="B172" i="19" s="1"/>
  <c r="B185" i="19" s="1"/>
  <c r="E62" i="19"/>
  <c r="E192" i="19" s="1"/>
  <c r="F26" i="18"/>
  <c r="F25" i="18" s="1"/>
  <c r="C50" i="26"/>
  <c r="C41" i="26"/>
  <c r="C38" i="26"/>
  <c r="C20" i="26"/>
  <c r="G21" i="26"/>
  <c r="G20" i="26" s="1"/>
  <c r="C45" i="26"/>
  <c r="G45" i="26" s="1"/>
  <c r="B7" i="11"/>
  <c r="C58" i="26"/>
  <c r="G58" i="26" s="1"/>
  <c r="G8" i="26"/>
  <c r="E10" i="9"/>
  <c r="E12" i="9" s="1"/>
  <c r="D12" i="17"/>
  <c r="D9" i="9"/>
  <c r="D14" i="9" s="1"/>
  <c r="D20" i="9" s="1"/>
  <c r="D30" i="9" s="1"/>
  <c r="D40" i="9" s="1"/>
  <c r="D44" i="9" s="1"/>
  <c r="C51" i="26"/>
  <c r="G51" i="26" s="1"/>
  <c r="B18" i="11"/>
  <c r="I38" i="3"/>
  <c r="E11" i="17"/>
  <c r="F69" i="19"/>
  <c r="C60" i="26"/>
  <c r="G60" i="26" s="1"/>
  <c r="C57" i="26"/>
  <c r="I36" i="2"/>
  <c r="G27" i="26"/>
  <c r="G26" i="26" s="1"/>
  <c r="G25" i="26" s="1"/>
  <c r="C26" i="26"/>
  <c r="C25" i="26" s="1"/>
  <c r="G14" i="26"/>
  <c r="G13" i="26" s="1"/>
  <c r="C13" i="26"/>
  <c r="I5" i="2"/>
  <c r="I15" i="11"/>
  <c r="I17" i="11" s="1"/>
  <c r="E53" i="12"/>
  <c r="F53" i="18" s="1"/>
  <c r="I57" i="2"/>
  <c r="I21" i="2"/>
  <c r="F61" i="18"/>
  <c r="D46" i="9"/>
  <c r="B48" i="19"/>
  <c r="I45" i="2"/>
  <c r="I28" i="2"/>
  <c r="B54" i="19"/>
  <c r="B67" i="19" s="1"/>
  <c r="B80" i="19" s="1"/>
  <c r="B93" i="19" s="1"/>
  <c r="B106" i="19" s="1"/>
  <c r="B119" i="19" s="1"/>
  <c r="B132" i="19" s="1"/>
  <c r="B145" i="19" s="1"/>
  <c r="B158" i="19" s="1"/>
  <c r="B171" i="19" s="1"/>
  <c r="B184" i="19" s="1"/>
  <c r="I11" i="2"/>
  <c r="I49" i="2"/>
  <c r="F10" i="12"/>
  <c r="G10" i="18" s="1"/>
  <c r="C10" i="26" s="1"/>
  <c r="G10" i="26" s="1"/>
  <c r="L123" i="2"/>
  <c r="F28" i="17"/>
  <c r="H51" i="18" s="1"/>
  <c r="F5" i="17"/>
  <c r="E43" i="12"/>
  <c r="F43" i="18" s="1"/>
  <c r="E41" i="12"/>
  <c r="F41" i="18" s="1"/>
  <c r="E52" i="12"/>
  <c r="F52" i="18" s="1"/>
  <c r="E10" i="12"/>
  <c r="F10" i="18" s="1"/>
  <c r="E8" i="12"/>
  <c r="F8" i="18" s="1"/>
  <c r="F18" i="12"/>
  <c r="G19" i="18"/>
  <c r="C19" i="26" s="1"/>
  <c r="E20" i="12"/>
  <c r="E17" i="12" s="1"/>
  <c r="F21" i="18"/>
  <c r="F20" i="18" s="1"/>
  <c r="E18" i="12"/>
  <c r="F19" i="18"/>
  <c r="F18" i="18" s="1"/>
  <c r="J11" i="2"/>
  <c r="J49" i="2"/>
  <c r="E13" i="12"/>
  <c r="J41" i="2"/>
  <c r="D2" i="9"/>
  <c r="G4" i="3"/>
  <c r="C2" i="9" s="1"/>
  <c r="E2" i="12"/>
  <c r="H4" i="2"/>
  <c r="G3" i="18"/>
  <c r="G35" i="18" s="1"/>
  <c r="E13" i="14"/>
  <c r="E23" i="14"/>
  <c r="E28" i="14"/>
  <c r="E37" i="12"/>
  <c r="F38" i="18"/>
  <c r="I19" i="11"/>
  <c r="I21" i="11" s="1"/>
  <c r="I23" i="11" s="1"/>
  <c r="I25" i="11" s="1"/>
  <c r="I27" i="11" s="1"/>
  <c r="K17" i="11"/>
  <c r="K19" i="11" s="1"/>
  <c r="K21" i="11" s="1"/>
  <c r="K23" i="11" s="1"/>
  <c r="K25" i="11" s="1"/>
  <c r="K27" i="11" s="1"/>
  <c r="G15" i="11"/>
  <c r="G17" i="11" s="1"/>
  <c r="G19" i="11" s="1"/>
  <c r="G21" i="11" s="1"/>
  <c r="G23" i="11" s="1"/>
  <c r="G25" i="11" s="1"/>
  <c r="G27" i="11" s="1"/>
  <c r="J15" i="11"/>
  <c r="J17" i="11" s="1"/>
  <c r="J19" i="11" s="1"/>
  <c r="J21" i="11" s="1"/>
  <c r="J23" i="11" s="1"/>
  <c r="J25" i="11" s="1"/>
  <c r="J27" i="11" s="1"/>
  <c r="B32" i="21"/>
  <c r="E103" i="21"/>
  <c r="D103" i="21"/>
  <c r="F62" i="19"/>
  <c r="E55" i="19"/>
  <c r="E54" i="19"/>
  <c r="B46" i="19"/>
  <c r="B61" i="19"/>
  <c r="B74" i="19" s="1"/>
  <c r="B87" i="19" s="1"/>
  <c r="B100" i="19" s="1"/>
  <c r="B113" i="19" s="1"/>
  <c r="B126" i="19" s="1"/>
  <c r="B139" i="19" s="1"/>
  <c r="B152" i="19" s="1"/>
  <c r="B165" i="19" s="1"/>
  <c r="B178" i="19" s="1"/>
  <c r="B191" i="19" s="1"/>
  <c r="I83" i="3"/>
  <c r="F53" i="12"/>
  <c r="E54" i="12"/>
  <c r="F54" i="18" s="1"/>
  <c r="I155" i="2"/>
  <c r="E9" i="12"/>
  <c r="F9" i="18" s="1"/>
  <c r="F11" i="12"/>
  <c r="G11" i="18" s="1"/>
  <c r="C11" i="26" s="1"/>
  <c r="G11" i="26" s="1"/>
  <c r="H37" i="17"/>
  <c r="E22" i="9"/>
  <c r="E26" i="12"/>
  <c r="E25" i="12" s="1"/>
  <c r="F26" i="12"/>
  <c r="F25" i="12" s="1"/>
  <c r="F13" i="12"/>
  <c r="E34" i="9"/>
  <c r="B8" i="11"/>
  <c r="H15" i="11"/>
  <c r="H17" i="11" s="1"/>
  <c r="H19" i="11" s="1"/>
  <c r="H21" i="11" s="1"/>
  <c r="H23" i="11" s="1"/>
  <c r="H25" i="11" s="1"/>
  <c r="H27" i="11" s="1"/>
  <c r="E15" i="11"/>
  <c r="E17" i="11" s="1"/>
  <c r="E19" i="11" s="1"/>
  <c r="E21" i="11" s="1"/>
  <c r="E23" i="11" s="1"/>
  <c r="E25" i="11" s="1"/>
  <c r="E27" i="11" s="1"/>
  <c r="F59" i="12"/>
  <c r="E44" i="12"/>
  <c r="I104" i="2"/>
  <c r="I119" i="2" s="1"/>
  <c r="E59" i="12"/>
  <c r="F20" i="12"/>
  <c r="F17" i="12" s="1"/>
  <c r="E11" i="12"/>
  <c r="F11" i="18" s="1"/>
  <c r="D15" i="11"/>
  <c r="D17" i="11" s="1"/>
  <c r="D19" i="11" s="1"/>
  <c r="D21" i="11" s="1"/>
  <c r="D23" i="11" s="1"/>
  <c r="D25" i="11" s="1"/>
  <c r="D27" i="11" s="1"/>
  <c r="I39" i="3"/>
  <c r="C9" i="11"/>
  <c r="B20" i="11"/>
  <c r="C8" i="11"/>
  <c r="I61" i="3"/>
  <c r="I69" i="3" s="1"/>
  <c r="B22" i="11" s="1"/>
  <c r="E2" i="9"/>
  <c r="D183" i="19"/>
  <c r="D187" i="19" s="1"/>
  <c r="B34" i="21"/>
  <c r="B35" i="21"/>
  <c r="F37" i="17"/>
  <c r="C136" i="21"/>
  <c r="F8" i="14"/>
  <c r="F34" i="14" s="1"/>
  <c r="D2" i="11"/>
  <c r="C2" i="11"/>
  <c r="B2" i="11"/>
  <c r="I58" i="2"/>
  <c r="I61" i="2" s="1"/>
  <c r="E2" i="17"/>
  <c r="D190" i="19"/>
  <c r="C103" i="21"/>
  <c r="D24" i="21"/>
  <c r="E18" i="21" s="1"/>
  <c r="E190" i="19"/>
  <c r="F60" i="19"/>
  <c r="F73" i="19"/>
  <c r="F61" i="19"/>
  <c r="D191" i="19"/>
  <c r="H28" i="18" s="1"/>
  <c r="F192" i="19"/>
  <c r="E191" i="19"/>
  <c r="E183" i="19"/>
  <c r="F53" i="19"/>
  <c r="F66" i="19"/>
  <c r="F54" i="19"/>
  <c r="E56" i="19"/>
  <c r="F56" i="19" s="1"/>
  <c r="E184" i="19"/>
  <c r="F2" i="12"/>
  <c r="J53" i="2"/>
  <c r="J57" i="2"/>
  <c r="J21" i="2"/>
  <c r="J5" i="2"/>
  <c r="J28" i="2"/>
  <c r="J45" i="2"/>
  <c r="J36" i="2"/>
  <c r="H3" i="18"/>
  <c r="E16" i="9"/>
  <c r="B9" i="11"/>
  <c r="E3" i="9"/>
  <c r="F8" i="11"/>
  <c r="F15" i="11" s="1"/>
  <c r="F17" i="11" s="1"/>
  <c r="F19" i="11" s="1"/>
  <c r="F21" i="11" s="1"/>
  <c r="F23" i="11" s="1"/>
  <c r="F25" i="11" s="1"/>
  <c r="F27" i="11" s="1"/>
  <c r="F44" i="12"/>
  <c r="I232" i="2"/>
  <c r="J232" i="2"/>
  <c r="J155" i="2"/>
  <c r="L128" i="2" s="1"/>
  <c r="F9" i="12"/>
  <c r="G9" i="18" s="1"/>
  <c r="C9" i="26" s="1"/>
  <c r="G9" i="26" s="1"/>
  <c r="J104" i="2"/>
  <c r="J119" i="2" s="1"/>
  <c r="D2" i="3"/>
  <c r="F49" i="18" l="1"/>
  <c r="E12" i="17"/>
  <c r="F10" i="17" s="1"/>
  <c r="E9" i="9"/>
  <c r="F186" i="19"/>
  <c r="C18" i="26"/>
  <c r="C17" i="26" s="1"/>
  <c r="G19" i="26"/>
  <c r="G18" i="26" s="1"/>
  <c r="G17" i="26" s="1"/>
  <c r="G57" i="26"/>
  <c r="G7" i="26"/>
  <c r="C37" i="26"/>
  <c r="G38" i="26"/>
  <c r="G37" i="26" s="1"/>
  <c r="G50" i="26"/>
  <c r="F3" i="18"/>
  <c r="C3" i="26"/>
  <c r="C35" i="26" s="1"/>
  <c r="E10" i="17"/>
  <c r="D9" i="17"/>
  <c r="C7" i="26"/>
  <c r="G41" i="26"/>
  <c r="F49" i="12"/>
  <c r="G53" i="18"/>
  <c r="E49" i="12"/>
  <c r="E32" i="9"/>
  <c r="E34" i="17"/>
  <c r="E40" i="12"/>
  <c r="F44" i="18"/>
  <c r="F40" i="18" s="1"/>
  <c r="F40" i="12"/>
  <c r="G44" i="18"/>
  <c r="C44" i="26" s="1"/>
  <c r="G44" i="26" s="1"/>
  <c r="I163" i="2"/>
  <c r="I237" i="2" s="1"/>
  <c r="E56" i="12"/>
  <c r="F59" i="18"/>
  <c r="F56" i="18" s="1"/>
  <c r="F56" i="12"/>
  <c r="G59" i="18"/>
  <c r="F17" i="18"/>
  <c r="F7" i="18"/>
  <c r="F37" i="18"/>
  <c r="F2" i="17"/>
  <c r="D2" i="17"/>
  <c r="C2" i="17" s="1"/>
  <c r="E31" i="12"/>
  <c r="F31" i="18" s="1"/>
  <c r="G8" i="14"/>
  <c r="G34" i="14" s="1"/>
  <c r="F28" i="14"/>
  <c r="F13" i="14"/>
  <c r="F23" i="14"/>
  <c r="D2" i="12"/>
  <c r="H21" i="2"/>
  <c r="H36" i="2"/>
  <c r="H45" i="2"/>
  <c r="H53" i="2"/>
  <c r="H5" i="2"/>
  <c r="H11" i="2"/>
  <c r="H28" i="2"/>
  <c r="H41" i="2"/>
  <c r="H49" i="2"/>
  <c r="H57" i="2"/>
  <c r="G4" i="2"/>
  <c r="C15" i="11"/>
  <c r="C17" i="11" s="1"/>
  <c r="C19" i="11" s="1"/>
  <c r="C21" i="11" s="1"/>
  <c r="C23" i="11" s="1"/>
  <c r="C25" i="11" s="1"/>
  <c r="C27" i="11" s="1"/>
  <c r="E14" i="9"/>
  <c r="E20" i="9" s="1"/>
  <c r="E30" i="9" s="1"/>
  <c r="B15" i="11"/>
  <c r="B17" i="11" s="1"/>
  <c r="B19" i="11" s="1"/>
  <c r="B21" i="11" s="1"/>
  <c r="B23" i="11" s="1"/>
  <c r="B25" i="11" s="1"/>
  <c r="B27" i="11" s="1"/>
  <c r="E7" i="12"/>
  <c r="F7" i="12"/>
  <c r="I3" i="18"/>
  <c r="H35" i="18"/>
  <c r="E185" i="19"/>
  <c r="F55" i="19"/>
  <c r="E38" i="9"/>
  <c r="I62" i="2"/>
  <c r="I124" i="2" s="1"/>
  <c r="E2" i="11"/>
  <c r="J58" i="2"/>
  <c r="J61" i="2" s="1"/>
  <c r="D193" i="19"/>
  <c r="E24" i="21"/>
  <c r="F191" i="19"/>
  <c r="F190" i="19"/>
  <c r="E193" i="19"/>
  <c r="F184" i="19"/>
  <c r="E186" i="19"/>
  <c r="F183" i="19"/>
  <c r="I84" i="3"/>
  <c r="I91" i="3" s="1"/>
  <c r="J163" i="2"/>
  <c r="D14" i="17" l="1"/>
  <c r="G2" i="17"/>
  <c r="D67" i="26" s="1"/>
  <c r="C67" i="26"/>
  <c r="C98" i="26" s="1"/>
  <c r="E63" i="12"/>
  <c r="C53" i="26"/>
  <c r="C40" i="26"/>
  <c r="E3" i="18"/>
  <c r="F35" i="18"/>
  <c r="C3" i="21"/>
  <c r="C59" i="26"/>
  <c r="F63" i="12"/>
  <c r="G40" i="26"/>
  <c r="D14" i="19"/>
  <c r="E33" i="12"/>
  <c r="E66" i="12" s="1"/>
  <c r="I93" i="3"/>
  <c r="E37" i="9"/>
  <c r="E40" i="9" s="1"/>
  <c r="E44" i="9" s="1"/>
  <c r="E46" i="9" s="1"/>
  <c r="E38" i="17"/>
  <c r="F63" i="18"/>
  <c r="I238" i="2"/>
  <c r="H58" i="2"/>
  <c r="H61" i="2" s="1"/>
  <c r="D31" i="12" s="1"/>
  <c r="H62" i="2"/>
  <c r="H124" i="2" s="1"/>
  <c r="H238" i="2" s="1"/>
  <c r="G5" i="2"/>
  <c r="G21" i="2"/>
  <c r="G53" i="2"/>
  <c r="G11" i="2"/>
  <c r="G28" i="2"/>
  <c r="G41" i="2"/>
  <c r="G49" i="2"/>
  <c r="G57" i="2"/>
  <c r="G36" i="2"/>
  <c r="C2" i="12"/>
  <c r="G45" i="2"/>
  <c r="F33" i="18"/>
  <c r="G13" i="14"/>
  <c r="G23" i="14"/>
  <c r="G28" i="14"/>
  <c r="J3" i="18"/>
  <c r="I35" i="18"/>
  <c r="E187" i="19"/>
  <c r="F193" i="19"/>
  <c r="F185" i="19"/>
  <c r="F187" i="19" s="1"/>
  <c r="F2" i="11"/>
  <c r="J62" i="2"/>
  <c r="F31" i="12"/>
  <c r="D3" i="21"/>
  <c r="E14" i="19"/>
  <c r="H2" i="17"/>
  <c r="E67" i="26" s="1"/>
  <c r="C73" i="21"/>
  <c r="C55" i="21"/>
  <c r="C91" i="21" s="1"/>
  <c r="C64" i="21"/>
  <c r="C119" i="21"/>
  <c r="C131" i="21" s="1"/>
  <c r="C31" i="21"/>
  <c r="C10" i="21"/>
  <c r="C16" i="21"/>
  <c r="C22" i="21" s="1"/>
  <c r="D29" i="19"/>
  <c r="D34" i="19" s="1"/>
  <c r="D38" i="19" s="1"/>
  <c r="E4" i="22"/>
  <c r="C4" i="22" s="1"/>
  <c r="D22" i="19"/>
  <c r="D52" i="19" s="1"/>
  <c r="D65" i="19" s="1"/>
  <c r="D78" i="19" s="1"/>
  <c r="D91" i="19" s="1"/>
  <c r="D104" i="19" s="1"/>
  <c r="D117" i="19" s="1"/>
  <c r="D130" i="19" s="1"/>
  <c r="D143" i="19" s="1"/>
  <c r="D156" i="19" s="1"/>
  <c r="D169" i="19" s="1"/>
  <c r="D182" i="19" s="1"/>
  <c r="E4" i="20"/>
  <c r="C4" i="20" s="1"/>
  <c r="J237" i="2"/>
  <c r="D3" i="18" l="1"/>
  <c r="D35" i="18" s="1"/>
  <c r="E35" i="18"/>
  <c r="G53" i="26"/>
  <c r="C49" i="26"/>
  <c r="G49" i="26" s="1"/>
  <c r="D20" i="17"/>
  <c r="D30" i="17" s="1"/>
  <c r="D15" i="17"/>
  <c r="G59" i="26"/>
  <c r="G56" i="26" s="1"/>
  <c r="C56" i="26"/>
  <c r="F65" i="18"/>
  <c r="G58" i="2"/>
  <c r="G61" i="2" s="1"/>
  <c r="G62" i="2" s="1"/>
  <c r="G124" i="2" s="1"/>
  <c r="G238" i="2" s="1"/>
  <c r="F33" i="12"/>
  <c r="F66" i="12" s="1"/>
  <c r="G31" i="18"/>
  <c r="E31" i="18"/>
  <c r="D33" i="12"/>
  <c r="D66" i="12" s="1"/>
  <c r="J35" i="18"/>
  <c r="J124" i="2"/>
  <c r="J238" i="2" s="1"/>
  <c r="G2" i="11"/>
  <c r="F14" i="19"/>
  <c r="E3" i="21"/>
  <c r="F4" i="20"/>
  <c r="E22" i="19"/>
  <c r="E52" i="19" s="1"/>
  <c r="E65" i="19" s="1"/>
  <c r="E78" i="19" s="1"/>
  <c r="E91" i="19" s="1"/>
  <c r="E104" i="19" s="1"/>
  <c r="E117" i="19" s="1"/>
  <c r="E130" i="19" s="1"/>
  <c r="E143" i="19" s="1"/>
  <c r="E156" i="19" s="1"/>
  <c r="E169" i="19" s="1"/>
  <c r="E182" i="19" s="1"/>
  <c r="E29" i="19"/>
  <c r="E34" i="19" s="1"/>
  <c r="E38" i="19" s="1"/>
  <c r="F4" i="22"/>
  <c r="D55" i="21"/>
  <c r="D91" i="21" s="1"/>
  <c r="D73" i="21"/>
  <c r="D64" i="21"/>
  <c r="D10" i="21"/>
  <c r="D31" i="21"/>
  <c r="D16" i="21"/>
  <c r="D22" i="21" s="1"/>
  <c r="D119" i="21"/>
  <c r="D131" i="21" s="1"/>
  <c r="C86" i="26" l="1"/>
  <c r="C90" i="26" s="1"/>
  <c r="C63" i="26"/>
  <c r="D40" i="17"/>
  <c r="D44" i="17" s="1"/>
  <c r="C31" i="26"/>
  <c r="G63" i="26"/>
  <c r="C31" i="12"/>
  <c r="C33" i="12" s="1"/>
  <c r="C66" i="12" s="1"/>
  <c r="D31" i="18"/>
  <c r="E33" i="18"/>
  <c r="E65" i="18" s="1"/>
  <c r="H2" i="11"/>
  <c r="E31" i="21"/>
  <c r="E64" i="21"/>
  <c r="E10" i="21"/>
  <c r="E55" i="21"/>
  <c r="E91" i="21" s="1"/>
  <c r="E119" i="21"/>
  <c r="E131" i="21" s="1"/>
  <c r="E73" i="21"/>
  <c r="E16" i="21"/>
  <c r="E22" i="21" s="1"/>
  <c r="G4" i="22"/>
  <c r="F22" i="19"/>
  <c r="F52" i="19" s="1"/>
  <c r="F65" i="19" s="1"/>
  <c r="F78" i="19" s="1"/>
  <c r="F91" i="19" s="1"/>
  <c r="F104" i="19" s="1"/>
  <c r="F117" i="19" s="1"/>
  <c r="F130" i="19" s="1"/>
  <c r="F143" i="19" s="1"/>
  <c r="F156" i="19" s="1"/>
  <c r="F169" i="19" s="1"/>
  <c r="F182" i="19" s="1"/>
  <c r="G4" i="20"/>
  <c r="F29" i="19"/>
  <c r="F34" i="19" s="1"/>
  <c r="F38" i="19" s="1"/>
  <c r="G31" i="26" l="1"/>
  <c r="G33" i="26" s="1"/>
  <c r="C33" i="26"/>
  <c r="C70" i="26"/>
  <c r="D33" i="18"/>
  <c r="D65" i="18" s="1"/>
  <c r="I2" i="11"/>
  <c r="J2" i="11" l="1"/>
  <c r="K2" i="11" l="1"/>
  <c r="G18" i="17" l="1"/>
  <c r="H18" i="17" s="1"/>
  <c r="G26" i="17"/>
  <c r="H26" i="17" s="1"/>
  <c r="E37" i="17"/>
  <c r="E32" i="17" l="1"/>
  <c r="G10" i="17"/>
  <c r="H15" i="18"/>
  <c r="E16" i="17"/>
  <c r="E9" i="17"/>
  <c r="E3" i="17"/>
  <c r="E22" i="17"/>
  <c r="G25" i="17"/>
  <c r="C108" i="21"/>
  <c r="C82" i="21"/>
  <c r="H14" i="18"/>
  <c r="G4" i="17"/>
  <c r="H13" i="18" l="1"/>
  <c r="H25" i="17"/>
  <c r="D108" i="21"/>
  <c r="C56" i="21"/>
  <c r="G5" i="17"/>
  <c r="F3" i="17"/>
  <c r="F11" i="17" s="1"/>
  <c r="G17" i="17"/>
  <c r="F16" i="17"/>
  <c r="C74" i="21"/>
  <c r="D82" i="21"/>
  <c r="G28" i="17"/>
  <c r="H4" i="17"/>
  <c r="I14" i="18"/>
  <c r="E14" i="17"/>
  <c r="C81" i="21"/>
  <c r="C102" i="21" s="1"/>
  <c r="C135" i="21"/>
  <c r="G27" i="17"/>
  <c r="H10" i="17"/>
  <c r="I15" i="18"/>
  <c r="C5" i="19"/>
  <c r="C5" i="21" s="1"/>
  <c r="H58" i="18"/>
  <c r="I58" i="18" s="1"/>
  <c r="J58" i="18" s="1"/>
  <c r="H59" i="18"/>
  <c r="I59" i="18" s="1"/>
  <c r="J59" i="18" s="1"/>
  <c r="H45" i="18"/>
  <c r="I45" i="18" s="1"/>
  <c r="J45" i="18" s="1"/>
  <c r="H44" i="18"/>
  <c r="I44" i="18" s="1"/>
  <c r="J44" i="18" s="1"/>
  <c r="C16" i="20"/>
  <c r="C142" i="21" s="1"/>
  <c r="G13" i="18"/>
  <c r="C7" i="22"/>
  <c r="C107" i="21" l="1"/>
  <c r="G3" i="17"/>
  <c r="G11" i="17" s="1"/>
  <c r="G9" i="17" s="1"/>
  <c r="G14" i="17" s="1"/>
  <c r="G15" i="17" s="1"/>
  <c r="H47" i="18"/>
  <c r="J42" i="18"/>
  <c r="I42" i="18"/>
  <c r="H42" i="18"/>
  <c r="G37" i="18"/>
  <c r="E20" i="17"/>
  <c r="E30" i="17" s="1"/>
  <c r="E15" i="17"/>
  <c r="F9" i="17"/>
  <c r="F14" i="17" s="1"/>
  <c r="G20" i="18"/>
  <c r="I13" i="18"/>
  <c r="H28" i="17"/>
  <c r="E82" i="21"/>
  <c r="C57" i="21"/>
  <c r="C121" i="21" s="1"/>
  <c r="D56" i="21"/>
  <c r="H5" i="17"/>
  <c r="H3" i="17" s="1"/>
  <c r="H11" i="17" s="1"/>
  <c r="J15" i="18"/>
  <c r="H17" i="17"/>
  <c r="G16" i="17"/>
  <c r="D74" i="21"/>
  <c r="D81" i="21"/>
  <c r="D102" i="21" s="1"/>
  <c r="H27" i="17"/>
  <c r="D135" i="21"/>
  <c r="C75" i="21"/>
  <c r="C76" i="21" s="1"/>
  <c r="C83" i="21"/>
  <c r="J14" i="18"/>
  <c r="E108" i="21"/>
  <c r="H53" i="18"/>
  <c r="C11" i="20"/>
  <c r="C7" i="19"/>
  <c r="C7" i="21" s="1"/>
  <c r="C14" i="21" s="1"/>
  <c r="D7" i="21" s="1"/>
  <c r="D14" i="21" s="1"/>
  <c r="E7" i="21" s="1"/>
  <c r="E14" i="21" s="1"/>
  <c r="C12" i="20"/>
  <c r="H54" i="18"/>
  <c r="C15" i="20"/>
  <c r="C9" i="20"/>
  <c r="C105" i="21" s="1"/>
  <c r="H52" i="18"/>
  <c r="C10" i="20"/>
  <c r="C9" i="22"/>
  <c r="J11" i="18"/>
  <c r="H11" i="18"/>
  <c r="I11" i="18"/>
  <c r="C8" i="22"/>
  <c r="I10" i="18"/>
  <c r="J10" i="18"/>
  <c r="H10" i="18"/>
  <c r="C17" i="20"/>
  <c r="C6" i="19"/>
  <c r="C6" i="21" s="1"/>
  <c r="C13" i="21" s="1"/>
  <c r="D6" i="21" s="1"/>
  <c r="I28" i="18"/>
  <c r="J28" i="18"/>
  <c r="C18" i="20"/>
  <c r="C6" i="22"/>
  <c r="G7" i="18"/>
  <c r="J31" i="18"/>
  <c r="H31" i="18"/>
  <c r="I31" i="18"/>
  <c r="C15" i="19"/>
  <c r="H50" i="18"/>
  <c r="C5" i="20"/>
  <c r="G49" i="18"/>
  <c r="H57" i="18"/>
  <c r="G56" i="18"/>
  <c r="C12" i="19"/>
  <c r="C12" i="21"/>
  <c r="D5" i="21" s="1"/>
  <c r="C19" i="21" l="1"/>
  <c r="C25" i="21" s="1"/>
  <c r="I53" i="18"/>
  <c r="D65" i="21"/>
  <c r="D66" i="21" s="1"/>
  <c r="I52" i="18"/>
  <c r="E40" i="17"/>
  <c r="E44" i="17" s="1"/>
  <c r="E45" i="17" s="1"/>
  <c r="I47" i="18"/>
  <c r="I54" i="18"/>
  <c r="C65" i="21"/>
  <c r="C66" i="21" s="1"/>
  <c r="C120" i="21" s="1"/>
  <c r="C123" i="21" s="1"/>
  <c r="F20" i="17"/>
  <c r="F15" i="17"/>
  <c r="G20" i="17"/>
  <c r="C77" i="21"/>
  <c r="C100" i="21" s="1"/>
  <c r="D57" i="21"/>
  <c r="D121" i="21" s="1"/>
  <c r="D75" i="21"/>
  <c r="D76" i="21" s="1"/>
  <c r="D77" i="21" s="1"/>
  <c r="D100" i="21" s="1"/>
  <c r="E65" i="21"/>
  <c r="H9" i="17"/>
  <c r="H14" i="17" s="1"/>
  <c r="H15" i="17" s="1"/>
  <c r="E135" i="21"/>
  <c r="E81" i="21"/>
  <c r="E102" i="21" s="1"/>
  <c r="E74" i="21"/>
  <c r="H16" i="17"/>
  <c r="J13" i="18"/>
  <c r="C58" i="21"/>
  <c r="H8" i="18" s="1"/>
  <c r="D83" i="21"/>
  <c r="E56" i="21"/>
  <c r="I23" i="18"/>
  <c r="H23" i="18"/>
  <c r="H22" i="18"/>
  <c r="D13" i="21"/>
  <c r="I51" i="18"/>
  <c r="J23" i="18"/>
  <c r="H21" i="18"/>
  <c r="D12" i="21"/>
  <c r="E5" i="21" s="1"/>
  <c r="I57" i="18"/>
  <c r="H49" i="18"/>
  <c r="I50" i="18"/>
  <c r="D19" i="21" l="1"/>
  <c r="D25" i="21" s="1"/>
  <c r="H29" i="18"/>
  <c r="J53" i="18"/>
  <c r="J52" i="18"/>
  <c r="C79" i="21"/>
  <c r="C67" i="21"/>
  <c r="H41" i="18" s="1"/>
  <c r="C14" i="20"/>
  <c r="C114" i="21"/>
  <c r="J47" i="18"/>
  <c r="J54" i="18"/>
  <c r="C59" i="21"/>
  <c r="C93" i="21" s="1"/>
  <c r="C97" i="21" s="1"/>
  <c r="H20" i="18"/>
  <c r="D79" i="21"/>
  <c r="D58" i="21"/>
  <c r="I8" i="18" s="1"/>
  <c r="C125" i="21"/>
  <c r="C106" i="21" s="1"/>
  <c r="C127" i="21"/>
  <c r="E75" i="21"/>
  <c r="E76" i="21" s="1"/>
  <c r="E77" i="21" s="1"/>
  <c r="E100" i="21" s="1"/>
  <c r="E83" i="21"/>
  <c r="H20" i="17"/>
  <c r="D67" i="21"/>
  <c r="D120" i="21"/>
  <c r="D123" i="21" s="1"/>
  <c r="E66" i="21"/>
  <c r="E57" i="21"/>
  <c r="G40" i="18"/>
  <c r="J57" i="18"/>
  <c r="E6" i="21"/>
  <c r="I22" i="18"/>
  <c r="J51" i="18"/>
  <c r="I49" i="18"/>
  <c r="J50" i="18"/>
  <c r="C4" i="19"/>
  <c r="C4" i="21" s="1"/>
  <c r="G18" i="18"/>
  <c r="G17" i="18" s="1"/>
  <c r="C10" i="19"/>
  <c r="C17" i="21" s="1"/>
  <c r="G26" i="18"/>
  <c r="G25" i="18" s="1"/>
  <c r="E12" i="21"/>
  <c r="I21" i="18"/>
  <c r="E19" i="21" l="1"/>
  <c r="E25" i="21" s="1"/>
  <c r="I29" i="18"/>
  <c r="C23" i="21"/>
  <c r="C20" i="21"/>
  <c r="F24" i="17" s="1"/>
  <c r="C11" i="21"/>
  <c r="H19" i="18" s="1"/>
  <c r="H18" i="18" s="1"/>
  <c r="H17" i="18" s="1"/>
  <c r="C8" i="21"/>
  <c r="F23" i="17" s="1"/>
  <c r="C61" i="21"/>
  <c r="C68" i="21"/>
  <c r="C99" i="21" s="1"/>
  <c r="D68" i="21"/>
  <c r="D99" i="21" s="1"/>
  <c r="I20" i="18"/>
  <c r="I41" i="18"/>
  <c r="D59" i="21"/>
  <c r="D93" i="21" s="1"/>
  <c r="D97" i="21" s="1"/>
  <c r="E58" i="21"/>
  <c r="E121" i="21"/>
  <c r="E67" i="21"/>
  <c r="E68" i="21" s="1"/>
  <c r="E99" i="21" s="1"/>
  <c r="E120" i="21"/>
  <c r="D127" i="21"/>
  <c r="D125" i="21"/>
  <c r="D106" i="21" s="1"/>
  <c r="E79" i="21"/>
  <c r="G33" i="18"/>
  <c r="J49" i="18"/>
  <c r="J21" i="18"/>
  <c r="G63" i="18"/>
  <c r="E13" i="21"/>
  <c r="J29" i="18" l="1"/>
  <c r="F22" i="17"/>
  <c r="F30" i="17" s="1"/>
  <c r="C68" i="26" s="1"/>
  <c r="C72" i="26" s="1"/>
  <c r="D4" i="21"/>
  <c r="D8" i="21" s="1"/>
  <c r="G23" i="17" s="1"/>
  <c r="D17" i="21"/>
  <c r="H27" i="18"/>
  <c r="H26" i="18" s="1"/>
  <c r="H25" i="18" s="1"/>
  <c r="D61" i="21"/>
  <c r="C70" i="21"/>
  <c r="D70" i="21"/>
  <c r="G65" i="18"/>
  <c r="J41" i="18"/>
  <c r="E123" i="21"/>
  <c r="J8" i="18"/>
  <c r="E59" i="21"/>
  <c r="E70" i="21"/>
  <c r="J22" i="18"/>
  <c r="J20" i="18" s="1"/>
  <c r="D23" i="21" l="1"/>
  <c r="D20" i="21"/>
  <c r="G24" i="17" s="1"/>
  <c r="F40" i="17"/>
  <c r="C132" i="21" s="1"/>
  <c r="D11" i="21"/>
  <c r="E125" i="21"/>
  <c r="E106" i="21" s="1"/>
  <c r="E127" i="21"/>
  <c r="E61" i="21"/>
  <c r="E93" i="21"/>
  <c r="E97" i="21" s="1"/>
  <c r="G22" i="17" l="1"/>
  <c r="G30" i="17" s="1"/>
  <c r="E4" i="21"/>
  <c r="E8" i="21" s="1"/>
  <c r="H23" i="17" s="1"/>
  <c r="I19" i="18"/>
  <c r="I18" i="18" s="1"/>
  <c r="I17" i="18" s="1"/>
  <c r="E17" i="21"/>
  <c r="E20" i="21" s="1"/>
  <c r="H24" i="17" s="1"/>
  <c r="I27" i="18"/>
  <c r="I26" i="18" s="1"/>
  <c r="I25" i="18" s="1"/>
  <c r="C137" i="21"/>
  <c r="C139" i="21" s="1"/>
  <c r="C133" i="21"/>
  <c r="D68" i="26" l="1"/>
  <c r="D72" i="26" s="1"/>
  <c r="C144" i="21"/>
  <c r="H43" i="18" s="1"/>
  <c r="H40" i="18" s="1"/>
  <c r="G40" i="17"/>
  <c r="D132" i="21" s="1"/>
  <c r="D142" i="21"/>
  <c r="D107" i="21" s="1"/>
  <c r="C145" i="21"/>
  <c r="H9" i="18" s="1"/>
  <c r="F42" i="17"/>
  <c r="E11" i="21"/>
  <c r="E23" i="21"/>
  <c r="H22" i="17"/>
  <c r="H30" i="17" s="1"/>
  <c r="H40" i="17" l="1"/>
  <c r="E132" i="21" s="1"/>
  <c r="E137" i="21" s="1"/>
  <c r="E139" i="21" s="1"/>
  <c r="E68" i="26"/>
  <c r="E72" i="26" s="1"/>
  <c r="J27" i="18"/>
  <c r="J26" i="18" s="1"/>
  <c r="J25" i="18" s="1"/>
  <c r="J19" i="18"/>
  <c r="J18" i="18" s="1"/>
  <c r="J17" i="18" s="1"/>
  <c r="H7" i="18"/>
  <c r="D133" i="21"/>
  <c r="D137" i="21"/>
  <c r="D139" i="21" s="1"/>
  <c r="F44" i="17"/>
  <c r="E35" i="14" s="1"/>
  <c r="E37" i="14" s="1"/>
  <c r="E133" i="21" l="1"/>
  <c r="C109" i="21"/>
  <c r="C111" i="21" s="1"/>
  <c r="H60" i="18"/>
  <c r="G42" i="17"/>
  <c r="H42" i="17"/>
  <c r="H61" i="18"/>
  <c r="F45" i="17" s="1"/>
  <c r="E142" i="21"/>
  <c r="E107" i="21" s="1"/>
  <c r="D144" i="21"/>
  <c r="D145" i="21"/>
  <c r="I9" i="18" s="1"/>
  <c r="I43" i="18" l="1"/>
  <c r="I40" i="18" s="1"/>
  <c r="G44" i="17"/>
  <c r="F35" i="14" s="1"/>
  <c r="F37" i="14" s="1"/>
  <c r="E145" i="21"/>
  <c r="J9" i="18" s="1"/>
  <c r="J7" i="18" s="1"/>
  <c r="E144" i="21"/>
  <c r="H56" i="18"/>
  <c r="I7" i="18"/>
  <c r="H44" i="17"/>
  <c r="G35" i="14" s="1"/>
  <c r="G37" i="14" s="1"/>
  <c r="D109" i="21" l="1"/>
  <c r="D111" i="21" s="1"/>
  <c r="D112" i="21" s="1"/>
  <c r="I60" i="18"/>
  <c r="E109" i="21"/>
  <c r="E111" i="21" s="1"/>
  <c r="E112" i="21" s="1"/>
  <c r="I61" i="18"/>
  <c r="G45" i="17" s="1"/>
  <c r="J43" i="18"/>
  <c r="J61" i="18"/>
  <c r="H45" i="17" s="1"/>
  <c r="I56" i="18" l="1"/>
  <c r="J60" i="18"/>
  <c r="J56" i="18" s="1"/>
  <c r="J40" i="18"/>
  <c r="C76" i="26" l="1"/>
  <c r="C78" i="26" s="1"/>
  <c r="C92" i="26" s="1"/>
  <c r="C94" i="26" s="1"/>
  <c r="C99" i="26" s="1"/>
  <c r="D101" i="26" s="1"/>
  <c r="C112" i="21" l="1"/>
  <c r="C115" i="21" s="1"/>
  <c r="H5" i="18" l="1"/>
  <c r="H38" i="18"/>
  <c r="D114" i="21"/>
  <c r="D115" i="21" s="1"/>
  <c r="H33" i="18" l="1"/>
  <c r="I38" i="18"/>
  <c r="I5" i="18"/>
  <c r="E114" i="21"/>
  <c r="E115" i="21" s="1"/>
  <c r="H37" i="18"/>
  <c r="J38" i="18" l="1"/>
  <c r="J5" i="18"/>
  <c r="H63" i="18"/>
  <c r="H65" i="18" s="1"/>
  <c r="I33" i="18"/>
  <c r="I37" i="18"/>
  <c r="I63" i="18" l="1"/>
  <c r="I65" i="18" s="1"/>
  <c r="J33" i="18"/>
  <c r="J37" i="18"/>
  <c r="J63" i="18" l="1"/>
  <c r="J65" i="18" s="1"/>
</calcChain>
</file>

<file path=xl/sharedStrings.xml><?xml version="1.0" encoding="utf-8"?>
<sst xmlns="http://schemas.openxmlformats.org/spreadsheetml/2006/main" count="1682" uniqueCount="1109">
  <si>
    <t>Numero Anni</t>
  </si>
  <si>
    <t>Parametri</t>
  </si>
  <si>
    <t>Ires</t>
  </si>
  <si>
    <t>Irap</t>
  </si>
  <si>
    <t>Imposte</t>
  </si>
  <si>
    <t>Aliquota Iva</t>
  </si>
  <si>
    <t>Sezione Ricavi</t>
  </si>
  <si>
    <t>Incremento Fatturato</t>
  </si>
  <si>
    <t>gg dilazione media clienti</t>
  </si>
  <si>
    <t>Sezione Costi</t>
  </si>
  <si>
    <t>gg media dilazione fornitori materie prime</t>
  </si>
  <si>
    <t>Incremento costi gestione</t>
  </si>
  <si>
    <t>Incremento costi personale</t>
  </si>
  <si>
    <t>Sezioni Finanziamenti</t>
  </si>
  <si>
    <t>Totale Finanziamenti medio lungo termine</t>
  </si>
  <si>
    <t>Piano ammortamento quota capitale</t>
  </si>
  <si>
    <t>Piano ammortamento oneri finanziari</t>
  </si>
  <si>
    <t>Sezioni Capitale Proprio / Contributi Fondo Perduto</t>
  </si>
  <si>
    <t>Aumento Capitale</t>
  </si>
  <si>
    <t>Contributi Fondo Perduto Impianti</t>
  </si>
  <si>
    <t>Contributi Fondo Perduto Gestione</t>
  </si>
  <si>
    <t>Mutui e Finanziamenti</t>
  </si>
  <si>
    <t>Rimoborso quota capitale</t>
  </si>
  <si>
    <t>oneri finanziari</t>
  </si>
  <si>
    <t>Fondo TFR</t>
  </si>
  <si>
    <t>Altri Fondi</t>
  </si>
  <si>
    <t>Debiti Verso Collegate e Controllate</t>
  </si>
  <si>
    <t>Altri Debiti a m/l termine</t>
  </si>
  <si>
    <t>Enti Previd., Assistenziali, Ritenute personale</t>
  </si>
  <si>
    <t>Debiti tributari</t>
  </si>
  <si>
    <t>Altri debiti</t>
  </si>
  <si>
    <t>Ratei e Risconti Passivi</t>
  </si>
  <si>
    <t xml:space="preserve">       - Crediti v/clienti</t>
  </si>
  <si>
    <t xml:space="preserve">      - Erario c/acc. Imposte e Ritenute</t>
  </si>
  <si>
    <t xml:space="preserve">      - Ratei e Risconti Attivi</t>
  </si>
  <si>
    <t xml:space="preserve">      - Altri Crediti, fatture da emettere, ecc</t>
  </si>
  <si>
    <t>Immobilizzazioni Materiali</t>
  </si>
  <si>
    <t>Investimento Residuo</t>
  </si>
  <si>
    <t>Anni Residui Ammortamento</t>
  </si>
  <si>
    <t>Fabbricati</t>
  </si>
  <si>
    <t>Impianti e Macchinari</t>
  </si>
  <si>
    <t>Attrezzature industriali e commerciali</t>
  </si>
  <si>
    <t>Altri beni</t>
  </si>
  <si>
    <t>Immobilizzazioni Immateriali</t>
  </si>
  <si>
    <t>Costi d'impianto e ampliamento</t>
  </si>
  <si>
    <t>Ricerca&amp; Sviluppo</t>
  </si>
  <si>
    <t>Altre immobilizzazioni immateriali</t>
  </si>
  <si>
    <t>Immobilizzazioni Finanziarie</t>
  </si>
  <si>
    <t>Nuovi Investimenti</t>
  </si>
  <si>
    <t>Aliquota Amm.to</t>
  </si>
  <si>
    <t>Iva</t>
  </si>
  <si>
    <t>Ammortamento Anno 1</t>
  </si>
  <si>
    <t>Ammortamento Anno 2</t>
  </si>
  <si>
    <t>Ammortamento Anno 3</t>
  </si>
  <si>
    <t>Ammortamento Anno 4</t>
  </si>
  <si>
    <t>Ammortamento Anno 5</t>
  </si>
  <si>
    <t>Ammortamento Anno 6</t>
  </si>
  <si>
    <t>Ammortamento Anno 7</t>
  </si>
  <si>
    <t>Ammortamento Anno 8</t>
  </si>
  <si>
    <t>Ammortamento Anno 9</t>
  </si>
  <si>
    <t>Ammortamento Anno 10</t>
  </si>
  <si>
    <t>Totale Ammortamenti</t>
  </si>
  <si>
    <t>Totale Ammortamenti Materiali</t>
  </si>
  <si>
    <t>Totale Ammortamenti Immateriali</t>
  </si>
  <si>
    <t>LabelIT</t>
  </si>
  <si>
    <t>prefix</t>
  </si>
  <si>
    <t>firstItemRow</t>
  </si>
  <si>
    <t>lastItemRow</t>
  </si>
  <si>
    <t>Name</t>
  </si>
  <si>
    <t>nomeFoglio</t>
  </si>
  <si>
    <t>firstItemRowIstanza</t>
  </si>
  <si>
    <t>inputAnnoRif</t>
  </si>
  <si>
    <t>Stato patrimoniale (schema civilistico)</t>
  </si>
  <si>
    <t>Sp</t>
  </si>
  <si>
    <t>F</t>
  </si>
  <si>
    <t>SP</t>
  </si>
  <si>
    <t>G</t>
  </si>
  <si>
    <t>MENU</t>
  </si>
  <si>
    <t>CELLE INPUT</t>
  </si>
  <si>
    <t>formula</t>
  </si>
  <si>
    <t>formula_1</t>
  </si>
  <si>
    <t>livello</t>
  </si>
  <si>
    <t>Label - Standard (en)</t>
  </si>
  <si>
    <t>Stato patrimoniale</t>
  </si>
  <si>
    <t>Balance sheet (mandatory scheme)</t>
  </si>
  <si>
    <t>StatoPatrimoniale</t>
  </si>
  <si>
    <t/>
  </si>
  <si>
    <t>Attivo</t>
  </si>
  <si>
    <t>Assets</t>
  </si>
  <si>
    <t>A) Crediti verso soci per versamenti ancora dovuti</t>
  </si>
  <si>
    <t>A) Receivables from shareholders</t>
  </si>
  <si>
    <t>CreditiVersoSociVersamentiAncoraDovuti</t>
  </si>
  <si>
    <t>Parte richiamata</t>
  </si>
  <si>
    <t>Called</t>
  </si>
  <si>
    <t>CreditiVersoSociVersamentiAncoraDovutiParteRichiamata</t>
  </si>
  <si>
    <t>Parte da richiamare</t>
  </si>
  <si>
    <t>To be called</t>
  </si>
  <si>
    <t>CreditiVersoSociVersamentiAncoraDovutiParteRichiamare</t>
  </si>
  <si>
    <t>Totale crediti verso soci per versamenti ancora dovuti (A)</t>
  </si>
  <si>
    <t>Total receivables from shareholders (A)</t>
  </si>
  <si>
    <t>TotaleCreditiVersoSociVersamentiAncoraDovuti</t>
  </si>
  <si>
    <t>B) Immobilizzazioni</t>
  </si>
  <si>
    <t>B) Fixed assets</t>
  </si>
  <si>
    <t>Immobilizzazioni</t>
  </si>
  <si>
    <t>I - Immobilizzazioni immateriali</t>
  </si>
  <si>
    <t>I - Intangible fixed assets</t>
  </si>
  <si>
    <t>ImmobilizzazioniImmateriali</t>
  </si>
  <si>
    <t>1) costi di impianto e di ampliamento</t>
  </si>
  <si>
    <t>1) start-up and expansion costs</t>
  </si>
  <si>
    <t>ImmobilizzazioniImmaterialiCostiImpiantoAmpliamento</t>
  </si>
  <si>
    <t>2) costi di sviluppo </t>
  </si>
  <si>
    <t>2) research, development and adverstising costs</t>
  </si>
  <si>
    <t>ImmobilizzazioniImmaterialiCostiRicercaSviluppoPubblicita</t>
  </si>
  <si>
    <t>3) diritti di brevetto industriale e diritti di utilizzazione delle opere dell'ingegno</t>
  </si>
  <si>
    <t>3) industrial patents and intellectual property rights</t>
  </si>
  <si>
    <t>ImmobilizzazioniImmaterialiDirittiBrevettoIndustrialeDirittiUtilizzazioneOpereIngegno</t>
  </si>
  <si>
    <t>4) concessioni, licenze, marchi e diritti simili</t>
  </si>
  <si>
    <t>4) concessions, licenses, trademarks and similar rights</t>
  </si>
  <si>
    <t>ImmobilizzazioniImmaterialiConcessioniLicenzeMarchiDirittiSimili</t>
  </si>
  <si>
    <t>5) avviamento</t>
  </si>
  <si>
    <t>5) goodwill</t>
  </si>
  <si>
    <t>ImmobilizzazioniImmaterialiAvviamento</t>
  </si>
  <si>
    <t>6) immobilizzazioni in corso e acconti</t>
  </si>
  <si>
    <t>6) assets in process of formation and advances</t>
  </si>
  <si>
    <t>ImmobilizzazioniImmaterialiImmobilizzazioniCorsoAcconti</t>
  </si>
  <si>
    <t>7) altre.</t>
  </si>
  <si>
    <t>7) other</t>
  </si>
  <si>
    <t>ImmobilizzazioniImmaterialiAltre</t>
  </si>
  <si>
    <t>Totale immobilizzazioni immateriali</t>
  </si>
  <si>
    <t>Total intangible fixed assets</t>
  </si>
  <si>
    <t>TotaleImmobilizzazioniImmateriali</t>
  </si>
  <si>
    <t>II - Immobilizzazioni materiali</t>
  </si>
  <si>
    <t>II - Tangible fixed assets</t>
  </si>
  <si>
    <t>ImmobilizzazioniMateriali</t>
  </si>
  <si>
    <t>1) terreni e fabbricati</t>
  </si>
  <si>
    <t>1) land and buildings</t>
  </si>
  <si>
    <t>ImmobilizzazioniMaterialiTerreniFabbricati</t>
  </si>
  <si>
    <t>2) impianti e macchinario</t>
  </si>
  <si>
    <t>2) plant and machinery</t>
  </si>
  <si>
    <t>ImmobilizzazioniMaterialiImpiantiMacchinario</t>
  </si>
  <si>
    <t>3) attrezzature industriali e commerciali</t>
  </si>
  <si>
    <t>3) industrial and commercial equipment</t>
  </si>
  <si>
    <t>ImmobilizzazioniMaterialiAttrezzatureIndustrialiCommerciali</t>
  </si>
  <si>
    <t>4) altri beni</t>
  </si>
  <si>
    <t>4) other assets</t>
  </si>
  <si>
    <t>ImmobilizzazioniMaterialiAltriBeni</t>
  </si>
  <si>
    <t>5) immobilizzazioni in corso e acconti.</t>
  </si>
  <si>
    <t>5) assets in process of formation and advances</t>
  </si>
  <si>
    <t>ImmobilizzazioniMaterialiImmobilizzazioniCorsoAcconti</t>
  </si>
  <si>
    <t>Totale immobilizzazioni materiali</t>
  </si>
  <si>
    <t>Total tangible fixed assets</t>
  </si>
  <si>
    <t>TotaleImmobilizzazioniMateriali</t>
  </si>
  <si>
    <t>III - Immobilizzazioni finanziarie</t>
  </si>
  <si>
    <t>III - Financial fixed assets</t>
  </si>
  <si>
    <t>ImmobilizzazioniFinanziarie</t>
  </si>
  <si>
    <t>1) partecipazioni in</t>
  </si>
  <si>
    <t>1) equity investments in</t>
  </si>
  <si>
    <t>ImmobilizzazioniFinanziariePartecipazioni</t>
  </si>
  <si>
    <t>a) imprese controllate</t>
  </si>
  <si>
    <t>a) subsidiary companies</t>
  </si>
  <si>
    <t>ImmobilizzazioniFinanziariePartecipazioniImpreseControllate</t>
  </si>
  <si>
    <t>b) imprese collegate</t>
  </si>
  <si>
    <t>b) associated companies</t>
  </si>
  <si>
    <t>ImmobilizzazioniFinanziariePartecipazioniImpreseCollegate</t>
  </si>
  <si>
    <t>c) imprese controllanti</t>
  </si>
  <si>
    <t>c) parent companies</t>
  </si>
  <si>
    <t>ImmobilizzazioniFinanziariePartecipazioniImpreseControllanti</t>
  </si>
  <si>
    <r>
      <t>d) </t>
    </r>
    <r>
      <rPr>
        <sz val="10"/>
        <color rgb="FFFF0000"/>
        <rFont val="Verdana"/>
        <family val="2"/>
      </rPr>
      <t>verso imprese sottoposte al controllo delle controllanti</t>
    </r>
  </si>
  <si>
    <r>
      <t xml:space="preserve"> d-</t>
    </r>
    <r>
      <rPr>
        <sz val="10"/>
        <color rgb="FFFF0000"/>
        <rFont val="Verdana"/>
        <family val="2"/>
      </rPr>
      <t>bis) altre imprese</t>
    </r>
  </si>
  <si>
    <t>d) third parties</t>
  </si>
  <si>
    <t>ImmobilizzazioniFinanziariePartecipazioniAltreImprese</t>
  </si>
  <si>
    <t>Totale partecipazioni</t>
  </si>
  <si>
    <t>Total equity investments</t>
  </si>
  <si>
    <t>ImmobilizzazioniFinanziariePartecipazioniTotalePartecipazioni</t>
  </si>
  <si>
    <t>2) crediti</t>
  </si>
  <si>
    <t>2) receivables due from</t>
  </si>
  <si>
    <t>ImmobilizzazioniFinanziarieCrediti</t>
  </si>
  <si>
    <t>a) verso imprese controllate</t>
  </si>
  <si>
    <t>ImmobilizzazioniFinanziarieCreditiVersoImpreseControllate</t>
  </si>
  <si>
    <t>esigibili entro l'esercizio successivo</t>
  </si>
  <si>
    <t>due within the following year</t>
  </si>
  <si>
    <t>ImmobilizzazioniFinanziarieCreditiVersoImpreseControllateEsigibiliEntroEsercizioSuccessivo</t>
  </si>
  <si>
    <t>esigibili oltre l'esercizio successivo</t>
  </si>
  <si>
    <t>due beyond the following year</t>
  </si>
  <si>
    <t>ImmobilizzazioniFinanziarieCreditiVersoImpreseControllateEsigibiliOltreEsercizioSuccessivo</t>
  </si>
  <si>
    <t>Totale crediti verso imprese controllate</t>
  </si>
  <si>
    <t>Total receivables due from subsidiary companies</t>
  </si>
  <si>
    <t>ImmobilizzazioniFinanziarieCreditiVersoImpreseControllateTotaleCreditiVersoImpreseControllate</t>
  </si>
  <si>
    <t>b) verso imprese collegate</t>
  </si>
  <si>
    <t>ImmobilizzazioniFinanziarieCreditiVersoImpreseCollegate</t>
  </si>
  <si>
    <t>ImmobilizzazioniFinanziarieCreditiVersoImpreseCollegateEsigibiliEntroEsercizioSuccessivo</t>
  </si>
  <si>
    <t>ImmobilizzazioniFinanziarieCreditiVersoImpreseCollegateEsigibiliOltreEsercizioSuccessivo</t>
  </si>
  <si>
    <t>Totale crediti verso imprese collegate</t>
  </si>
  <si>
    <t>Total receivables due from associated companies</t>
  </si>
  <si>
    <t>ImmobilizzazioniFinanziarieCreditiVersoImpreseCollegateTotaleCreditiVersoImpreseCollegate</t>
  </si>
  <si>
    <t>c) verso controllanti</t>
  </si>
  <si>
    <t>ImmobilizzazioniFinanziarieCreditiVersoControllanti</t>
  </si>
  <si>
    <t>ImmobilizzazioniFinanziarieCreditiVersoControllantiEsigibiliEntroEsercizioSuccessivo</t>
  </si>
  <si>
    <t>ImmobilizzazioniFinanziarieCreditiVersoControllantiEsigibiliOltreEsercizioSuccessivo</t>
  </si>
  <si>
    <t>Totale crediti verso controllanti</t>
  </si>
  <si>
    <t>Total receivables due from parent companies</t>
  </si>
  <si>
    <t>ImmobilizzazioniFinanziarieCreditiVersoControllantiTotaleCreditiVersoControllanti</t>
  </si>
  <si>
    <t>ImmobilizzazioniFinanziarieCreditiVersoAltri</t>
  </si>
  <si>
    <t>ImmobilizzazioniFinanziarieCreditiVersoAltriEsigibiliEntroEsercizioSuccessivo</t>
  </si>
  <si>
    <t>ImmobilizzazioniFinanziarieCreditiVersoAltriEsigibiliOltreEsercizioSuccessivo</t>
  </si>
  <si>
    <t>Totale crediti verso imprese sottoposte al controllo delle controllanti</t>
  </si>
  <si>
    <t>Total receivables due from third parties</t>
  </si>
  <si>
    <t>ImmobilizzazioniFinanziarieCreditiVersoAltriTotaleCreditiVersoAltri</t>
  </si>
  <si>
    <r>
      <t>d-</t>
    </r>
    <r>
      <rPr>
        <sz val="10"/>
        <color rgb="FFFF0000"/>
        <rFont val="Verdana"/>
        <family val="2"/>
      </rPr>
      <t>bis</t>
    </r>
    <r>
      <rPr>
        <sz val="10"/>
        <color rgb="FF000000"/>
        <rFont val="Verdana"/>
        <family val="2"/>
      </rPr>
      <t>) verso altri</t>
    </r>
  </si>
  <si>
    <t>Totale crediti verso altri</t>
  </si>
  <si>
    <t>Totale crediti</t>
  </si>
  <si>
    <t>Total receivables</t>
  </si>
  <si>
    <t>ImmobilizzazioniFinanziarieCreditiTotaleCrediti</t>
  </si>
  <si>
    <t>3) altri titoli</t>
  </si>
  <si>
    <t>3) other securities</t>
  </si>
  <si>
    <t>ImmobilizzazioniFinanziarieAltriTitoli</t>
  </si>
  <si>
    <r>
      <t>4) </t>
    </r>
    <r>
      <rPr>
        <sz val="10"/>
        <color rgb="FFFF0000"/>
        <rFont val="Verdana"/>
        <family val="2"/>
      </rPr>
      <t>strumenti finanziari derivati attivi.</t>
    </r>
  </si>
  <si>
    <t>4) own shares</t>
  </si>
  <si>
    <t>ImmobilizzazioniFinanziarieAzioniProprie</t>
  </si>
  <si>
    <t>Totale immobilizzazioni finanziarie</t>
  </si>
  <si>
    <t>Total financial fixed assets</t>
  </si>
  <si>
    <t>TotaleImmobilizzazioniFinanziarie</t>
  </si>
  <si>
    <t>Totale immobilizzazioni (B)</t>
  </si>
  <si>
    <t>Total fixed assets (B)</t>
  </si>
  <si>
    <t>TotaleImmobilizzazioni</t>
  </si>
  <si>
    <t>C) Attivo circolante</t>
  </si>
  <si>
    <t>C) Current assets</t>
  </si>
  <si>
    <t>AttivoCircolante</t>
  </si>
  <si>
    <t>I - Rimanenze</t>
  </si>
  <si>
    <t>I - Inventories</t>
  </si>
  <si>
    <t>Rimanenze</t>
  </si>
  <si>
    <t>1) materie prime, sussidiarie e di consumo</t>
  </si>
  <si>
    <t>1) raw, ancillary and consumable materials</t>
  </si>
  <si>
    <t>RimanenzeMateriePrimeSussidiarieConsumo</t>
  </si>
  <si>
    <t>2) prodotti in corso di lavorazione e semilavorati</t>
  </si>
  <si>
    <t>2) work in progress and semi-finished products</t>
  </si>
  <si>
    <t>RimanenzeProdottiCorsoLavorazioneSemilavorati</t>
  </si>
  <si>
    <t>3) lavori in corso su ordinazione</t>
  </si>
  <si>
    <t>3) contract work in progress</t>
  </si>
  <si>
    <t>RimanenzeLavoriCorsoOrdinazione</t>
  </si>
  <si>
    <t>4) prodotti finiti e merci</t>
  </si>
  <si>
    <t>4) finished products and goods for resale</t>
  </si>
  <si>
    <t>RimanenzeProdottiFinitiMerci</t>
  </si>
  <si>
    <t>5) acconti</t>
  </si>
  <si>
    <t>5) advances</t>
  </si>
  <si>
    <t>RimanenzeAcconti</t>
  </si>
  <si>
    <t>Totale rimanenze</t>
  </si>
  <si>
    <t>Total inventories</t>
  </si>
  <si>
    <t>TotaleRimanenze</t>
  </si>
  <si>
    <t>II - Crediti</t>
  </si>
  <si>
    <t>II - Receivables</t>
  </si>
  <si>
    <t>Crediti</t>
  </si>
  <si>
    <t>1) verso clienti</t>
  </si>
  <si>
    <t>1) trade accounts</t>
  </si>
  <si>
    <t>CreditiVersoClienti</t>
  </si>
  <si>
    <t>CreditiVersoClientiEsigibiliEntroEsercizioSuccessivo</t>
  </si>
  <si>
    <t>CreditiVersoClientiEsigibiliOltreEsercizioSuccessivo</t>
  </si>
  <si>
    <t>Totale crediti verso clienti</t>
  </si>
  <si>
    <t>Total trade accounts</t>
  </si>
  <si>
    <t>CreditiVersoClientiTotaleCreditiVersoClienti</t>
  </si>
  <si>
    <t>2) verso imprese controllate</t>
  </si>
  <si>
    <t>2) due from subsidiary companies</t>
  </si>
  <si>
    <t>CreditiVersoImpreseControllate</t>
  </si>
  <si>
    <t>CreditiVersoImpreseControllateEsigibiliEntroEsercizioSuccessivo</t>
  </si>
  <si>
    <t>CreditiVersoImpreseControllateEsigibiliOltreEsercizioSuccessivo</t>
  </si>
  <si>
    <t>CreditiVersoImpreseControllateTotaleCreditiVersoImpreseControllate</t>
  </si>
  <si>
    <t>3) verso imprese collegate</t>
  </si>
  <si>
    <t>3) due from associated companies</t>
  </si>
  <si>
    <t>CreditiVersoImpreseCollegate</t>
  </si>
  <si>
    <t>CreditiVersoImpreseCollegateEsigibiliEntroEsercizioSuccessivo</t>
  </si>
  <si>
    <t>CreditiVersoImpreseCollegateEsigibiliOltreEsercizioSuccessivo</t>
  </si>
  <si>
    <t>CreditiVersoImpreseCollegateTotaleCreditiVersoImpreseCollegate</t>
  </si>
  <si>
    <t>4) verso controllanti</t>
  </si>
  <si>
    <t>4) due from parent companies</t>
  </si>
  <si>
    <t>CreditiVersoControllanti</t>
  </si>
  <si>
    <t>CreditiVersoControllantiEsigibiliEntroEsercizioSuccessivo</t>
  </si>
  <si>
    <t>CreditiVersoControllantiEsigibiliOltreEsercizioSuccessivo</t>
  </si>
  <si>
    <t>CreditiVersoControllantiTotaleCreditiVersoControllanti</t>
  </si>
  <si>
    <t>5) verso imprese sottoposte al controllo di controllanti</t>
  </si>
  <si>
    <r>
      <rPr>
        <sz val="8"/>
        <color rgb="FFFF0000"/>
        <rFont val="Arial"/>
        <family val="2"/>
      </rPr>
      <t>5-bis)</t>
    </r>
    <r>
      <rPr>
        <sz val="8"/>
        <rFont val="Arial"/>
        <family val="2"/>
      </rPr>
      <t xml:space="preserve"> crediti tributari</t>
    </r>
  </si>
  <si>
    <t>4-bis) due from tax authorities</t>
  </si>
  <si>
    <t>CreditiCreditiTributari</t>
  </si>
  <si>
    <t>CreditiCreditiTributariEsigibiliEntroEsercizioSuccessivo</t>
  </si>
  <si>
    <t>CreditiCreditiTributariEsigibiliOltreEsercizioSuccessivo</t>
  </si>
  <si>
    <t>Totale crediti tributari</t>
  </si>
  <si>
    <t>Total receivables due from tax authorities</t>
  </si>
  <si>
    <t>CreditiCreditiTributariTotaleCreditiTributari</t>
  </si>
  <si>
    <r>
      <rPr>
        <sz val="8"/>
        <color rgb="FFFF0000"/>
        <rFont val="Arial"/>
        <family val="2"/>
      </rPr>
      <t xml:space="preserve">5-ter) </t>
    </r>
    <r>
      <rPr>
        <sz val="8"/>
        <rFont val="Arial"/>
        <family val="2"/>
      </rPr>
      <t>imposte anticipate</t>
    </r>
  </si>
  <si>
    <t>4-ter) advances on tax payments</t>
  </si>
  <si>
    <t>CreditiImposteAnticipate</t>
  </si>
  <si>
    <t>CreditiImposteAnticipateEsigibiliEntroEsercizioSuccessivo</t>
  </si>
  <si>
    <t>CreditiImposteAnticipateEsigibiliOltreEsercizioSuccessivo</t>
  </si>
  <si>
    <t>Totale imposte anticipate</t>
  </si>
  <si>
    <t>Total advances on tax payments</t>
  </si>
  <si>
    <t>CreditiImposteAnticipateTotaleImposteAnticipate</t>
  </si>
  <si>
    <r>
      <rPr>
        <sz val="8"/>
        <color rgb="FFFF0000"/>
        <rFont val="Arial"/>
        <family val="2"/>
      </rPr>
      <t>5 quater)</t>
    </r>
    <r>
      <rPr>
        <sz val="8"/>
        <rFont val="Arial"/>
        <family val="2"/>
      </rPr>
      <t xml:space="preserve"> verso altri</t>
    </r>
  </si>
  <si>
    <t>5) due from third parties</t>
  </si>
  <si>
    <t>CreditiVersoAltri</t>
  </si>
  <si>
    <t>CreditiVersoAltriEsigibiliEntroEsercizioSuccessivo</t>
  </si>
  <si>
    <t>CreditiVersoAltriEsigibiliOltreEsercizioSuccessivo</t>
  </si>
  <si>
    <t>CreditiVersoAltriTotaleCreditiVersoAltri</t>
  </si>
  <si>
    <t>TotaleCrediti</t>
  </si>
  <si>
    <t>III - Attività finanziarie che non costituiscono immobilizzazioni</t>
  </si>
  <si>
    <t>III - Current financial assets</t>
  </si>
  <si>
    <t>AttivitaFinanziarieNonCostituisconoImmobilizzazioni</t>
  </si>
  <si>
    <t>1) partecipazioni in imprese controllate</t>
  </si>
  <si>
    <t>1) investments in subsidiary companies</t>
  </si>
  <si>
    <t>AttivitaFinanziarieNonCostituisconoImmobilizzazioniPartecipazioniImpreseControllate</t>
  </si>
  <si>
    <t>2) partecipazioni in imprese collegate</t>
  </si>
  <si>
    <t>2) investments in associated companies</t>
  </si>
  <si>
    <t>AttivitaFinanziarieNonCostituisconoImmobilizzazioniPartecipazioniImpreseCollegate</t>
  </si>
  <si>
    <t>3) partecipazioni in imprese controllanti</t>
  </si>
  <si>
    <t>3) investments in parent companies</t>
  </si>
  <si>
    <t>AttivitaFinanziarieNonCostituisconoImmobilizzazioniPartecipazioniImpreseControllanti</t>
  </si>
  <si>
    <t>3-bis) partecipazioni in imprese sottoposte al controllo di controllanti</t>
  </si>
  <si>
    <t>4) altre partecipazioni</t>
  </si>
  <si>
    <t>4) investments in other companies</t>
  </si>
  <si>
    <t>AttivitaFinanziarieNonCostituisconoImmobilizzazioniAltrePartecipazioni</t>
  </si>
  <si>
    <r>
      <t xml:space="preserve">5) </t>
    </r>
    <r>
      <rPr>
        <sz val="8"/>
        <color rgb="FFFF0000"/>
        <rFont val="Arial"/>
        <family val="2"/>
      </rPr>
      <t>strumenti finanziari derivati attivi</t>
    </r>
  </si>
  <si>
    <t>5) own shares</t>
  </si>
  <si>
    <t>AttivitaFinanziarieNonCostituisconoImmobilizzazioniAzioniProprie</t>
  </si>
  <si>
    <t>6) altri titoli.</t>
  </si>
  <si>
    <t>6) other securities</t>
  </si>
  <si>
    <t>AttivitaFinanziarieNonCostituisconoImmobilizzazioniAltriTitoli</t>
  </si>
  <si>
    <t>Totale attività finanziarie che non costituiscono immobilizzazioni</t>
  </si>
  <si>
    <t>Total financial current assets</t>
  </si>
  <si>
    <t>TotaleAttivitaFinanziarieNonCostituisconoImmobilizzazioni</t>
  </si>
  <si>
    <t>IV - Disponibilità liquide</t>
  </si>
  <si>
    <t>IV - Liquid funds</t>
  </si>
  <si>
    <t>DisponibilitaLiquide</t>
  </si>
  <si>
    <t>1) depositi bancari e postali</t>
  </si>
  <si>
    <t>1) bank and post office deposits</t>
  </si>
  <si>
    <t>DisponibilitaLiquideDepositiBancariPostali</t>
  </si>
  <si>
    <t>2) assegni</t>
  </si>
  <si>
    <t>2) cheques</t>
  </si>
  <si>
    <t>DisponibilitaLiquideAssegni</t>
  </si>
  <si>
    <t>3) danaro e valori in cassa.</t>
  </si>
  <si>
    <t>3) cash and equivalents on hand</t>
  </si>
  <si>
    <t>DisponibilitaLiquideDanaroValoriCassa</t>
  </si>
  <si>
    <t>Totale disponibilità liquide</t>
  </si>
  <si>
    <t>Total liquid funds</t>
  </si>
  <si>
    <t>TotaleDisponibilitaLiquide</t>
  </si>
  <si>
    <t>Totale attivo circolante (C)</t>
  </si>
  <si>
    <t>Total current assets (C)</t>
  </si>
  <si>
    <t>TotaleAttivoCircolante</t>
  </si>
  <si>
    <t>D) Ratei e risconti</t>
  </si>
  <si>
    <t>D) Accrued income and prepayments</t>
  </si>
  <si>
    <t>AttivoRateiRisconti</t>
  </si>
  <si>
    <t>Ratei e risconti attivi</t>
  </si>
  <si>
    <t>accrued income and prepayments</t>
  </si>
  <si>
    <t>AttivoRateiRiscontiRateiRiscontiAttivi</t>
  </si>
  <si>
    <t>Disaggio su prestiti emessi</t>
  </si>
  <si>
    <t>amortisable discount on issued debt</t>
  </si>
  <si>
    <t>AttivoRateiRiscontiDisaggioPrestitiEmessi</t>
  </si>
  <si>
    <t>Totale ratei e risconti (D)</t>
  </si>
  <si>
    <t>Total accrued income and prepayments (D)</t>
  </si>
  <si>
    <t>AttivoRateiRiscontiTotaleRateiRisconti</t>
  </si>
  <si>
    <t>Totale attivo</t>
  </si>
  <si>
    <t>Total assets</t>
  </si>
  <si>
    <t>TotaleAttivo</t>
  </si>
  <si>
    <t>Passivo</t>
  </si>
  <si>
    <t>Liabilities and shareholders' equity</t>
  </si>
  <si>
    <t>A) Patrimonio netto</t>
  </si>
  <si>
    <t>A) Shareholders' equity</t>
  </si>
  <si>
    <t>PatrimonioNetto</t>
  </si>
  <si>
    <t>I - Capitale.</t>
  </si>
  <si>
    <t>I - Share capital</t>
  </si>
  <si>
    <t>PatrimonioNettoCapitale</t>
  </si>
  <si>
    <t>II - Riserva da soprapprezzo delle azioni.</t>
  </si>
  <si>
    <t>II - Share premium reserve</t>
  </si>
  <si>
    <t>PatrimonioNettoRiservaSoprapprezzoAzioni</t>
  </si>
  <si>
    <t>III - Riserve di rivalutazione.</t>
  </si>
  <si>
    <t>III - Revaluation reserves</t>
  </si>
  <si>
    <t>PatrimonioNettoRiserveRivalutazione</t>
  </si>
  <si>
    <t>IV - Riserva legale.</t>
  </si>
  <si>
    <t>IV - Legal reserve</t>
  </si>
  <si>
    <t>PatrimonioNettoRiservaLegale</t>
  </si>
  <si>
    <t>V - Riserve statutarie</t>
  </si>
  <si>
    <t>V - Reserve for own shares in portfolio</t>
  </si>
  <si>
    <t>PatrimonioNettoRiserveStatutarie</t>
  </si>
  <si>
    <r>
      <rPr>
        <sz val="9"/>
        <color rgb="FFFF0000"/>
        <rFont val="Arial"/>
        <family val="2"/>
      </rPr>
      <t>VI</t>
    </r>
    <r>
      <rPr>
        <sz val="9"/>
        <rFont val="Arial"/>
        <family val="2"/>
      </rPr>
      <t xml:space="preserve"> - Altre riserve, distintamente indicate.</t>
    </r>
  </si>
  <si>
    <t>VII - Other reserves</t>
  </si>
  <si>
    <t>PatrimonioNettoAltreRiserveDistintamenteIndicate</t>
  </si>
  <si>
    <t>Riserva straordinaria o facoltativa</t>
  </si>
  <si>
    <t>Special reserve</t>
  </si>
  <si>
    <t>PatrimonioNettoAltreRiserveDistintamenteIndicateRiservaStraordinariaFacoltativa</t>
  </si>
  <si>
    <t>Riserva per rinnovamento impianti e macchinari</t>
  </si>
  <si>
    <t>Plant and equipment renewal reserve</t>
  </si>
  <si>
    <t>PatrimonioNettoAltreRiserveDistintamenteIndicateRiservaRinnovamentoImpiantiMacchinari</t>
  </si>
  <si>
    <t>Riserva ammortamento anticipato</t>
  </si>
  <si>
    <t>Advance depreciation/amortization reserve</t>
  </si>
  <si>
    <t>PatrimonioNettoAltreRiserveDistintamenteIndicateRiservaAmmortamentoAnticipato</t>
  </si>
  <si>
    <t>Riserva per acquisto azioni proprie.</t>
  </si>
  <si>
    <t>Reserve for the purchase of own shares</t>
  </si>
  <si>
    <t>PatrimonioNettoAltreRiserveDistintamenteIndicateRiservaAcquistoAzioniProprie</t>
  </si>
  <si>
    <t>Riserva da deroghe ex art. 2423 Cod. Civ</t>
  </si>
  <si>
    <t>Reserve related to exemption as per art. 2423 of the Civil Code</t>
  </si>
  <si>
    <t>PatrimonioNettoAltreRiserveDistintamenteIndicateRiservaDerogheExArt2423CodCiv</t>
  </si>
  <si>
    <t>Riserva azioni (quote) della società controllante</t>
  </si>
  <si>
    <t>Shares reserve of the parent entity</t>
  </si>
  <si>
    <t>PatrimonioNettoAltreRiserveDistintamenteIndicateRiservaAzioniQuoteSocietaControllante</t>
  </si>
  <si>
    <t>Riserva non distribuibile da rivalutazione delle partecipazioni</t>
  </si>
  <si>
    <t>Non distributable revaluation reserve</t>
  </si>
  <si>
    <t>PatrimonioNettoAltreRiserveDistintamenteIndicateRiservaNonDistribuibileRivalutazionePartecipazioni</t>
  </si>
  <si>
    <t>Versamenti in conto aumento di capitale</t>
  </si>
  <si>
    <t>Contributions for capital increase</t>
  </si>
  <si>
    <t>PatrimonioNettoAltreRiserveDistintamenteIndicateVersamentiContoAumentoCapitale</t>
  </si>
  <si>
    <t>Versamenti in conto futuro aumento di capitale</t>
  </si>
  <si>
    <t>Contributions for future capital increase</t>
  </si>
  <si>
    <t>PatrimonioNettoAltreRiserveDistintamenteIndicateVersamentiContoFuturoAumentoCapitale</t>
  </si>
  <si>
    <t>Versamenti in conto capitale</t>
  </si>
  <si>
    <t>PatrimonioNettoAltreRiserveDistintamenteIndicateVersamentiContoCapitale</t>
  </si>
  <si>
    <t>Versamenti a copertura perdite</t>
  </si>
  <si>
    <t>PatrimonioNettoAltreRiserveDistintamenteIndicateVersamentiCoperturaPerdite</t>
  </si>
  <si>
    <t>Riserva da riduzione capitale sociale</t>
  </si>
  <si>
    <t>Capital reduction reserve</t>
  </si>
  <si>
    <t>PatrimonioNettoAltreRiserveDistintamenteIndicateRiservaRiduzioneCapitaleSociale</t>
  </si>
  <si>
    <t>Riserva avanzo di fusione</t>
  </si>
  <si>
    <t>Merger surplus reserve</t>
  </si>
  <si>
    <t>PatrimonioNettoAltreRiserveDistintamenteIndicateRiservaAvanzoFusione</t>
  </si>
  <si>
    <t>Riserva per utili su cambi</t>
  </si>
  <si>
    <t>Reserve for returns on exchange rate</t>
  </si>
  <si>
    <t>PatrimonioNettoAltreRiserveDistintamenteIndicateRiservaUtiliCambi</t>
  </si>
  <si>
    <t>Differences arising from rounding to the Euro unit</t>
  </si>
  <si>
    <t>PatrimonioNettoAltreRiserveDistintamenteIndicateDifferenzaArrotondamentoUnitaEuro</t>
  </si>
  <si>
    <t>Riserve da condono fiscale:</t>
  </si>
  <si>
    <t>Reserve from tax amnesty</t>
  </si>
  <si>
    <t>PatrimonioNettoAltreRiserveDistintamenteIndicateRiserveCondonoFiscale</t>
  </si>
  <si>
    <t>Riserva da condono ex L. 19 dicembre 1973, n. 823;</t>
  </si>
  <si>
    <t>Reserve from tax amnesty as per Law 823 of 19 December 1973;</t>
  </si>
  <si>
    <t>PatrimonioNettoAltreRiserveDistintamenteIndicateRiserveCondonoFiscaleRiservaCondonoExL19Dicembre1973N823</t>
  </si>
  <si>
    <t>Riserva da condono ex L. 7 agosto 1982, n. 516;</t>
  </si>
  <si>
    <t>Reserve from tax amnesty as per Law 516 of 7 August 1982;</t>
  </si>
  <si>
    <t>PatrimonioNettoAltreRiserveDistintamenteIndicateRiserveCondonoFiscaleRiservaCondonoExL7Agosto1982N516</t>
  </si>
  <si>
    <t>Riserva da condono ex L. 30 dicembre 1991, n. 413.</t>
  </si>
  <si>
    <t>Reserve from tax amnesty as per Law 413 of 30 December 1991;</t>
  </si>
  <si>
    <t>PatrimonioNettoAltreRiserveDistintamenteIndicateRiserveCondonoFiscaleRiservaCondonoExL30Dicembre1991N413</t>
  </si>
  <si>
    <t>Riserva da condono ex L. 27 dicembre 2002, n. 289.</t>
  </si>
  <si>
    <t>PatrimonioNettoAltreRiserveDistintamenteIndicateRiserveCondonoFiscaleRiservaCondonoExL27Dicembre2002N289</t>
  </si>
  <si>
    <t>Totale riserve da condono fiscale</t>
  </si>
  <si>
    <t>Total reserves from tax amnesty</t>
  </si>
  <si>
    <t>PatrimonioNettoAltreRiserveDistintamenteIndicateRiserveCondonoFiscaleTotaleRiserveCondonoFiscale</t>
  </si>
  <si>
    <t>VII - Riserva per operazioni di copertura dei flussi finanziari attesi</t>
  </si>
  <si>
    <t>Miscellaneous other reserves</t>
  </si>
  <si>
    <t>PatrimonioNettoAltreRiserveDistintamenteIndicateVarieAltreRiserve</t>
  </si>
  <si>
    <t>Totale altre riserve</t>
  </si>
  <si>
    <t>Total other reserves</t>
  </si>
  <si>
    <t>PatrimonioNettoAltreRiserveDistintamenteIndicateTotaleAltreRiserve</t>
  </si>
  <si>
    <t>VIII - Utili (perdite) portati a nuovo.</t>
  </si>
  <si>
    <t>VIII - Retained earnings (accumulated losses)</t>
  </si>
  <si>
    <t>PatrimonioNettoUtiliPerditePortatiNuovo</t>
  </si>
  <si>
    <t>IX - Utile (perdita) dell'esercizio.</t>
  </si>
  <si>
    <t>IX - Net profit (loss) for the year</t>
  </si>
  <si>
    <t>PatrimonioNettoUtilePerditaEsercizio</t>
  </si>
  <si>
    <t>Utile (perdita) dell'esercizio.</t>
  </si>
  <si>
    <t>Net profit (loss) for the year</t>
  </si>
  <si>
    <t>PatrimonioNettoUtilePerditaEsercizioUtilePerditaEsercizio</t>
  </si>
  <si>
    <t>Acconti su dividendi</t>
  </si>
  <si>
    <t>Accounts on dividends</t>
  </si>
  <si>
    <t>PatrimonioNettoUtilePerditaEsercizioAccontiDividendi</t>
  </si>
  <si>
    <t>Copertura parziale perdita d'esercizio</t>
  </si>
  <si>
    <t>Partial coverage of losses for the period</t>
  </si>
  <si>
    <t>PatrimonioNettoUtilePerditaEsercizioCoperturaParzialePerditaEsercizio</t>
  </si>
  <si>
    <t>Utile (perdita) residua</t>
  </si>
  <si>
    <t>Residual net profit (loss) for the year</t>
  </si>
  <si>
    <t>PatrimonioNettoUtilePerditaEsercizioUtilePerditaResidua</t>
  </si>
  <si>
    <t>X - Riserva negativa per azioni proprie in portafoglio</t>
  </si>
  <si>
    <t>Totale patrimonio netto</t>
  </si>
  <si>
    <t>Total shareholders' equity</t>
  </si>
  <si>
    <t>TotalePatrimonioNetto</t>
  </si>
  <si>
    <t>B) Fondi per rischi e oneri</t>
  </si>
  <si>
    <t>B) Reserves for contingencies and other charges</t>
  </si>
  <si>
    <t>FondiRischiOneri</t>
  </si>
  <si>
    <t>1) per trattamento di quiescenza e obblighi simili</t>
  </si>
  <si>
    <t>1) pension and similar commitments</t>
  </si>
  <si>
    <t>FondiRischiOneriTrattamentoQuiescenzaObblighiSimili</t>
  </si>
  <si>
    <t>2) per imposte, anche differite</t>
  </si>
  <si>
    <t>2) taxation</t>
  </si>
  <si>
    <t>FondiRischiOneriImposteAncheDifferite</t>
  </si>
  <si>
    <t>3) strumenti finanziari derivati passivi</t>
  </si>
  <si>
    <r>
      <rPr>
        <sz val="9"/>
        <color rgb="FFFF0000"/>
        <rFont val="Arial"/>
        <family val="2"/>
      </rPr>
      <t>4</t>
    </r>
    <r>
      <rPr>
        <sz val="9"/>
        <rFont val="Arial"/>
        <family val="2"/>
      </rPr>
      <t>) altri</t>
    </r>
  </si>
  <si>
    <t>3) other</t>
  </si>
  <si>
    <t>FondiRischiOneriAltri</t>
  </si>
  <si>
    <t>Totale fondi per rischi ed oneri</t>
  </si>
  <si>
    <t xml:space="preserve">Total reserves for contingencies and other charges </t>
  </si>
  <si>
    <t>TotaleFondiRischiOneri</t>
  </si>
  <si>
    <t>C) Trattamento di fine rapporto di lavoro subordinato.</t>
  </si>
  <si>
    <t>C) Reserve for severance indemnities (TFR)</t>
  </si>
  <si>
    <t>TrattamentoFineRapportoLavoroSubordinato</t>
  </si>
  <si>
    <t>D) Debiti</t>
  </si>
  <si>
    <t>D) Payables</t>
  </si>
  <si>
    <t>Debiti</t>
  </si>
  <si>
    <t>1) obbligazioni</t>
  </si>
  <si>
    <t>1) bonds</t>
  </si>
  <si>
    <t>DebitiObbligazioni</t>
  </si>
  <si>
    <t>DebitiObbligazioniEsigibiliEntroEsercizioSuccessivo</t>
  </si>
  <si>
    <t>DebitiObbligazioniEsigibiliOltreEsercizioSuccessivo</t>
  </si>
  <si>
    <t>Totale obbligazioni</t>
  </si>
  <si>
    <t>Total bonds</t>
  </si>
  <si>
    <t>DebitiObbligazioniTotaleObbligazioni</t>
  </si>
  <si>
    <t>2) obbligazioni convertibili</t>
  </si>
  <si>
    <t>2) convertible bonds</t>
  </si>
  <si>
    <t>DebitiObbligazioniConvertibili</t>
  </si>
  <si>
    <t>DebitiObbligazioniConvertibiliEsigibiliEntroEsercizioSuccessivo</t>
  </si>
  <si>
    <t>DebitiObbligazioniConvertibiliEsigibiliOltreEsercizioSuccessivo</t>
  </si>
  <si>
    <t>Totale obbligazioni convertibili</t>
  </si>
  <si>
    <t>Total convertible bonds</t>
  </si>
  <si>
    <t>DebitiObbligazioniConvertibiliTotaleObbligazioniConvertibili</t>
  </si>
  <si>
    <t>3) debiti verso soci per finanziamenti</t>
  </si>
  <si>
    <t>3) due to partners for financing</t>
  </si>
  <si>
    <t>DebitiDebitiVersoSociFinanziamenti</t>
  </si>
  <si>
    <t>DebitiDebitiVersoSociFinanziamentiEsigibiliEntroEsercizioSuccessivo</t>
  </si>
  <si>
    <t>DebitiDebitiVersoSociFinanziamentiEsigibiliOltreEsercizioSuccessivo</t>
  </si>
  <si>
    <t>Totale debiti verso soci per finanziamenti</t>
  </si>
  <si>
    <t>Total payables due to partners for financing</t>
  </si>
  <si>
    <t>DebitiDebitiVersoSociFinanziamentiTotaleDebitiVersoSociFinanziamenti</t>
  </si>
  <si>
    <t>4) debiti verso banche</t>
  </si>
  <si>
    <t>4) due to banks</t>
  </si>
  <si>
    <t>DebitiDebitiVersoBanche</t>
  </si>
  <si>
    <t>DebitiDebitiVersoBancheEsigibiliEntroEsercizioSuccessivo</t>
  </si>
  <si>
    <t>DebitiDebitiVersoBancheEsigibiliOltreEsercizioSuccessivo</t>
  </si>
  <si>
    <t>Totale debiti verso banche</t>
  </si>
  <si>
    <t>Total payables due to banks</t>
  </si>
  <si>
    <t>DebitiDebitiVersoBancheTotaleDebitiVersoBanche</t>
  </si>
  <si>
    <t>5) debiti verso altri finanziatori</t>
  </si>
  <si>
    <t>5) due to other providers of finance</t>
  </si>
  <si>
    <t>DebitiDebitiVersoAltriFinanziatori</t>
  </si>
  <si>
    <t>DebitiDebitiVersoAltriFinanziatoriEsigibiliEntroEsercizioSuccessivo</t>
  </si>
  <si>
    <t>DebitiDebitiVersoAltriFinanziatoriEsigibiliOltreEsercizioSuccessivo</t>
  </si>
  <si>
    <t>Totale debiti verso altri finanziatori</t>
  </si>
  <si>
    <t>Total payables due to other providers of finance</t>
  </si>
  <si>
    <t>DebitiDebitiVersoAltriFinanziatoriTotaleDebitiVersoAltriFinanziatori</t>
  </si>
  <si>
    <t>6) acconti</t>
  </si>
  <si>
    <t>6) advances</t>
  </si>
  <si>
    <t>DebitiAcconti</t>
  </si>
  <si>
    <t>DebitiAccontiEsigibiliEntroEsercizioSuccessivo</t>
  </si>
  <si>
    <t>DebitiAccontiEsigibiliOltreEsercizioSuccessivo</t>
  </si>
  <si>
    <t>Totale  acconti</t>
  </si>
  <si>
    <t>Total advances</t>
  </si>
  <si>
    <t>DebitiAccontiTotaleAcconti</t>
  </si>
  <si>
    <t>7) debiti verso fornitori</t>
  </si>
  <si>
    <t>7) trade accounts</t>
  </si>
  <si>
    <t>DebitiDebitiVersoFornitori</t>
  </si>
  <si>
    <t>DebitiDebitiVersoFornitoriEsigibiliEntroEsercizioSuccessivo</t>
  </si>
  <si>
    <t>DebitiDebitiVersoFornitoriEsigibiliOltreEsercizioSuccessivo</t>
  </si>
  <si>
    <t>Totale debiti verso fornitori</t>
  </si>
  <si>
    <t>DebitiDebitiVersoFornitoriTotaleDebitiVersoFornitori</t>
  </si>
  <si>
    <t>8) debiti rappresentati da titoli di credito</t>
  </si>
  <si>
    <t>8) payables represented by credit instruments</t>
  </si>
  <si>
    <t>DebitiDebitiRappresentatiTitoliCredito</t>
  </si>
  <si>
    <t>DebitiDebitiRappresentatiTitoliCreditoEsigibiliEntroEsercizioSuccessivo</t>
  </si>
  <si>
    <t>DebitiDebitiRappresentatiTitoliCreditoEsigibiliOltreEsercizioSuccessivo</t>
  </si>
  <si>
    <t>Totale debiti rappresentati da titoli di credito</t>
  </si>
  <si>
    <t>Total payables represented by credit instruments</t>
  </si>
  <si>
    <t>DebitiDebitiRappresentatiTitoliCreditoTotaleDebitiRappresentatiTitoliCredito</t>
  </si>
  <si>
    <t>9) debiti verso imprese controllate</t>
  </si>
  <si>
    <t>9) due to subsidiary companies</t>
  </si>
  <si>
    <t>DebitiDebitiVersoImpreseControllate</t>
  </si>
  <si>
    <t>DebitiDebitiVersoImpreseControllateEsigibiliEntroEsercizioSuccessivo</t>
  </si>
  <si>
    <t>DebitiDebitiVersoImpreseControllateEsigibiliOltreEsercizioSuccessivo</t>
  </si>
  <si>
    <t>Totale debiti verso imprese controllate</t>
  </si>
  <si>
    <t>Total payables due to subsidiary companies</t>
  </si>
  <si>
    <t>DebitiDebitiVersoImpreseControllateTotaleDebitiVersoImpreseControllate</t>
  </si>
  <si>
    <t>10) debiti verso imprese collegate</t>
  </si>
  <si>
    <t>10) due to associated companies</t>
  </si>
  <si>
    <t>DebitiDebitiVersoImpreseCollegate</t>
  </si>
  <si>
    <t>DebitiDebitiVersoImpreseCollegateEsigibiliEntroEsercizioSuccessivo</t>
  </si>
  <si>
    <t>DebitiDebitiVersoImpreseCollegateEsigibiliOltreEsercizioSuccessivo</t>
  </si>
  <si>
    <t>Totale debiti verso imprese collegate</t>
  </si>
  <si>
    <t>Total payables due to associated companies</t>
  </si>
  <si>
    <t>DebitiDebitiVersoImpreseCollegateTotaleDebitiVersoImpreseCollegate</t>
  </si>
  <si>
    <t>11) debiti verso controllanti</t>
  </si>
  <si>
    <t>11) due to parent companies</t>
  </si>
  <si>
    <t>DebitiDebitiVersoControllanti</t>
  </si>
  <si>
    <t>DebitiDebitiVersoControllantiEsigibiliEntroEsercizioSuccessivo</t>
  </si>
  <si>
    <t>DebitiDebitiVersoControllantiEsigibiliOltreEsercizioSuccessivo</t>
  </si>
  <si>
    <t>Totale debiti verso controllanti</t>
  </si>
  <si>
    <t>Total payables due to parent companies</t>
  </si>
  <si>
    <t>DebitiDebitiVersoControllantiTotaleDebitiVersoControllanti</t>
  </si>
  <si>
    <t>11bis) debiti verso imprese sottoposte al controllo di controllanti</t>
  </si>
  <si>
    <t>12) debiti tributari</t>
  </si>
  <si>
    <t>12) due to tax authorities</t>
  </si>
  <si>
    <t>DebitiDebitiTributari</t>
  </si>
  <si>
    <t>DebitiDebitiTributariEsigibiliEntroEsercizioSuccessivo</t>
  </si>
  <si>
    <t>DebitiDebitiTributariEsigibiliOltreEsercizioSuccessivo</t>
  </si>
  <si>
    <t>Totale debiti tributari</t>
  </si>
  <si>
    <t>Total payables due to tax authorities</t>
  </si>
  <si>
    <t>DebitiDebitiTributariTotaleDebitiTributari</t>
  </si>
  <si>
    <t>13) debiti verso istituti di previdenza e di sicurezza sociale</t>
  </si>
  <si>
    <t>13) due to social security and welfare institutions</t>
  </si>
  <si>
    <t>DebitiDebitiVersoIstitutiPrevidenzaSicurezzaSociale</t>
  </si>
  <si>
    <t>DebitiDebitiVersoIstitutiPrevidenzaSicurezzaSocialeEsigibiliEntroEsercizioSuccessivo</t>
  </si>
  <si>
    <t>DebitiDebitiVersoIstitutiPrevidenzaSicurezzaSocialeEsigibiliOltreEsercizioSuccessivo</t>
  </si>
  <si>
    <t>Totale debiti verso istituti di previdenza e di sicurezza sociale</t>
  </si>
  <si>
    <t>Total payables due to social security and welfare institutions</t>
  </si>
  <si>
    <t>DebitiDebitiVersoIstitutiPrevidenzaSicurezzaSocialeTotaleDebitiVersoIstitutiPrevidenzaSicurezzaSociale</t>
  </si>
  <si>
    <t>14) altri debiti</t>
  </si>
  <si>
    <t>14) other payables</t>
  </si>
  <si>
    <t>DebitiAltriDebiti</t>
  </si>
  <si>
    <t>DebitiAltriDebitiEsigibiliEntroEsercizioSuccessivo</t>
  </si>
  <si>
    <t>DebitiAltriDebitiEsigibiliOltreEsercizioSuccessivo</t>
  </si>
  <si>
    <t>Totale altri debiti</t>
  </si>
  <si>
    <t>Total other payables</t>
  </si>
  <si>
    <t>DebitiAltriDebitiTotaleAltriDebiti</t>
  </si>
  <si>
    <t>Totale debiti</t>
  </si>
  <si>
    <t>Total payables (D)</t>
  </si>
  <si>
    <t>TotaleDebiti</t>
  </si>
  <si>
    <t>E) Ratei e risconti</t>
  </si>
  <si>
    <t>E) Accrued liabilities and deferred income</t>
  </si>
  <si>
    <t>PassivoRateiRisconti</t>
  </si>
  <si>
    <t>Ratei e risconti passivi</t>
  </si>
  <si>
    <t>accrued liabilities and deferred income</t>
  </si>
  <si>
    <t>PassivoRateiRiscontiRateiRiscontiPassivi</t>
  </si>
  <si>
    <t>Aggio su prestiti emessi</t>
  </si>
  <si>
    <t>premium on issued debt</t>
  </si>
  <si>
    <t>PassivoRateiRiscontiAggioPrestitiEmessi</t>
  </si>
  <si>
    <t>Totale ratei e risconti</t>
  </si>
  <si>
    <t>Total accrued liabilities and deferred income</t>
  </si>
  <si>
    <t>PassivoRateiRiscontiTotaleRateiRisconti</t>
  </si>
  <si>
    <t>Totale passivo</t>
  </si>
  <si>
    <t>Total liabilities and shareholders' equity</t>
  </si>
  <si>
    <t>TotalePassivo</t>
  </si>
  <si>
    <t>Conto economico a valore e costo della produzione (schema civilistico)</t>
  </si>
  <si>
    <t>Ce</t>
  </si>
  <si>
    <t>input</t>
  </si>
  <si>
    <t>Conto economico</t>
  </si>
  <si>
    <t>Income statement (value and cost of production)</t>
  </si>
  <si>
    <t>ContoEconomico</t>
  </si>
  <si>
    <t>A) Valore della produzione:</t>
  </si>
  <si>
    <t>A) Value of production</t>
  </si>
  <si>
    <t>ValoreProduzione</t>
  </si>
  <si>
    <t>1) ricavi delle vendite e delle prestazioni</t>
  </si>
  <si>
    <t>1) Revenues from sales and services</t>
  </si>
  <si>
    <t>ValoreProduzioneRicaviVenditePrestazioni</t>
  </si>
  <si>
    <t>2) variazioni delle rimanenze di prodotti in corso di lavorazione, semilavorati e finiti</t>
  </si>
  <si>
    <t>2) Change in work in progress, semi-finished and finished products</t>
  </si>
  <si>
    <t>ValoreProduzioneVariazioniRimanenzeProdottiCorsoLavorazioneSemilavoratiFiniti</t>
  </si>
  <si>
    <t>3) variazioni dei lavori in corso su ordinazione</t>
  </si>
  <si>
    <t>3) Change in contract work in progress</t>
  </si>
  <si>
    <t>ValoreProduzioneVariazioniLavoriCorsoOrdinazione</t>
  </si>
  <si>
    <t>4) incrementi di immobilizzazioni per lavori interni</t>
  </si>
  <si>
    <t>4) Increases in internally constructuied fixed assets</t>
  </si>
  <si>
    <t>ValoreProduzioneIncrementiImmobilizzazioniLavoriInterni</t>
  </si>
  <si>
    <t>5) altri ricavi e proventi</t>
  </si>
  <si>
    <t>5) Other income and revenues</t>
  </si>
  <si>
    <t>ValoreProduzioneAltriRicaviProventi</t>
  </si>
  <si>
    <t>contributi in conto esercizio</t>
  </si>
  <si>
    <t>operating grants</t>
  </si>
  <si>
    <t>ValoreProduzioneAltriRicaviProventiContributiContoEsercizio</t>
  </si>
  <si>
    <t>altri</t>
  </si>
  <si>
    <t>other operating income</t>
  </si>
  <si>
    <t>ValoreProduzioneAltriRicaviProventiAltri</t>
  </si>
  <si>
    <t>Totale altri ricavi e proventi</t>
  </si>
  <si>
    <t>Total Other income and revenues</t>
  </si>
  <si>
    <t>ValoreProduzioneAltriRicaviProventiTotaleAltriRicaviProventi</t>
  </si>
  <si>
    <t>Totale valore della produzione</t>
  </si>
  <si>
    <t>Total value of production</t>
  </si>
  <si>
    <t>TotaleValoreProduzione</t>
  </si>
  <si>
    <t>B) Costi della produzione:</t>
  </si>
  <si>
    <t>B) Cost of production</t>
  </si>
  <si>
    <t>CostiProduzione</t>
  </si>
  <si>
    <t>6) per materie prime, sussidiarie, di consumo e di merci</t>
  </si>
  <si>
    <t>6) Raw, ancillary and consumable materials and goods for resale</t>
  </si>
  <si>
    <t>CostiProduzioneMateriePrimeSussidiarieConsumoMerci</t>
  </si>
  <si>
    <t>7) per servizi</t>
  </si>
  <si>
    <t>7) Services</t>
  </si>
  <si>
    <t>CostiProduzioneServizi</t>
  </si>
  <si>
    <t>8) per godimento di beni di terzi</t>
  </si>
  <si>
    <t>8) Use of third party assets</t>
  </si>
  <si>
    <t>CostiProduzioneGodimentoBeniTerzi</t>
  </si>
  <si>
    <t>9) per il personale:</t>
  </si>
  <si>
    <t>9) Payroll and related costs</t>
  </si>
  <si>
    <t>CostiProduzionePersonale</t>
  </si>
  <si>
    <t>a) salari e stipendi</t>
  </si>
  <si>
    <t>a) wages and salaries</t>
  </si>
  <si>
    <t>CostiProduzionePersonaleSalariStipendi</t>
  </si>
  <si>
    <t>b) oneri sociali</t>
  </si>
  <si>
    <t>b) related salaries</t>
  </si>
  <si>
    <t>CostiProduzionePersonaleOneriSociali</t>
  </si>
  <si>
    <t>c) trattamento di fine rapporto</t>
  </si>
  <si>
    <t>c) severance</t>
  </si>
  <si>
    <t>CostiProduzionePersonaleTrattamentoFineRapporto</t>
  </si>
  <si>
    <t>d) trattamento di quiescenza e simili</t>
  </si>
  <si>
    <t>d) pensions and similar commitments</t>
  </si>
  <si>
    <t>CostiProduzionePersonaleTrattamentoQuiescenzaSimili</t>
  </si>
  <si>
    <t>e) altri costi</t>
  </si>
  <si>
    <t>e) other costs</t>
  </si>
  <si>
    <t>CostiProduzionePersonaleAltriCosti</t>
  </si>
  <si>
    <t>Totale costi per il personale</t>
  </si>
  <si>
    <t>Total payroll and related costs</t>
  </si>
  <si>
    <t>CostiProduzionePersonaleTotaleCostiPersonale</t>
  </si>
  <si>
    <t>10) ammortamenti e svalutazioni:</t>
  </si>
  <si>
    <t>10) Amortisation, depreciation and writedowns</t>
  </si>
  <si>
    <t>CostiProduzioneAmmortamentiSvalutazioni</t>
  </si>
  <si>
    <t>a) ammortamento delle immobilizzazioni immateriali</t>
  </si>
  <si>
    <t>a) amortisation of intangible fixed assets</t>
  </si>
  <si>
    <t>CostiProduzioneAmmortamentiSvalutazioniAmmortamentoImmobilizzazioniImmateriali</t>
  </si>
  <si>
    <t>b) ammortamento delle immobilizzazioni materiali</t>
  </si>
  <si>
    <t>b) depreciation of tangible fixed assets</t>
  </si>
  <si>
    <t>CostiProduzioneAmmortamentiSvalutazioniAmmortamentoImmobilizzazioniMateriali</t>
  </si>
  <si>
    <t>c) altre svalutazioni delle immobilizzazioni</t>
  </si>
  <si>
    <t>c) other amounts written off fixed assets</t>
  </si>
  <si>
    <t>CostiProduzioneAmmortamentiSvalutazioniAltreSvalutazioniImmobilizzazioni</t>
  </si>
  <si>
    <t>d) svalutazioni dei crediti compresi nell'attivo circolante e delle disponibilità liquide</t>
  </si>
  <si>
    <t>d) writedowns of accounts included among current assets</t>
  </si>
  <si>
    <t>CostiProduzioneAmmortamentiSvalutazioniSvalutazioniCreditiCompresiAttivoCircolanteDisponibilitaLiquide</t>
  </si>
  <si>
    <t>Totale ammortamenti e svalutazioni</t>
  </si>
  <si>
    <t>Total Amortisation, depreciation and writedowns</t>
  </si>
  <si>
    <t>CostiProduzioneAmmortamentiSvalutazioniTotaleAmmortamentiSvalutazioni</t>
  </si>
  <si>
    <t>11) variazioni delle rimanenze di materie prime, sussidiarie, di consumo e merci</t>
  </si>
  <si>
    <t>11) Changes in inventories of raw, ancillary and consumable materials and goods for resale</t>
  </si>
  <si>
    <t>CostiProduzioneVariazioniRimanenzeMateriePrimeSussidiarieConsumoMerci</t>
  </si>
  <si>
    <t>12) accantonamenti per rischi</t>
  </si>
  <si>
    <t>12) Provisions for contingencies and other charges</t>
  </si>
  <si>
    <t>CostiProduzioneAccantonamentiRischi</t>
  </si>
  <si>
    <t>13) altri accantonamenti</t>
  </si>
  <si>
    <t>13) Other provisions</t>
  </si>
  <si>
    <t>CostiProduzioneAltriAccantonamenti</t>
  </si>
  <si>
    <t>14) oneri diversi di gestione</t>
  </si>
  <si>
    <t>14) Other operating expenses</t>
  </si>
  <si>
    <t>CostiProduzioneOneriDiversiGestione</t>
  </si>
  <si>
    <t>Totale costi della produzione</t>
  </si>
  <si>
    <t>Total cost of production</t>
  </si>
  <si>
    <t>TotaleCostiProduzione</t>
  </si>
  <si>
    <t>Differenza tra valore e costi della produzione (A - B)</t>
  </si>
  <si>
    <t>Difference between value and cost of production (A - B)</t>
  </si>
  <si>
    <t>DifferenzaValoreCostiProduzione</t>
  </si>
  <si>
    <t>C) Proventi e oneri finanziari:</t>
  </si>
  <si>
    <t>C) Financial income and expense</t>
  </si>
  <si>
    <t>ProventiOneriFinanziari</t>
  </si>
  <si>
    <r>
      <t xml:space="preserve">15) proventi da partecipazioni </t>
    </r>
    <r>
      <rPr>
        <sz val="9"/>
        <color rgb="FFFF0000"/>
        <rFont val="Arial"/>
        <family val="2"/>
      </rPr>
      <t>(con separata indicazione di quelli da imprese controllate e collegate e di quelli relativi a controllanti e ad imprese sottoposte al controllo di queste ultime)</t>
    </r>
  </si>
  <si>
    <t>15) Income from equity investments</t>
  </si>
  <si>
    <t>ProventiOneriFinanziariProventiPartecipazioni</t>
  </si>
  <si>
    <t>da imprese controllate</t>
  </si>
  <si>
    <t>subsidiary companies</t>
  </si>
  <si>
    <t>ProventiOneriFinanziariProventiPartecipazioniImpreseControllate</t>
  </si>
  <si>
    <t>da imprese collegate</t>
  </si>
  <si>
    <t>associated companies</t>
  </si>
  <si>
    <t>ProventiOneriFinanziariProventiPartecipazioniImpreseCollegate</t>
  </si>
  <si>
    <t>other companies</t>
  </si>
  <si>
    <t>ProventiOneriFinanziariProventiPartecipazioniAltri</t>
  </si>
  <si>
    <t>Totale proventi da partecipazioni</t>
  </si>
  <si>
    <t>Total income from equity investments</t>
  </si>
  <si>
    <t>ProventiOneriFinanziariProventiPartecipazioniTotaleProventiPartecipazioni</t>
  </si>
  <si>
    <t>16) altri proventi finanziari:</t>
  </si>
  <si>
    <t>16) Other financial income</t>
  </si>
  <si>
    <t>ProventiOneriFinanziariAltriProventiFinanziari</t>
  </si>
  <si>
    <r>
      <t>a) da crediti iscritti nelle immobilizzazioni</t>
    </r>
    <r>
      <rPr>
        <sz val="8"/>
        <color rgb="FFFF0000"/>
        <rFont val="Arial"/>
        <family val="2"/>
      </rPr>
      <t xml:space="preserve"> (con separata indicazione di quelli da imprese controllate, collegate e controllanti e da imprese sottoposte al controllo di queste ultime)</t>
    </r>
  </si>
  <si>
    <t>a) from receivables held as financial fixed assets</t>
  </si>
  <si>
    <t>ProventiOneriFinanziariAltriProventiFinanziariCreditiIscrittiImmobilizzazioni</t>
  </si>
  <si>
    <t>ProventiOneriFinanziariAltriProventiFinanziariCreditiIscrittiImmobilizzazioniImpreseControllate</t>
  </si>
  <si>
    <t>ProventiOneriFinanziariAltriProventiFinanziariCreditiIscrittiImmobilizzazioniImpreseCollegate</t>
  </si>
  <si>
    <t>da imprese controllanti</t>
  </si>
  <si>
    <t>parent companies</t>
  </si>
  <si>
    <t>ProventiOneriFinanziariAltriProventiFinanziariCreditiIscrittiImmobilizzazioniImpreseControllanti</t>
  </si>
  <si>
    <t>third parties</t>
  </si>
  <si>
    <t>ProventiOneriFinanziariAltriProventiFinanziariCreditiIscrittiImmobilizzazioniAltri</t>
  </si>
  <si>
    <t>Totale proventi finanziari da crediti iscritti nelle immobilizzazioni</t>
  </si>
  <si>
    <t>Total receivables held as financial fixed assets</t>
  </si>
  <si>
    <t>ProventiOneriFinanziariAltriProventiFinanziariCreditiIscrittiImmobilizzazioniTotaleProventiFinanziariCreditiIscrittiImmobilizzazioni</t>
  </si>
  <si>
    <t>b) da titoli iscritti nelle immobilizzazioni che non costituiscono partecipazioni</t>
  </si>
  <si>
    <t>b) from securities held as financial fixed assets not representing equity investments</t>
  </si>
  <si>
    <t>ProventiOneriFinanziariAltriProventiFinanziariTitoliIscrittiImmobilizzazioniNonCostituisconoPartecipazioni</t>
  </si>
  <si>
    <t>c) da titoli iscritti nell'attivo circolante che non costituiscono partecipazioni</t>
  </si>
  <si>
    <t>c) from securities included among current assets not representing equity investments</t>
  </si>
  <si>
    <t>ProventiOneriFinanziariAltriProventiFinanziariTitoliIscrittiAttivoCircolanteNonCostituisconoPartecipazioni</t>
  </si>
  <si>
    <r>
      <t xml:space="preserve">d) proventi diversi </t>
    </r>
    <r>
      <rPr>
        <sz val="8"/>
        <color rgb="FFFF0000"/>
        <rFont val="Arial"/>
        <family val="2"/>
      </rPr>
      <t>(con separata indicazione di quelli da imprese controllate, collegate e controllanti e da imprese sottoposte al controllo di queste ultime)</t>
    </r>
  </si>
  <si>
    <t>d) income other than the above</t>
  </si>
  <si>
    <t>ProventiOneriFinanziariAltriProventiFinanziariProventiDiversiPrecedenti</t>
  </si>
  <si>
    <t>ProventiOneriFinanziariAltriProventiFinanziariProventiDiversiPrecedentiImpreseControllate</t>
  </si>
  <si>
    <t>ProventiOneriFinanziariAltriProventiFinanziariProventiDiversiPrecedentiImpreseCollegate</t>
  </si>
  <si>
    <t>ProventiOneriFinanziariAltriProventiFinanziariProventiDiversiPrecedentiImpreseControllanti</t>
  </si>
  <si>
    <t>ProventiOneriFinanziariAltriProventiFinanziariProventiDiversiPrecedentiAltri</t>
  </si>
  <si>
    <t>Totale proventi diversi dai precedenti</t>
  </si>
  <si>
    <t>Total income other than the above</t>
  </si>
  <si>
    <t>ProventiOneriFinanziariAltriProventiFinanziariProventiDiversiPrecedentiTotaleProventiDiversiPrecedenti</t>
  </si>
  <si>
    <t>Totale altri proventi finanziari</t>
  </si>
  <si>
    <t>Total other financial income</t>
  </si>
  <si>
    <t>ProventiOneriFinanziariAltriProventiFinanziariTotaleAltriProventiFinanziari</t>
  </si>
  <si>
    <t>17) interessi e altri oneri finanziari</t>
  </si>
  <si>
    <t>17) Interest and other financial expense</t>
  </si>
  <si>
    <t>ProventiOneriFinanziariInteressiAltriOneriFinanziari</t>
  </si>
  <si>
    <t>a imprese controllate</t>
  </si>
  <si>
    <t>charged by subsidiary companies</t>
  </si>
  <si>
    <t>ProventiOneriFinanziariInteressiAltriOneriFinanziariImpreseControllate</t>
  </si>
  <si>
    <t>a imprese collegate</t>
  </si>
  <si>
    <t>charged by associated companies</t>
  </si>
  <si>
    <t>ProventiOneriFinanziariInteressiAltriOneriFinanziariImpreseCollegate</t>
  </si>
  <si>
    <t>a imprese controllanti</t>
  </si>
  <si>
    <t>charged by parent companies</t>
  </si>
  <si>
    <t>ProventiOneriFinanziariInteressiAltriOneriFinanziariImpreseControllanti</t>
  </si>
  <si>
    <t>charged by third parties</t>
  </si>
  <si>
    <t>ProventiOneriFinanziariInteressiAltriOneriFinanziariAltri</t>
  </si>
  <si>
    <t>Totale interessi e altri oneri finanziari</t>
  </si>
  <si>
    <t>Total interest and other financial expense</t>
  </si>
  <si>
    <t>ProventiOneriFinanziariInteressiAltriOneriFinanziariTotaleInteressiAltriOneriFinanziari</t>
  </si>
  <si>
    <t>17-bis) utili e perdite su cambi</t>
  </si>
  <si>
    <t>17-bis) Currency gains and losses</t>
  </si>
  <si>
    <t>ProventiOneriFinanziariUtiliPerditeCambi</t>
  </si>
  <si>
    <t>Totale proventi e oneri finanziari (15 + 16 - 17 + - 17-bis)</t>
  </si>
  <si>
    <t>Total financial income and expense (15 + 16 - 17 + - 17-bis)</t>
  </si>
  <si>
    <t>TotaleProventiOneriFinanziari</t>
  </si>
  <si>
    <r>
      <t xml:space="preserve">D) Rettifiche di valore di attività </t>
    </r>
    <r>
      <rPr>
        <b/>
        <sz val="10"/>
        <color rgb="FFFF0000"/>
        <rFont val="Arial"/>
        <family val="2"/>
      </rPr>
      <t>e passività</t>
    </r>
    <r>
      <rPr>
        <b/>
        <sz val="10"/>
        <rFont val="Arial"/>
        <family val="2"/>
      </rPr>
      <t xml:space="preserve"> finanziarie:</t>
    </r>
  </si>
  <si>
    <t>D) Adjustments to financial assets</t>
  </si>
  <si>
    <t>RettificheValoreAttivitaFinanziarie</t>
  </si>
  <si>
    <t>18) rivalutazioni:</t>
  </si>
  <si>
    <t>18) Revaluations</t>
  </si>
  <si>
    <t>RettificheValoreAttivitaFinanziarieRivalutazioni</t>
  </si>
  <si>
    <t>a) di partecipazioni</t>
  </si>
  <si>
    <t>a) equity investments</t>
  </si>
  <si>
    <t>RettificheValoreAttivitaFinanziarieRivalutazioniPartecipazioni</t>
  </si>
  <si>
    <t>b) di immobilizzazioni finanziarie che non costituiscono partecipazioni</t>
  </si>
  <si>
    <t>b) financial fixed assets not representing equity investments</t>
  </si>
  <si>
    <t>RettificheValoreAttivitaFinanziarieRivalutazioniImmobilizzazioniFinanziarieNonCostituisconoPartecipazioni</t>
  </si>
  <si>
    <t>c) di titoli iscritti all'attivo circolante che non costituiscono partecipazioni</t>
  </si>
  <si>
    <t>c) securities included among current assets not representing equity investments</t>
  </si>
  <si>
    <t>RettificheValoreAttivitaFinanziarieRivalutazioniTitoliIscrittiAttivoCircolanteNonCostituisconoPartecipazioni</t>
  </si>
  <si>
    <t>d) di strumenti finanziari derivati</t>
  </si>
  <si>
    <t>Totale rivalutazioni</t>
  </si>
  <si>
    <t>Total revaluations</t>
  </si>
  <si>
    <t>RettificheValoreAttivitaFinanziarieRivalutazioniTotaleRivalutazioni</t>
  </si>
  <si>
    <t>19) svalutazioni:</t>
  </si>
  <si>
    <t>19) Writedowns</t>
  </si>
  <si>
    <t>RettificheValoreAttivitaFinanziarieSvalutazioni</t>
  </si>
  <si>
    <t>RettificheValoreAttivitaFinanziarieSvalutazioniPartecipazioni</t>
  </si>
  <si>
    <t>RettificheValoreAttivitaFinanziarieSvalutazioniImmobilizzazioniFinanziarieNonCostituisconoPartecipazioni</t>
  </si>
  <si>
    <t>c) di titoli iscritti nell'attivo circolante che non costituiscono partecipazioni</t>
  </si>
  <si>
    <t>RettificheValoreAttivitaFinanziarieSvalutazioniTitoliIscrittiAttivoCircolanteNonCostituisconoPartecipazioni</t>
  </si>
  <si>
    <t>Totale svalutazioni</t>
  </si>
  <si>
    <t>Total writedowns</t>
  </si>
  <si>
    <t>RettificheValoreAttivitaFinanziarieSvalutazioniTotaleSvalutazioni</t>
  </si>
  <si>
    <t>Totale delle rettifiche di valore di attività finanziarie (18 - 19)</t>
  </si>
  <si>
    <t>Total adjustments to financial assets (18 - 19)</t>
  </si>
  <si>
    <t>TotaleRettificheValoreAttivitaFinanziarie</t>
  </si>
  <si>
    <t>Risultato prima delle imposte (A - B + - C + - D )</t>
  </si>
  <si>
    <t>Profit before taxes (A - B + - C + - D + - E)</t>
  </si>
  <si>
    <t>RisultatoPrimaImposte</t>
  </si>
  <si>
    <t>22) imposte sul reddito dell'esercizio, correnti, differite e anticipate</t>
  </si>
  <si>
    <t>22) Taxes on the income for the year</t>
  </si>
  <si>
    <t>ImposteRedditoEsercizioCorrentiDifferiteAnticipate</t>
  </si>
  <si>
    <t>Imposte correnti</t>
  </si>
  <si>
    <t>Current taxes</t>
  </si>
  <si>
    <t>ImposteRedditoEsercizioCorrentiDifferiteAnticipateImposteCorrenti</t>
  </si>
  <si>
    <t>Imposte differite</t>
  </si>
  <si>
    <t>Deferred taxes</t>
  </si>
  <si>
    <t>ImposteRedditoEsercizioCorrentiDifferiteAnticipateImposteDifferite</t>
  </si>
  <si>
    <t>Imposte anticipate</t>
  </si>
  <si>
    <t>Advance taxes</t>
  </si>
  <si>
    <t>ImposteRedditoEsercizioCorrentiDifferiteAnticipateImposteAnticipate</t>
  </si>
  <si>
    <t>proventi (oneri) da adesione al regime di consolidato fiscale / trasparenza fiscale</t>
  </si>
  <si>
    <t>Income (expense) arising from the adoption of the fiscal consolidated system/fiscal transparency</t>
  </si>
  <si>
    <t>ImposteRedditoEsercizioCorrentiDifferiteAnticipateProventiOneriAdesioneRegimeConsolidatoFiscaleTrasparenzaFiscale</t>
  </si>
  <si>
    <t>Totale delle imposte sul reddito dell'esercizio, correnti, differite e anticipate</t>
  </si>
  <si>
    <t>Total taxes on the income for the year</t>
  </si>
  <si>
    <t>ImposteRedditoEsercizioCorrentiDifferiteAnticipateTotaleImposteRedditoEsercizioCorrentiDifferiteAnticipate</t>
  </si>
  <si>
    <t>23) Utile (perdita) dell'esercizio</t>
  </si>
  <si>
    <t>UtilePerditaEsercizio</t>
  </si>
  <si>
    <t>Cassa e Banca</t>
  </si>
  <si>
    <t xml:space="preserve">Crediti 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</si>
  <si>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</si>
  <si>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</si>
  <si>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</si>
  <si>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 xml:space="preserve">    - Immobili</t>
  </si>
  <si>
    <t xml:space="preserve">           1) Fabbricati </t>
  </si>
  <si>
    <t xml:space="preserve">    - Impianti  Macchinari e Attrezzature</t>
  </si>
  <si>
    <t xml:space="preserve">           1) Impianti e macchinari</t>
  </si>
  <si>
    <t xml:space="preserve">           2)  Attrezzature industriali e commerciali</t>
  </si>
  <si>
    <t xml:space="preserve">           3)  Altri beni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</si>
  <si>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</si>
  <si>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</si>
  <si>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</si>
  <si>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</si>
  <si>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</si>
  <si>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>TOTALE ATTIVO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</si>
  <si>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</si>
  <si>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</si>
  <si>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</si>
  <si>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</si>
  <si>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- Enti Previd., Assistenziali, Ritenute personale</t>
  </si>
  <si>
    <t xml:space="preserve">    - Debiti tributari</t>
  </si>
  <si>
    <t xml:space="preserve">    - Altri debiti</t>
  </si>
  <si>
    <t xml:space="preserve">    - Ratei e Risconti Passivi</t>
  </si>
  <si>
    <t xml:space="preserve"> Finanziamenti Soci</t>
  </si>
  <si>
    <t>Debito a m/lungo termine</t>
  </si>
  <si>
    <t xml:space="preserve"> '  - Mutui e Finanziamenti</t>
  </si>
  <si>
    <t xml:space="preserve">    - Fondo TFR</t>
  </si>
  <si>
    <t xml:space="preserve">    - Altri Fondi</t>
  </si>
  <si>
    <t xml:space="preserve">    - Debiti Verso Collegate e Controllate</t>
  </si>
  <si>
    <t xml:space="preserve">    - Altri Debiti a m/l termine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</si>
  <si>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</si>
  <si>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</si>
  <si>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</si>
  <si>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</si>
  <si>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- Utile a nuovo</t>
  </si>
  <si>
    <t xml:space="preserve">   - Risultato di Esercizio</t>
  </si>
  <si>
    <t>TOTALE PASSIVO</t>
  </si>
  <si>
    <t>CONTO ECONOMICO</t>
  </si>
  <si>
    <t>Produzione</t>
  </si>
  <si>
    <t xml:space="preserve">    - Rimanenze iniziali prodotti in corso di lavorazione, semilavorati e finiti</t>
  </si>
  <si>
    <t xml:space="preserve">    - Vendite prodotti finiti , merci e servizi</t>
  </si>
  <si>
    <t xml:space="preserve">    - Altri ricavi</t>
  </si>
  <si>
    <t xml:space="preserve">    - Rimanenze finali prodotti in corso di lavorazione, semilavorati e finiti</t>
  </si>
  <si>
    <t>Consumo merci</t>
  </si>
  <si>
    <t xml:space="preserve">    - Rimanenze iniziali materie prime, sussidiare di consumo e merci</t>
  </si>
  <si>
    <t xml:space="preserve">    - Acquisti</t>
  </si>
  <si>
    <t xml:space="preserve">    - Rimanenze finali materie prime, sussidiarie di consumo e merci</t>
  </si>
  <si>
    <t>MARGINE LORDO INDUSTRIALE (fatturato netto-consumo di merci)</t>
  </si>
  <si>
    <t>Costi variabili totali</t>
  </si>
  <si>
    <t xml:space="preserve">    - Costi variabili di produzione</t>
  </si>
  <si>
    <t xml:space="preserve">    - Altri costi variabili</t>
  </si>
  <si>
    <t>MARGINE LORDO DI CONTRIBUZIONE</t>
  </si>
  <si>
    <t>Costi fissi totali</t>
  </si>
  <si>
    <t xml:space="preserve">         1) ammortamenti materiali</t>
  </si>
  <si>
    <t xml:space="preserve">         2) ammortamenti immateriali</t>
  </si>
  <si>
    <t xml:space="preserve">         3) oneri diversi di gestione</t>
  </si>
  <si>
    <t xml:space="preserve">         4) accantonamenti a rischi</t>
  </si>
  <si>
    <t xml:space="preserve">         5) costi del personale dipendente</t>
  </si>
  <si>
    <t xml:space="preserve">         6) accantonamento al TFR</t>
  </si>
  <si>
    <t>REDDITO OPERATIVO</t>
  </si>
  <si>
    <t>Gestione straordinaria</t>
  </si>
  <si>
    <t xml:space="preserve">    - Plusvalenze/Minusvalenze </t>
  </si>
  <si>
    <t xml:space="preserve">    - Svalutazioni</t>
  </si>
  <si>
    <t>Gestione finaziaria</t>
  </si>
  <si>
    <t xml:space="preserve">    - Proventi e Oneri Finanziari</t>
  </si>
  <si>
    <t>REDDITO ANTEIMPOSTE</t>
  </si>
  <si>
    <t>imposte sul reddito</t>
  </si>
  <si>
    <t>REDDITO NETTO</t>
  </si>
  <si>
    <t>Investimenti Pregressi</t>
  </si>
  <si>
    <t>Ammortamenti Materiali</t>
  </si>
  <si>
    <t>Totale</t>
  </si>
  <si>
    <t>Fondo Ammortamento ;ateriali Residuo</t>
  </si>
  <si>
    <t>Vendite</t>
  </si>
  <si>
    <t>Fatturato</t>
  </si>
  <si>
    <t>Debito Iva</t>
  </si>
  <si>
    <t>Crediti Commerciali</t>
  </si>
  <si>
    <t>Incassi</t>
  </si>
  <si>
    <t>verifica</t>
  </si>
  <si>
    <t>Acquisti Materie Prime</t>
  </si>
  <si>
    <t>Costi</t>
  </si>
  <si>
    <t>Credito Iva</t>
  </si>
  <si>
    <t>Debiti Commerciali</t>
  </si>
  <si>
    <t>Uscite</t>
  </si>
  <si>
    <t>Costi Gestione&amp;Variabili</t>
  </si>
  <si>
    <t>Costi Personale</t>
  </si>
  <si>
    <t>TFR</t>
  </si>
  <si>
    <t>Banca</t>
  </si>
  <si>
    <t>Entrate</t>
  </si>
  <si>
    <t>Uscite Materie Prime</t>
  </si>
  <si>
    <t>Uscite Costi Variabili</t>
  </si>
  <si>
    <t>Uscite Personale</t>
  </si>
  <si>
    <t>Investimenti</t>
  </si>
  <si>
    <t>Liquidazione Iva</t>
  </si>
  <si>
    <t>Flusso Finanziario</t>
  </si>
  <si>
    <t>Saldo Iniziale</t>
  </si>
  <si>
    <t>Saldo Finale</t>
  </si>
  <si>
    <t>Saldo Iva Anno</t>
  </si>
  <si>
    <t>Pagamento Iva</t>
  </si>
  <si>
    <t>Imponibile Ires</t>
  </si>
  <si>
    <t>Costo del Lavoro</t>
  </si>
  <si>
    <t>Oneri Finanziari</t>
  </si>
  <si>
    <t>Imponibile Irap</t>
  </si>
  <si>
    <t>Liquidazione</t>
  </si>
  <si>
    <t>Debito Tributario</t>
  </si>
  <si>
    <t>Credito Tributario</t>
  </si>
  <si>
    <t xml:space="preserve">           3)  Altre immobilizzazioni immateriali</t>
  </si>
  <si>
    <t xml:space="preserve">   - Ricavi netti di vendita</t>
  </si>
  <si>
    <t xml:space="preserve">  - Variazioni delle rim. di prod. in corso di lav., semilavorati e finiti</t>
  </si>
  <si>
    <t xml:space="preserve">  - Variazioni dei lavori in corso su ordinazione</t>
  </si>
  <si>
    <t xml:space="preserve">  - Costi patrimonializzati</t>
  </si>
  <si>
    <t xml:space="preserve">  - Altri ricavi e proventi</t>
  </si>
  <si>
    <t>VALORE DELLA PRODUZIONE OTTENUTA</t>
  </si>
  <si>
    <t>COSTI PER CONSUMI DI MATERIE E SERVIZI</t>
  </si>
  <si>
    <t xml:space="preserve">   - Per materie prime, sussidiarie e di merci</t>
  </si>
  <si>
    <t xml:space="preserve">   - Per servizi </t>
  </si>
  <si>
    <t xml:space="preserve">   - Per godimento beni di terzi</t>
  </si>
  <si>
    <t xml:space="preserve">   - Variazioni delle rimanenze di materie prime e sussidiarie</t>
  </si>
  <si>
    <t xml:space="preserve">   - Oneri diversi di gestione</t>
  </si>
  <si>
    <t>VALORE AGGIUNTO</t>
  </si>
  <si>
    <t xml:space="preserve">   - Costi per il personale</t>
  </si>
  <si>
    <t>MARGINE OPERATIVO LORDO</t>
  </si>
  <si>
    <t xml:space="preserve">  - Ammortamenti e svalutazioni</t>
  </si>
  <si>
    <t>REDDITO OPERATIVO DELLA GEST. CARATTERISTICA</t>
  </si>
  <si>
    <t xml:space="preserve">  - +/- Risultato della gestione accessoria</t>
  </si>
  <si>
    <t xml:space="preserve"> - +/- Risultato della gestione finanziaria</t>
  </si>
  <si>
    <t>RISULTATO DELLA GESTIONE CORRENTE</t>
  </si>
  <si>
    <t xml:space="preserve">  - +/- Risultato della gestione straordinaria</t>
  </si>
  <si>
    <t>RISULTATO PRIMA DELLE IMPOSTE</t>
  </si>
  <si>
    <t xml:space="preserve">  -Imposte sul reddito d'esercizio</t>
  </si>
  <si>
    <t>RISULTATO NETTO (UTILE DELL'ESERCIZIO)</t>
  </si>
  <si>
    <t>Altre Riserve di Utili</t>
  </si>
  <si>
    <t>verso banche</t>
  </si>
  <si>
    <t>Oneri diversi di gestione</t>
  </si>
  <si>
    <t>Rata Finanziamento</t>
  </si>
  <si>
    <t>Utilizzo TFR</t>
  </si>
  <si>
    <t>Finanziamento</t>
  </si>
  <si>
    <t>Rimanenze finali prodotti in corso di lavorazione, semilavorati e finiti</t>
  </si>
  <si>
    <t>Margine Contribuzione Lordo</t>
  </si>
  <si>
    <t>Rimanenze finali materie prime, sussidiarie di consumo e merci</t>
  </si>
  <si>
    <t>VALORE</t>
  </si>
  <si>
    <t>Fornitori</t>
  </si>
  <si>
    <t>Reddito Operativo</t>
  </si>
  <si>
    <t>Incasso -&gt;</t>
  </si>
  <si>
    <t>Utilizzo -&gt;</t>
  </si>
  <si>
    <t>Rimborso -&gt;</t>
  </si>
  <si>
    <t>Uscite Altri Debit</t>
  </si>
  <si>
    <t xml:space="preserve"> - Crediti v/clienti</t>
  </si>
  <si>
    <t xml:space="preserve"> - Erario c/acc. Imposte e Ritenute e Iva</t>
  </si>
  <si>
    <t>- Ratei e Risconti Attivi</t>
  </si>
  <si>
    <t>- Altri Crediti, fatture da emettere, ecc</t>
  </si>
  <si>
    <t>- Rimanenze prodotti in corso di lavorazione, semilavorati e finiti</t>
  </si>
  <si>
    <t>- Rimanenze materie prime, sussidiare di consumo e merci</t>
  </si>
  <si>
    <t>- Immobili</t>
  </si>
  <si>
    <t>- Impianti  Macchinari e Attrezzature</t>
  </si>
  <si>
    <t>- Altri Costi Pluriennali</t>
  </si>
  <si>
    <t>- Banche e Depositi postali</t>
  </si>
  <si>
    <t>- Fornitori</t>
  </si>
  <si>
    <t>- Enti Previd., Assistenziali, Ritenute personale</t>
  </si>
  <si>
    <t>- Debiti tributari</t>
  </si>
  <si>
    <t>- Altri debiti</t>
  </si>
  <si>
    <t>- Ratei e Risconti Passivi</t>
  </si>
  <si>
    <t>- Fondo TFR</t>
  </si>
  <si>
    <t>- Mutui e Finanziamenti</t>
  </si>
  <si>
    <t>- Altri Fondi</t>
  </si>
  <si>
    <t>- Debiti Verso Collegate e Controllate</t>
  </si>
  <si>
    <t>- Altri Debiti a m/l termine</t>
  </si>
  <si>
    <t>- Capitale Sociale</t>
  </si>
  <si>
    <t>- Altre Riserve</t>
  </si>
  <si>
    <t>- Riserva Legale</t>
  </si>
  <si>
    <t>- Utile a nuovo</t>
  </si>
  <si>
    <t>- Risultato di Esercizio</t>
  </si>
  <si>
    <t xml:space="preserve">MARGINE LORDO INDUSTRIALE </t>
  </si>
  <si>
    <t>- Rimanenze iniziali prodotti in corso di lavorazione, semilavorati e finiti</t>
  </si>
  <si>
    <t>- Vendite prodotti finiti , merci e servizi</t>
  </si>
  <si>
    <t>- Altri ricavi</t>
  </si>
  <si>
    <t>- Rimanenze finali prodotti in corso di lavorazione, semilavorati e finiti</t>
  </si>
  <si>
    <t>- Acquisti</t>
  </si>
  <si>
    <t>- Rimanenze finali materie prime, sussidiarie di consumo e merci</t>
  </si>
  <si>
    <t>- Costi variabili di produzione</t>
  </si>
  <si>
    <t>- Altri costi variabili</t>
  </si>
  <si>
    <t>- Rimanenze iniziali materie prime, sussidiare di consumo e merci</t>
  </si>
  <si>
    <t xml:space="preserve">- Plusvalenze/Minusvalenze </t>
  </si>
  <si>
    <t>- Svalutazioni</t>
  </si>
  <si>
    <t>- Proventi e Oneri Finanziari</t>
  </si>
  <si>
    <t>Consuntivo</t>
  </si>
  <si>
    <t>Previsionale</t>
  </si>
  <si>
    <t>Anno Ultimo Bilancio</t>
  </si>
  <si>
    <t>Inserisci Ultimo Bilancio</t>
  </si>
  <si>
    <t>Stato Patrimoniale -&gt;</t>
  </si>
  <si>
    <t>Foglio "SP"</t>
  </si>
  <si>
    <t>Conto Economico -&gt;</t>
  </si>
  <si>
    <t>GUIDA</t>
  </si>
  <si>
    <t>Foglio "CE"</t>
  </si>
  <si>
    <t>Gestisci Attivo e Passivo Ultimo Bilancio</t>
  </si>
  <si>
    <t>Liquidazione Debiti -&gt;</t>
  </si>
  <si>
    <t>Foglio "Scheda Debiti"</t>
  </si>
  <si>
    <t>Liquidazione Crediti -&gt;</t>
  </si>
  <si>
    <t>Foglio "Scheda Crediti"</t>
  </si>
  <si>
    <t>Gestisci Investimenti -&gt;</t>
  </si>
  <si>
    <t>Foglio "Scheda Inv"</t>
  </si>
  <si>
    <t>Crea i Previsioanali</t>
  </si>
  <si>
    <t>Input Previsionali-&gt;</t>
  </si>
  <si>
    <t>Foglio "Input Previsionale"</t>
  </si>
  <si>
    <t>Consulta i Report</t>
  </si>
  <si>
    <t>Foglio "SP Previsionale"</t>
  </si>
  <si>
    <t>Foglio "CE Previsionale"</t>
  </si>
  <si>
    <t>Rendiconto Finanziario  Indiretto -&gt;</t>
  </si>
  <si>
    <t>Foglio "Rendiconto Finanziario"</t>
  </si>
  <si>
    <t>Rendiconto Finanziario  diretto -&gt;</t>
  </si>
  <si>
    <t>Foglio "Rendiconto Finanziario Dir"</t>
  </si>
  <si>
    <t>Fonte Impieghi -&gt;</t>
  </si>
  <si>
    <t>Foglio "Fonte Impieghir"</t>
  </si>
  <si>
    <t>Ratios -&gt;</t>
  </si>
  <si>
    <t>Foglio "Indicatori"</t>
  </si>
  <si>
    <t>Foglio "Rat MedioCreditoCentrale"</t>
  </si>
  <si>
    <t>Grafici -&gt;</t>
  </si>
  <si>
    <t>Foglio "Grafici"</t>
  </si>
  <si>
    <t>Indicatori Bancabilità</t>
  </si>
  <si>
    <t>Foglio "In_Bancabilità"</t>
  </si>
  <si>
    <t>Rating MedioCreditoCentrale -&gt;</t>
  </si>
  <si>
    <t>DI CUI 1.162.028 QUOTE ASSOCIATI IN PARTECIPAZIONI</t>
  </si>
  <si>
    <t>di cui 751.996,79 socio c/prelevamento</t>
  </si>
  <si>
    <t>avviamento</t>
  </si>
  <si>
    <t>di cui 55.000,00 per indennizzi/ di cui 13.927,00 perdite per merce distrutta/di cui 23.767,00 compensi ass. in partec.</t>
  </si>
  <si>
    <t>QUADRATURA</t>
  </si>
  <si>
    <t>merci !!!!</t>
  </si>
  <si>
    <t>Distribuzione Utile</t>
  </si>
  <si>
    <t>Utile Esercizio</t>
  </si>
  <si>
    <t>% Distribuzione</t>
  </si>
  <si>
    <t>Utile Distribuito</t>
  </si>
  <si>
    <t>Rettifiche</t>
  </si>
  <si>
    <t>Rettificato</t>
  </si>
  <si>
    <t>Reddito Normale Previsionale</t>
  </si>
  <si>
    <t>Sovrareddito</t>
  </si>
  <si>
    <t>Anni Stima Avviamento</t>
  </si>
  <si>
    <t>Attualizzazione  Sovrareddito</t>
  </si>
  <si>
    <t>Avviamento</t>
  </si>
  <si>
    <t>Tasso rendimento normale capitale</t>
  </si>
  <si>
    <t>Tasso attualizzazione sovrareddito</t>
  </si>
  <si>
    <t>Patrimonio Netto</t>
  </si>
  <si>
    <t>Valore Aziendale (K)</t>
  </si>
  <si>
    <t>Valore Complessivo (Valore Aziendale + Avviamento)</t>
  </si>
  <si>
    <t>COMPONENTE PATRIMONIALE</t>
  </si>
  <si>
    <t>COMPONENTE REDDITUALE (STIMA GOODWILL/BADWILL)</t>
  </si>
  <si>
    <t>VALORE AZIENDALE</t>
  </si>
  <si>
    <t>+Plusvalenze/-Minusvalenze</t>
  </si>
  <si>
    <t>CREAZIONE VALORE</t>
  </si>
  <si>
    <t>VALORE CREATO</t>
  </si>
  <si>
    <t>Valore Aziendale -&gt;</t>
  </si>
  <si>
    <t>Foglio Valore Aziendale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</si>
</sst>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€&quot;\ #,##0;\-&quot;€&quot;\ #,##0"/>
    <numFmt numFmtId="6" formatCode="&quot;€&quot;\ #,##0;[Red]\-&quot;€&quot;\ #,##0"/>
    <numFmt numFmtId="42" formatCode="_-&quot;€&quot;\ * #,##0_-;\-&quot;€&quot;\ * #,##0_-;_-&quot;€&quot;\ * &quot;-&quot;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_-* #,##0_-;\-* #,##0_-;_-* &quot;-&quot;??_-;_-@_-"/>
    <numFmt numFmtId="167" formatCode="#,##0\ &quot;€&quot;;[Red]#,##0\ &quot;€&quot;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3" formatCode="#,##0_ ;[Red]\-#,##0\ "/>
  </numFmts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2"/>
      <color theme="0"/>
      <name val="Tahoma"/>
      <family val="2"/>
    </font>
    <font>
      <sz val="11"/>
      <color indexed="8"/>
      <name val="Tahoma"/>
      <family val="2"/>
    </font>
    <font>
      <b/>
      <i/>
      <sz val="10"/>
      <color theme="4" tint="-0.249977111117893"/>
      <name val="Tahoma"/>
      <family val="2"/>
    </font>
    <font>
      <b/>
      <sz val="10"/>
      <color theme="0"/>
      <name val="Arial"/>
      <family val="2"/>
    </font>
    <font>
      <sz val="11"/>
      <color theme="0"/>
      <name val="Tahoma"/>
      <family val="2"/>
    </font>
    <font>
      <b/>
      <sz val="11"/>
      <color indexed="8"/>
      <name val="Tahoma"/>
      <family val="2"/>
    </font>
    <font>
      <sz val="14"/>
      <color theme="1"/>
      <name val="Calibri"/>
      <family val="2"/>
      <scheme val="minor"/>
    </font>
    <font>
      <b/>
      <sz val="10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5" fillId="0" borderId="0"/>
    <xf numFmtId="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6" fillId="3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5" fillId="0" borderId="0"/>
  </cellStyleXfs>
  <cellXfs count="183">
    <xf numFmtId="0" fontId="0" fillId="0" borderId="0" xfId="0"/>
    <xf numFmtId="0" fontId="1" fillId="0" borderId="0" xfId="0" applyFont="1" applyFill="1" applyBorder="1" applyProtection="1">
      <protection hidden="1"/>
    </xf>
    <xf numFmtId="0" fontId="2" fillId="0" borderId="0" xfId="0" applyFont="1"/>
    <xf numFmtId="0" fontId="0" fillId="2" borderId="0" xfId="0" applyFill="1"/>
    <xf numFmtId="0" fontId="3" fillId="0" borderId="0" xfId="1" applyAlignment="1" applyProtection="1"/>
    <xf numFmtId="0" fontId="0" fillId="0" borderId="0" xfId="0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" fillId="0" borderId="0" xfId="1" applyFill="1" applyBorder="1" applyAlignment="1" applyProtection="1">
      <protection hidden="1"/>
    </xf>
    <xf numFmtId="0" fontId="7" fillId="0" borderId="0" xfId="1" applyFont="1" applyFill="1" applyBorder="1" applyAlignment="1" applyProtection="1">
      <alignment horizontal="center" vertical="top"/>
      <protection hidden="1"/>
    </xf>
    <xf numFmtId="164" fontId="8" fillId="2" borderId="0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left"/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protection hidden="1"/>
    </xf>
    <xf numFmtId="3" fontId="0" fillId="0" borderId="0" xfId="0" applyNumberFormat="1" applyFill="1" applyBorder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0" fontId="8" fillId="0" borderId="0" xfId="0" applyFont="1" applyFill="1" applyBorder="1" applyAlignment="1" applyProtection="1">
      <alignment horizontal="left" indent="5"/>
      <protection hidden="1"/>
    </xf>
    <xf numFmtId="0" fontId="8" fillId="0" borderId="0" xfId="0" applyFont="1" applyFill="1" applyBorder="1" applyAlignment="1" applyProtection="1">
      <alignment horizontal="left" indent="3"/>
      <protection hidden="1"/>
    </xf>
    <xf numFmtId="0" fontId="13" fillId="0" borderId="0" xfId="0" applyFont="1" applyFill="1" applyBorder="1" applyAlignment="1" applyProtection="1">
      <alignment horizontal="left" indent="2"/>
      <protection hidden="1"/>
    </xf>
    <xf numFmtId="0" fontId="13" fillId="0" borderId="0" xfId="0" applyFont="1" applyFill="1" applyBorder="1" applyAlignment="1" applyProtection="1">
      <alignment horizontal="left" indent="3"/>
      <protection hidden="1"/>
    </xf>
    <xf numFmtId="164" fontId="13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 indent="3"/>
      <protection hidden="1"/>
    </xf>
    <xf numFmtId="3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 indent="7"/>
      <protection hidden="1"/>
    </xf>
    <xf numFmtId="0" fontId="4" fillId="0" borderId="0" xfId="0" applyFont="1" applyFill="1" applyBorder="1" applyAlignment="1" applyProtection="1">
      <alignment horizontal="left" indent="4"/>
      <protection hidden="1"/>
    </xf>
    <xf numFmtId="0" fontId="4" fillId="0" borderId="0" xfId="0" applyFont="1" applyFill="1" applyBorder="1" applyAlignment="1" applyProtection="1">
      <alignment horizontal="right" indent="2"/>
      <protection hidden="1"/>
    </xf>
    <xf numFmtId="0" fontId="15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left" indent="4"/>
      <protection hidden="1"/>
    </xf>
    <xf numFmtId="0" fontId="4" fillId="0" borderId="0" xfId="0" applyFont="1" applyFill="1" applyBorder="1" applyAlignment="1" applyProtection="1">
      <alignment horizontal="left" indent="9"/>
      <protection hidden="1"/>
    </xf>
    <xf numFmtId="0" fontId="4" fillId="0" borderId="0" xfId="0" applyFont="1" applyFill="1" applyBorder="1" applyAlignment="1" applyProtection="1">
      <alignment horizontal="left" indent="5"/>
      <protection hidden="1"/>
    </xf>
    <xf numFmtId="0" fontId="4" fillId="0" borderId="0" xfId="0" applyFont="1" applyFill="1" applyBorder="1" applyAlignment="1" applyProtection="1">
      <alignment horizontal="left" indent="13"/>
      <protection hidden="1"/>
    </xf>
    <xf numFmtId="0" fontId="4" fillId="0" borderId="0" xfId="0" applyFont="1" applyFill="1" applyBorder="1" applyAlignment="1" applyProtection="1">
      <alignment horizontal="left" indent="6"/>
      <protection hidden="1"/>
    </xf>
    <xf numFmtId="3" fontId="13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indent="11"/>
      <protection hidden="1"/>
    </xf>
    <xf numFmtId="0" fontId="16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left" indent="2"/>
      <protection hidden="1"/>
    </xf>
    <xf numFmtId="164" fontId="12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 indent="7"/>
      <protection hidden="1"/>
    </xf>
    <xf numFmtId="3" fontId="12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0" fontId="1" fillId="0" borderId="0" xfId="0" applyFont="1" applyFill="1" applyBorder="1" applyProtection="1"/>
    <xf numFmtId="0" fontId="0" fillId="0" borderId="0" xfId="0" applyFill="1" applyBorder="1" applyProtection="1"/>
    <xf numFmtId="3" fontId="0" fillId="0" borderId="0" xfId="0" applyNumberFormat="1" applyFill="1" applyBorder="1" applyProtection="1"/>
    <xf numFmtId="0" fontId="15" fillId="0" borderId="0" xfId="0" applyFont="1" applyFill="1" applyBorder="1" applyAlignment="1" applyProtection="1">
      <alignment horizontal="left" indent="2"/>
      <protection hidden="1"/>
    </xf>
    <xf numFmtId="0" fontId="8" fillId="0" borderId="0" xfId="0" applyFont="1" applyFill="1" applyBorder="1" applyAlignment="1" applyProtection="1">
      <alignment horizontal="left" indent="2"/>
      <protection hidden="1"/>
    </xf>
    <xf numFmtId="3" fontId="4" fillId="0" borderId="0" xfId="0" applyNumberFormat="1" applyFont="1" applyFill="1" applyBorder="1" applyProtection="1"/>
    <xf numFmtId="0" fontId="16" fillId="0" borderId="0" xfId="0" applyFont="1" applyFill="1" applyBorder="1" applyAlignment="1" applyProtection="1">
      <alignment horizontal="left" indent="1"/>
      <protection hidden="1"/>
    </xf>
    <xf numFmtId="0" fontId="0" fillId="0" borderId="0" xfId="0" applyAlignment="1">
      <alignment horizontal="right"/>
    </xf>
    <xf numFmtId="164" fontId="2" fillId="0" borderId="0" xfId="0" applyNumberFormat="1" applyFont="1" applyFill="1"/>
    <xf numFmtId="0" fontId="0" fillId="0" borderId="0" xfId="0" applyFill="1"/>
    <xf numFmtId="0" fontId="0" fillId="0" borderId="0" xfId="0" quotePrefix="1" applyFill="1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ont="1" applyFill="1"/>
    <xf numFmtId="0" fontId="2" fillId="0" borderId="0" xfId="0" applyFont="1" applyFill="1"/>
    <xf numFmtId="165" fontId="2" fillId="0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Fill="1" applyBorder="1" applyAlignment="1" applyProtection="1">
      <alignment horizontal="left" indent="7"/>
      <protection hidden="1"/>
    </xf>
    <xf numFmtId="0" fontId="19" fillId="0" borderId="0" xfId="0" applyFont="1" applyFill="1" applyBorder="1" applyAlignment="1" applyProtection="1">
      <alignment horizontal="left" indent="9"/>
      <protection hidden="1"/>
    </xf>
    <xf numFmtId="0" fontId="19" fillId="0" borderId="0" xfId="0" applyFont="1" applyFill="1" applyBorder="1" applyAlignment="1" applyProtection="1">
      <alignment horizontal="right" indent="2"/>
      <protection hidden="1"/>
    </xf>
    <xf numFmtId="0" fontId="22" fillId="0" borderId="0" xfId="0" applyFont="1" applyFill="1" applyBorder="1" applyAlignment="1" applyProtection="1">
      <alignment horizontal="left" indent="3"/>
      <protection hidden="1"/>
    </xf>
    <xf numFmtId="0" fontId="8" fillId="0" borderId="0" xfId="0" applyFont="1" applyFill="1" applyBorder="1" applyAlignment="1" applyProtection="1">
      <alignment horizontal="left" wrapText="1" indent="3"/>
      <protection hidden="1"/>
    </xf>
    <xf numFmtId="0" fontId="4" fillId="0" borderId="0" xfId="0" applyFont="1" applyFill="1" applyBorder="1" applyAlignment="1" applyProtection="1">
      <alignment horizontal="left" wrapText="1" indent="5"/>
      <protection hidden="1"/>
    </xf>
    <xf numFmtId="0" fontId="19" fillId="0" borderId="0" xfId="0" applyFont="1" applyFill="1" applyBorder="1" applyAlignment="1" applyProtection="1">
      <alignment horizontal="left" indent="5"/>
      <protection hidden="1"/>
    </xf>
    <xf numFmtId="164" fontId="0" fillId="0" borderId="0" xfId="0" applyNumberFormat="1" applyAlignment="1">
      <alignment horizontal="center"/>
    </xf>
    <xf numFmtId="0" fontId="24" fillId="0" borderId="0" xfId="0" applyFont="1"/>
    <xf numFmtId="0" fontId="0" fillId="0" borderId="2" xfId="0" applyBorder="1"/>
    <xf numFmtId="164" fontId="2" fillId="0" borderId="0" xfId="0" applyNumberFormat="1" applyFont="1" applyAlignment="1">
      <alignment horizontal="center"/>
    </xf>
    <xf numFmtId="0" fontId="0" fillId="0" borderId="0" xfId="3" applyNumberFormat="1" applyFont="1"/>
    <xf numFmtId="166" fontId="0" fillId="0" borderId="0" xfId="3" applyNumberFormat="1" applyFont="1"/>
    <xf numFmtId="167" fontId="0" fillId="0" borderId="0" xfId="3" applyNumberFormat="1" applyFont="1"/>
    <xf numFmtId="0" fontId="0" fillId="0" borderId="0" xfId="0" applyNumberFormat="1"/>
    <xf numFmtId="0" fontId="2" fillId="0" borderId="0" xfId="0" applyFont="1" applyFill="1" applyAlignment="1">
      <alignment horizontal="right"/>
    </xf>
    <xf numFmtId="0" fontId="25" fillId="0" borderId="0" xfId="0" applyFont="1"/>
    <xf numFmtId="9" fontId="2" fillId="0" borderId="0" xfId="2" applyFont="1" applyFill="1" applyAlignment="1">
      <alignment horizontal="center"/>
    </xf>
    <xf numFmtId="173" fontId="29" fillId="3" borderId="7" xfId="8" applyNumberFormat="1" applyFont="1" applyBorder="1" applyAlignment="1">
      <alignment horizontal="center"/>
    </xf>
    <xf numFmtId="164" fontId="8" fillId="2" borderId="9" xfId="0" applyNumberFormat="1" applyFont="1" applyFill="1" applyBorder="1" applyProtection="1">
      <protection locked="0"/>
    </xf>
    <xf numFmtId="164" fontId="8" fillId="2" borderId="10" xfId="0" applyNumberFormat="1" applyFont="1" applyFill="1" applyBorder="1" applyProtection="1">
      <protection locked="0"/>
    </xf>
    <xf numFmtId="164" fontId="8" fillId="2" borderId="11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13" xfId="0" applyNumberFormat="1" applyFont="1" applyFill="1" applyBorder="1" applyProtection="1">
      <protection locked="0"/>
    </xf>
    <xf numFmtId="164" fontId="8" fillId="2" borderId="14" xfId="0" applyNumberFormat="1" applyFont="1" applyFill="1" applyBorder="1" applyProtection="1">
      <protection locked="0"/>
    </xf>
    <xf numFmtId="0" fontId="31" fillId="4" borderId="4" xfId="10" applyFont="1" applyFill="1" applyBorder="1" applyAlignment="1">
      <alignment horizontal="center"/>
    </xf>
    <xf numFmtId="166" fontId="27" fillId="4" borderId="4" xfId="3" applyNumberFormat="1" applyFont="1" applyFill="1" applyBorder="1"/>
    <xf numFmtId="166" fontId="27" fillId="4" borderId="1" xfId="3" applyNumberFormat="1" applyFont="1" applyFill="1" applyBorder="1"/>
    <xf numFmtId="173" fontId="28" fillId="3" borderId="7" xfId="8" applyNumberFormat="1" applyFont="1" applyBorder="1" applyAlignment="1">
      <alignment horizontal="center"/>
    </xf>
    <xf numFmtId="0" fontId="31" fillId="4" borderId="1" xfId="10" applyFont="1" applyFill="1" applyBorder="1" applyAlignment="1">
      <alignment horizontal="center"/>
    </xf>
    <xf numFmtId="166" fontId="27" fillId="6" borderId="6" xfId="3" applyNumberFormat="1" applyFont="1" applyFill="1" applyBorder="1"/>
    <xf numFmtId="166" fontId="27" fillId="6" borderId="3" xfId="3" applyNumberFormat="1" applyFont="1" applyFill="1" applyBorder="1"/>
    <xf numFmtId="166" fontId="27" fillId="6" borderId="4" xfId="3" applyNumberFormat="1" applyFont="1" applyFill="1" applyBorder="1"/>
    <xf numFmtId="166" fontId="27" fillId="6" borderId="1" xfId="3" applyNumberFormat="1" applyFont="1" applyFill="1" applyBorder="1"/>
    <xf numFmtId="0" fontId="32" fillId="7" borderId="0" xfId="0" applyFont="1" applyFill="1" applyBorder="1" applyAlignment="1" applyProtection="1">
      <alignment horizontal="center"/>
      <protection hidden="1"/>
    </xf>
    <xf numFmtId="173" fontId="30" fillId="4" borderId="1" xfId="9" applyNumberFormat="1" applyFont="1" applyFill="1" applyBorder="1" applyAlignment="1">
      <alignment horizontal="left"/>
    </xf>
    <xf numFmtId="6" fontId="33" fillId="5" borderId="1" xfId="9" applyNumberFormat="1" applyFont="1" applyFill="1" applyBorder="1" applyAlignment="1">
      <alignment horizontal="left"/>
    </xf>
    <xf numFmtId="3" fontId="8" fillId="2" borderId="9" xfId="0" applyNumberFormat="1" applyFont="1" applyFill="1" applyBorder="1" applyProtection="1">
      <protection locked="0"/>
    </xf>
    <xf numFmtId="3" fontId="8" fillId="2" borderId="11" xfId="0" applyNumberFormat="1" applyFont="1" applyFill="1" applyBorder="1" applyProtection="1">
      <protection locked="0"/>
    </xf>
    <xf numFmtId="3" fontId="8" fillId="2" borderId="13" xfId="0" applyNumberFormat="1" applyFont="1" applyFill="1" applyBorder="1" applyProtection="1">
      <protection locked="0"/>
    </xf>
    <xf numFmtId="42" fontId="8" fillId="2" borderId="9" xfId="0" applyNumberFormat="1" applyFont="1" applyFill="1" applyBorder="1" applyProtection="1">
      <protection locked="0"/>
    </xf>
    <xf numFmtId="42" fontId="8" fillId="2" borderId="10" xfId="0" applyNumberFormat="1" applyFont="1" applyFill="1" applyBorder="1" applyProtection="1">
      <protection locked="0"/>
    </xf>
    <xf numFmtId="42" fontId="8" fillId="2" borderId="11" xfId="0" applyNumberFormat="1" applyFont="1" applyFill="1" applyBorder="1" applyProtection="1">
      <protection locked="0"/>
    </xf>
    <xf numFmtId="42" fontId="8" fillId="2" borderId="1" xfId="0" applyNumberFormat="1" applyFont="1" applyFill="1" applyBorder="1" applyProtection="1">
      <protection locked="0"/>
    </xf>
    <xf numFmtId="42" fontId="8" fillId="2" borderId="13" xfId="0" applyNumberFormat="1" applyFont="1" applyFill="1" applyBorder="1" applyProtection="1">
      <protection locked="0"/>
    </xf>
    <xf numFmtId="42" fontId="8" fillId="2" borderId="14" xfId="0" applyNumberFormat="1" applyFont="1" applyFill="1" applyBorder="1" applyProtection="1">
      <protection locked="0"/>
    </xf>
    <xf numFmtId="9" fontId="8" fillId="6" borderId="12" xfId="2" applyFont="1" applyFill="1" applyBorder="1" applyAlignment="1" applyProtection="1">
      <alignment horizontal="center"/>
      <protection locked="0"/>
    </xf>
    <xf numFmtId="6" fontId="33" fillId="8" borderId="1" xfId="9" applyNumberFormat="1" applyFont="1" applyFill="1" applyBorder="1" applyAlignment="1">
      <alignment horizontal="left"/>
    </xf>
    <xf numFmtId="9" fontId="8" fillId="6" borderId="9" xfId="2" applyFont="1" applyFill="1" applyBorder="1" applyProtection="1">
      <protection locked="0"/>
    </xf>
    <xf numFmtId="9" fontId="8" fillId="6" borderId="10" xfId="2" applyFont="1" applyFill="1" applyBorder="1" applyProtection="1">
      <protection locked="0"/>
    </xf>
    <xf numFmtId="166" fontId="8" fillId="6" borderId="11" xfId="3" applyNumberFormat="1" applyFont="1" applyFill="1" applyBorder="1" applyProtection="1">
      <protection locked="0"/>
    </xf>
    <xf numFmtId="166" fontId="8" fillId="6" borderId="1" xfId="3" applyNumberFormat="1" applyFont="1" applyFill="1" applyBorder="1" applyProtection="1">
      <protection locked="0"/>
    </xf>
    <xf numFmtId="164" fontId="8" fillId="6" borderId="13" xfId="2" applyNumberFormat="1" applyFont="1" applyFill="1" applyBorder="1" applyProtection="1">
      <protection locked="0"/>
    </xf>
    <xf numFmtId="164" fontId="8" fillId="6" borderId="14" xfId="2" applyNumberFormat="1" applyFont="1" applyFill="1" applyBorder="1" applyProtection="1">
      <protection locked="0"/>
    </xf>
    <xf numFmtId="9" fontId="8" fillId="6" borderId="13" xfId="2" applyFont="1" applyFill="1" applyBorder="1" applyProtection="1">
      <protection locked="0"/>
    </xf>
    <xf numFmtId="9" fontId="8" fillId="6" borderId="14" xfId="2" applyFont="1" applyFill="1" applyBorder="1" applyProtection="1">
      <protection locked="0"/>
    </xf>
    <xf numFmtId="5" fontId="8" fillId="6" borderId="9" xfId="3" applyNumberFormat="1" applyFont="1" applyFill="1" applyBorder="1" applyProtection="1">
      <protection locked="0"/>
    </xf>
    <xf numFmtId="5" fontId="8" fillId="6" borderId="10" xfId="3" applyNumberFormat="1" applyFont="1" applyFill="1" applyBorder="1" applyProtection="1">
      <protection locked="0"/>
    </xf>
    <xf numFmtId="5" fontId="8" fillId="6" borderId="11" xfId="3" applyNumberFormat="1" applyFont="1" applyFill="1" applyBorder="1" applyProtection="1">
      <protection locked="0"/>
    </xf>
    <xf numFmtId="5" fontId="8" fillId="6" borderId="1" xfId="3" applyNumberFormat="1" applyFont="1" applyFill="1" applyBorder="1" applyProtection="1">
      <protection locked="0"/>
    </xf>
    <xf numFmtId="5" fontId="8" fillId="6" borderId="13" xfId="3" applyNumberFormat="1" applyFont="1" applyFill="1" applyBorder="1" applyProtection="1">
      <protection locked="0"/>
    </xf>
    <xf numFmtId="5" fontId="8" fillId="6" borderId="14" xfId="3" applyNumberFormat="1" applyFont="1" applyFill="1" applyBorder="1" applyProtection="1">
      <protection locked="0"/>
    </xf>
    <xf numFmtId="9" fontId="8" fillId="6" borderId="15" xfId="2" applyFont="1" applyFill="1" applyBorder="1" applyAlignment="1" applyProtection="1">
      <alignment horizontal="center"/>
      <protection locked="0"/>
    </xf>
    <xf numFmtId="9" fontId="8" fillId="6" borderId="8" xfId="2" applyFont="1" applyFill="1" applyBorder="1" applyAlignment="1" applyProtection="1">
      <alignment horizontal="center"/>
      <protection locked="0"/>
    </xf>
    <xf numFmtId="173" fontId="28" fillId="3" borderId="7" xfId="8" applyNumberFormat="1" applyFont="1" applyBorder="1" applyAlignment="1">
      <alignment horizontal="left"/>
    </xf>
    <xf numFmtId="173" fontId="30" fillId="4" borderId="1" xfId="9" quotePrefix="1" applyNumberFormat="1" applyFont="1" applyFill="1" applyBorder="1" applyAlignment="1">
      <alignment horizontal="left"/>
    </xf>
    <xf numFmtId="166" fontId="27" fillId="4" borderId="5" xfId="3" applyNumberFormat="1" applyFont="1" applyFill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73" fontId="34" fillId="4" borderId="1" xfId="9" quotePrefix="1" applyNumberFormat="1" applyFont="1" applyFill="1" applyBorder="1" applyAlignment="1">
      <alignment horizontal="left"/>
    </xf>
    <xf numFmtId="0" fontId="0" fillId="2" borderId="1" xfId="0" applyFill="1" applyBorder="1"/>
    <xf numFmtId="0" fontId="35" fillId="0" borderId="0" xfId="0" quotePrefix="1" applyFont="1" applyAlignment="1">
      <alignment horizontal="left"/>
    </xf>
    <xf numFmtId="173" fontId="28" fillId="3" borderId="0" xfId="8" applyNumberFormat="1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Fill="1" applyBorder="1" applyProtection="1">
      <protection hidden="1"/>
    </xf>
    <xf numFmtId="173" fontId="29" fillId="3" borderId="7" xfId="8" applyNumberFormat="1" applyFont="1" applyBorder="1" applyAlignment="1">
      <alignment horizontal="center"/>
    </xf>
    <xf numFmtId="0" fontId="3" fillId="0" borderId="0" xfId="1" applyFill="1" applyAlignment="1" applyProtection="1"/>
    <xf numFmtId="0" fontId="0" fillId="9" borderId="0" xfId="0" applyFill="1" applyBorder="1" applyProtection="1">
      <protection hidden="1"/>
    </xf>
    <xf numFmtId="164" fontId="8" fillId="2" borderId="18" xfId="0" applyNumberFormat="1" applyFont="1" applyFill="1" applyBorder="1" applyProtection="1">
      <protection locked="0"/>
    </xf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6" fontId="27" fillId="9" borderId="5" xfId="3" applyNumberFormat="1" applyFont="1" applyFill="1" applyBorder="1"/>
    <xf numFmtId="166" fontId="27" fillId="9" borderId="4" xfId="3" applyNumberFormat="1" applyFont="1" applyFill="1" applyBorder="1"/>
    <xf numFmtId="166" fontId="36" fillId="4" borderId="4" xfId="3" applyNumberFormat="1" applyFont="1" applyFill="1" applyBorder="1"/>
    <xf numFmtId="165" fontId="0" fillId="0" borderId="0" xfId="0" applyNumberFormat="1" applyAlignment="1">
      <alignment horizontal="center"/>
    </xf>
    <xf numFmtId="0" fontId="31" fillId="4" borderId="6" xfId="10" applyFont="1" applyFill="1" applyBorder="1" applyAlignment="1">
      <alignment horizontal="center"/>
    </xf>
    <xf numFmtId="164" fontId="0" fillId="9" borderId="0" xfId="0" applyNumberFormat="1" applyFill="1"/>
    <xf numFmtId="166" fontId="27" fillId="9" borderId="6" xfId="3" applyNumberFormat="1" applyFont="1" applyFill="1" applyBorder="1"/>
    <xf numFmtId="0" fontId="0" fillId="4" borderId="0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166" fontId="0" fillId="4" borderId="0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0" fontId="31" fillId="4" borderId="4" xfId="10" applyFont="1" applyFill="1" applyBorder="1" applyAlignment="1">
      <alignment horizontal="center"/>
    </xf>
    <xf numFmtId="166" fontId="0" fillId="0" borderId="0" xfId="0" applyNumberFormat="1"/>
    <xf numFmtId="173" fontId="29" fillId="3" borderId="7" xfId="8" applyNumberFormat="1" applyFont="1" applyBorder="1" applyAlignment="1">
      <alignment horizontal="center"/>
    </xf>
    <xf numFmtId="165" fontId="0" fillId="0" borderId="1" xfId="0" applyNumberFormat="1" applyBorder="1"/>
    <xf numFmtId="165" fontId="0" fillId="0" borderId="3" xfId="0" applyNumberFormat="1" applyBorder="1"/>
    <xf numFmtId="9" fontId="8" fillId="6" borderId="16" xfId="2" applyFont="1" applyFill="1" applyBorder="1" applyProtection="1">
      <protection locked="0"/>
    </xf>
    <xf numFmtId="9" fontId="8" fillId="6" borderId="17" xfId="2" applyFont="1" applyFill="1" applyBorder="1" applyProtection="1">
      <protection locked="0"/>
    </xf>
    <xf numFmtId="164" fontId="2" fillId="0" borderId="8" xfId="0" applyNumberFormat="1" applyFont="1" applyFill="1" applyBorder="1"/>
    <xf numFmtId="166" fontId="27" fillId="4" borderId="10" xfId="3" applyNumberFormat="1" applyFont="1" applyFill="1" applyBorder="1"/>
    <xf numFmtId="166" fontId="27" fillId="4" borderId="22" xfId="3" applyNumberFormat="1" applyFont="1" applyFill="1" applyBorder="1"/>
    <xf numFmtId="166" fontId="27" fillId="4" borderId="23" xfId="3" applyNumberFormat="1" applyFont="1" applyFill="1" applyBorder="1"/>
    <xf numFmtId="0" fontId="0" fillId="0" borderId="24" xfId="0" applyBorder="1"/>
    <xf numFmtId="0" fontId="0" fillId="10" borderId="0" xfId="0" applyFill="1"/>
    <xf numFmtId="173" fontId="28" fillId="3" borderId="7" xfId="8" quotePrefix="1" applyNumberFormat="1" applyFont="1" applyBorder="1" applyAlignment="1">
      <alignment horizontal="left"/>
    </xf>
    <xf numFmtId="10" fontId="27" fillId="4" borderId="1" xfId="2" applyNumberFormat="1" applyFont="1" applyFill="1" applyBorder="1"/>
    <xf numFmtId="173" fontId="28" fillId="3" borderId="0" xfId="8" applyNumberFormat="1" applyFont="1" applyBorder="1" applyAlignment="1">
      <alignment horizontal="center"/>
    </xf>
    <xf numFmtId="0" fontId="0" fillId="0" borderId="0" xfId="0" applyAlignment="1"/>
    <xf numFmtId="0" fontId="0" fillId="9" borderId="0" xfId="0" applyFill="1" applyAlignment="1">
      <alignment horizontal="center"/>
    </xf>
    <xf numFmtId="0" fontId="35" fillId="0" borderId="0" xfId="0" applyFont="1" applyAlignment="1">
      <alignment horizontal="left"/>
    </xf>
  </cellXfs>
  <cellStyles count="12">
    <cellStyle name="Colore 5 2" xfId="8" xr:uid="{00000000-0005-0000-0000-000000000000}"/>
    <cellStyle name="Comma" xfId="3" builtinId="3"/>
    <cellStyle name="Hyperlink" xfId="1" builtinId="8"/>
    <cellStyle name="Migliaia [0] 2" xfId="6" xr:uid="{00000000-0005-0000-0000-000003000000}"/>
    <cellStyle name="Migliaia 2" xfId="7" xr:uid="{00000000-0005-0000-0000-000004000000}"/>
    <cellStyle name="Migliaia 3" xfId="9" xr:uid="{00000000-0005-0000-0000-000005000000}"/>
    <cellStyle name="Normal" xfId="0" builtinId="0"/>
    <cellStyle name="Normale 3" xfId="10" xr:uid="{00000000-0005-0000-0000-000007000000}"/>
    <cellStyle name="Normale 4" xfId="4" xr:uid="{00000000-0005-0000-0000-000008000000}"/>
    <cellStyle name="Normale_BP Modello" xfId="11" xr:uid="{00000000-0005-0000-0000-000009000000}"/>
    <cellStyle name="Percent" xfId="2" builtinId="5"/>
    <cellStyle name="Percentuale 2" xfId="5" xr:uid="{00000000-0005-0000-0000-00000B000000}"/>
  </cellStyles>
  <dxfs count="132">
    <dxf>
      <font>
        <b val="0"/>
        <i/>
        <color rgb="FFFF0000"/>
      </font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rgb="FFFF000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nluca.imperiale/Documents/Gianluca/Progetto%20Blog/rendiconto%20Finanziario/IstanzaXBRL_win7/istanzaXBR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s"/>
      <sheetName val="Indice"/>
      <sheetName val="Impostazioni"/>
      <sheetName val="Estensione"/>
      <sheetName val="Anagrafica"/>
      <sheetName val="Info"/>
      <sheetName val="Info_istanza"/>
      <sheetName val="DatiNormalizzati"/>
      <sheetName val="DatiGestionale"/>
      <sheetName val="ValoriRimappati"/>
      <sheetName val="SP"/>
      <sheetName val="SP_istanza"/>
      <sheetName val="SPAbb"/>
      <sheetName val="SPAbb_istanza"/>
      <sheetName val="SPAbbSemp"/>
      <sheetName val="SPAbbSemp_istanza"/>
      <sheetName val="SPCons"/>
      <sheetName val="SPCons_istanza"/>
      <sheetName val="CO"/>
      <sheetName val="CO_istanza"/>
      <sheetName val="CE"/>
      <sheetName val="CE_istanza"/>
      <sheetName val="CEAbb"/>
      <sheetName val="CEAbb_istanza"/>
      <sheetName val="CECons"/>
      <sheetName val="CECons_istanza"/>
      <sheetName val="BAK"/>
      <sheetName val="BAK_istanza"/>
      <sheetName val="Ext_SPAbb"/>
      <sheetName val="Configurazione"/>
      <sheetName val="Import"/>
      <sheetName val="InstanceTemplate"/>
      <sheetName val="Stylesheet"/>
    </sheetNames>
    <sheetDataSet>
      <sheetData sheetId="0" refreshError="1"/>
      <sheetData sheetId="1" refreshError="1"/>
      <sheetData sheetId="2">
        <row r="20">
          <cell r="A20" t="str">
            <v>Ce</v>
          </cell>
          <cell r="B20" t="str">
            <v>Conto economico a valore e costo della produzione (schema civilistico)</v>
          </cell>
          <cell r="C20" t="str">
            <v>CEValProduzioneCodCivile</v>
          </cell>
          <cell r="D20" t="str">
            <v>Income statement (value and cost of production)</v>
          </cell>
          <cell r="E20" t="b">
            <v>1</v>
          </cell>
          <cell r="F20" t="b">
            <v>1</v>
          </cell>
          <cell r="G20" t="b">
            <v>0</v>
          </cell>
          <cell r="H20" t="b">
            <v>0</v>
          </cell>
          <cell r="I20" t="str">
            <v>ese</v>
          </cell>
          <cell r="J20" t="str">
            <v>itcc-ci-ese-2011-01-04</v>
          </cell>
        </row>
        <row r="21">
          <cell r="A21" t="str">
            <v>Co</v>
          </cell>
          <cell r="B21" t="str">
            <v>Conti d'ordine</v>
          </cell>
          <cell r="C21" t="str">
            <v>ContiOrdine</v>
          </cell>
          <cell r="D21" t="str">
            <v>Memo Accounts</v>
          </cell>
          <cell r="E21" t="b">
            <v>1</v>
          </cell>
          <cell r="F21" t="b">
            <v>1</v>
          </cell>
          <cell r="G21" t="b">
            <v>0</v>
          </cell>
          <cell r="H21" t="b">
            <v>0</v>
          </cell>
          <cell r="I21" t="str">
            <v>ese</v>
          </cell>
          <cell r="J21" t="str">
            <v>itcc-ci-ese-2011-01-04</v>
          </cell>
        </row>
        <row r="22">
          <cell r="E22" t="b">
            <v>1</v>
          </cell>
          <cell r="F22" t="b">
            <v>1</v>
          </cell>
          <cell r="G22" t="b">
            <v>0</v>
          </cell>
          <cell r="H22" t="b">
            <v>0</v>
          </cell>
          <cell r="I22" t="str">
            <v>cons</v>
          </cell>
          <cell r="J22" t="str">
            <v>itcc-ci-cons-2011-01-04</v>
          </cell>
        </row>
        <row r="23">
          <cell r="E23" t="b">
            <v>1</v>
          </cell>
          <cell r="F23" t="b">
            <v>1</v>
          </cell>
          <cell r="G23" t="b">
            <v>0</v>
          </cell>
          <cell r="H23" t="b">
            <v>0</v>
          </cell>
          <cell r="I23" t="str">
            <v>abb</v>
          </cell>
          <cell r="J23" t="str">
            <v>itcc-ci-abb-2011-01-04</v>
          </cell>
        </row>
        <row r="24">
          <cell r="E24" t="b">
            <v>1</v>
          </cell>
          <cell r="F24" t="b">
            <v>1</v>
          </cell>
          <cell r="G24" t="b">
            <v>0</v>
          </cell>
          <cell r="H24" t="b">
            <v>0</v>
          </cell>
          <cell r="I24" t="str">
            <v>abbsemp</v>
          </cell>
          <cell r="J24" t="str">
            <v>itcc-ci-abbsemp-2011-01-04</v>
          </cell>
        </row>
        <row r="25">
          <cell r="A25" t="str">
            <v>Info</v>
          </cell>
          <cell r="B25" t="str">
            <v>Informazioni generali sull'azienda</v>
          </cell>
          <cell r="C25" t="str">
            <v>InfoGenerali</v>
          </cell>
          <cell r="D25" t="str">
            <v>General information about the firm</v>
          </cell>
          <cell r="E25" t="b">
            <v>1</v>
          </cell>
          <cell r="F25" t="b">
            <v>0</v>
          </cell>
          <cell r="G25" t="b">
            <v>0</v>
          </cell>
          <cell r="H25" t="b">
            <v>0</v>
          </cell>
          <cell r="I25" t="str">
            <v>ese</v>
          </cell>
          <cell r="J25" t="str">
            <v>itcc-ci-ese-2011-01-04</v>
          </cell>
        </row>
        <row r="26">
          <cell r="E26" t="b">
            <v>1</v>
          </cell>
          <cell r="F26" t="b">
            <v>0</v>
          </cell>
          <cell r="G26" t="b">
            <v>0</v>
          </cell>
          <cell r="H26" t="b">
            <v>0</v>
          </cell>
          <cell r="I26" t="str">
            <v>cons</v>
          </cell>
          <cell r="J26" t="str">
            <v>itcc-ci-cons-2011-01-04</v>
          </cell>
        </row>
        <row r="27">
          <cell r="E27" t="b">
            <v>1</v>
          </cell>
          <cell r="F27" t="b">
            <v>0</v>
          </cell>
          <cell r="G27" t="b">
            <v>0</v>
          </cell>
          <cell r="H27" t="b">
            <v>0</v>
          </cell>
          <cell r="I27" t="str">
            <v>abb</v>
          </cell>
          <cell r="J27" t="str">
            <v>itcc-ci-abb-2011-01-04</v>
          </cell>
        </row>
        <row r="28">
          <cell r="E28" t="b">
            <v>1</v>
          </cell>
          <cell r="F28" t="b">
            <v>0</v>
          </cell>
          <cell r="G28" t="b">
            <v>0</v>
          </cell>
          <cell r="H28" t="b">
            <v>0</v>
          </cell>
          <cell r="I28" t="str">
            <v>abbsemp</v>
          </cell>
          <cell r="J28" t="str">
            <v>itcc-ci-abbsemp-2011-01-04</v>
          </cell>
        </row>
        <row r="29">
          <cell r="A29" t="str">
            <v>Sp</v>
          </cell>
          <cell r="B29" t="str">
            <v>Stato patrimoniale (schema civilistico)</v>
          </cell>
          <cell r="C29" t="str">
            <v>SpCodCivile</v>
          </cell>
          <cell r="D29" t="str">
            <v>Balance sheet (mandatory scheme)</v>
          </cell>
          <cell r="E29" t="b">
            <v>1</v>
          </cell>
          <cell r="F29" t="b">
            <v>1</v>
          </cell>
          <cell r="G29" t="b">
            <v>0</v>
          </cell>
          <cell r="H29" t="b">
            <v>0</v>
          </cell>
          <cell r="I29" t="str">
            <v>ese</v>
          </cell>
          <cell r="J29" t="str">
            <v>itcc-ci-ese-2011-01-04</v>
          </cell>
        </row>
        <row r="30">
          <cell r="A30" t="str">
            <v>CeAbb</v>
          </cell>
          <cell r="B30" t="str">
            <v>Conto Economico in forma abbreviata</v>
          </cell>
          <cell r="C30" t="str">
            <v>CEAbbreviata</v>
          </cell>
          <cell r="D30" t="str">
            <v>Income statement (short form)</v>
          </cell>
          <cell r="E30" t="b">
            <v>1</v>
          </cell>
          <cell r="F30" t="b">
            <v>1</v>
          </cell>
          <cell r="G30" t="b">
            <v>0</v>
          </cell>
          <cell r="H30" t="b">
            <v>0</v>
          </cell>
          <cell r="I30" t="str">
            <v>abb</v>
          </cell>
          <cell r="J30" t="str">
            <v>itcc-ci-abb-2011-01-04</v>
          </cell>
        </row>
        <row r="31">
          <cell r="E31" t="b">
            <v>1</v>
          </cell>
          <cell r="F31" t="b">
            <v>1</v>
          </cell>
          <cell r="G31" t="b">
            <v>0</v>
          </cell>
          <cell r="H31" t="b">
            <v>0</v>
          </cell>
          <cell r="I31" t="str">
            <v>abbsemp</v>
          </cell>
          <cell r="J31" t="str">
            <v>itcc-ci-abbsemp-2011-01-04</v>
          </cell>
        </row>
        <row r="32">
          <cell r="A32" t="str">
            <v>SpAbb</v>
          </cell>
          <cell r="B32" t="str">
            <v>Stato patrimoniale in forma abbreviata</v>
          </cell>
          <cell r="C32" t="str">
            <v>SPAbbreviata</v>
          </cell>
          <cell r="D32" t="str">
            <v>Balance sheet (short form)</v>
          </cell>
          <cell r="E32" t="b">
            <v>1</v>
          </cell>
          <cell r="F32" t="b">
            <v>1</v>
          </cell>
          <cell r="G32" t="b">
            <v>0</v>
          </cell>
          <cell r="H32" t="b">
            <v>0</v>
          </cell>
          <cell r="I32" t="str">
            <v>abb</v>
          </cell>
          <cell r="J32" t="str">
            <v>itcc-ci-abb-2011-01-04</v>
          </cell>
        </row>
        <row r="33">
          <cell r="A33" t="str">
            <v>SpAbbSemp</v>
          </cell>
          <cell r="B33" t="str">
            <v>Stato patrimoniale in forma abbr. Semplificata</v>
          </cell>
          <cell r="C33" t="str">
            <v>SPAbbreviataSemplificata</v>
          </cell>
          <cell r="D33" t="str">
            <v>Balance sheet (simplified form)</v>
          </cell>
          <cell r="E33" t="b">
            <v>1</v>
          </cell>
          <cell r="F33" t="b">
            <v>1</v>
          </cell>
          <cell r="G33" t="b">
            <v>0</v>
          </cell>
          <cell r="H33" t="b">
            <v>0</v>
          </cell>
          <cell r="I33" t="str">
            <v>abbsemp</v>
          </cell>
          <cell r="J33" t="str">
            <v>itcc-ci-abbsemp-2011-01-04</v>
          </cell>
        </row>
        <row r="34">
          <cell r="A34" t="str">
            <v>CECons</v>
          </cell>
          <cell r="B34" t="str">
            <v>Conto economico consolidato</v>
          </cell>
          <cell r="C34" t="str">
            <v>CEConsolidato</v>
          </cell>
          <cell r="D34" t="str">
            <v>Income statement (consolidated form)</v>
          </cell>
          <cell r="E34" t="b">
            <v>1</v>
          </cell>
          <cell r="F34" t="b">
            <v>1</v>
          </cell>
          <cell r="G34" t="b">
            <v>0</v>
          </cell>
          <cell r="H34" t="b">
            <v>0</v>
          </cell>
          <cell r="I34" t="str">
            <v>cons</v>
          </cell>
          <cell r="J34" t="str">
            <v>itcc-ci-cons-2011-01-04</v>
          </cell>
        </row>
        <row r="35">
          <cell r="A35" t="str">
            <v>CECons_1</v>
          </cell>
          <cell r="B35" t="str">
            <v>Conto economico consolidato, altre relazioni</v>
          </cell>
          <cell r="C35" t="str">
            <v>CEConsolidatoAltro</v>
          </cell>
          <cell r="D35" t="str">
            <v>Income statement, other (consolidated form)</v>
          </cell>
          <cell r="E35" t="b">
            <v>0</v>
          </cell>
          <cell r="F35" t="b">
            <v>1</v>
          </cell>
          <cell r="G35" t="b">
            <v>0</v>
          </cell>
          <cell r="H35" t="b">
            <v>0</v>
          </cell>
          <cell r="I35" t="str">
            <v>cons</v>
          </cell>
          <cell r="J35" t="str">
            <v>itcc-ci-cons-2011-01-04</v>
          </cell>
        </row>
        <row r="36">
          <cell r="A36" t="str">
            <v>SPCons</v>
          </cell>
          <cell r="B36" t="str">
            <v>Stato patrimoniale consolidato</v>
          </cell>
          <cell r="C36" t="str">
            <v>SPConsolidato</v>
          </cell>
          <cell r="D36" t="str">
            <v>Balance sheet (consolidated form)</v>
          </cell>
          <cell r="E36" t="b">
            <v>1</v>
          </cell>
          <cell r="F36" t="b">
            <v>1</v>
          </cell>
          <cell r="G36" t="b">
            <v>0</v>
          </cell>
          <cell r="H36" t="b">
            <v>0</v>
          </cell>
          <cell r="I36" t="str">
            <v>cons</v>
          </cell>
          <cell r="J36" t="str">
            <v>itcc-ci-cons-2011-01-04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K1" t="str">
            <v>31-12-2011</v>
          </cell>
          <cell r="M1" t="str">
            <v>31-12-2010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"/>
  <sheetViews>
    <sheetView showGridLines="0" topLeftCell="A7" workbookViewId="0">
      <selection activeCell="D28" sqref="D28"/>
    </sheetView>
  </sheetViews>
  <sheetFormatPr defaultColWidth="8.6640625" defaultRowHeight="14.4" x14ac:dyDescent="0.3"/>
  <cols>
    <col min="2" max="2" width="40" bestFit="1" customWidth="1"/>
    <col min="3" max="3" width="38.109375" bestFit="1" customWidth="1"/>
    <col min="4" max="4" width="9.6640625" bestFit="1" customWidth="1"/>
  </cols>
  <sheetData>
    <row r="2" spans="2:7" hidden="1" x14ac:dyDescent="0.3">
      <c r="B2" s="2" t="s">
        <v>0</v>
      </c>
      <c r="C2" s="3">
        <v>1</v>
      </c>
    </row>
    <row r="3" spans="2:7" x14ac:dyDescent="0.3">
      <c r="B3" s="2"/>
      <c r="C3" s="2"/>
    </row>
    <row r="4" spans="2:7" x14ac:dyDescent="0.3">
      <c r="B4" s="99" t="s">
        <v>1045</v>
      </c>
      <c r="C4" s="141">
        <v>2017</v>
      </c>
    </row>
    <row r="5" spans="2:7" x14ac:dyDescent="0.3">
      <c r="B5" s="4"/>
    </row>
    <row r="6" spans="2:7" x14ac:dyDescent="0.3">
      <c r="B6" s="179" t="s">
        <v>1050</v>
      </c>
      <c r="C6" s="180"/>
      <c r="D6" s="180"/>
      <c r="E6" s="180"/>
      <c r="F6" s="180"/>
      <c r="G6" s="180"/>
    </row>
    <row r="7" spans="2:7" x14ac:dyDescent="0.3">
      <c r="B7" s="4"/>
    </row>
    <row r="8" spans="2:7" ht="18" x14ac:dyDescent="0.35">
      <c r="B8" s="135" t="s">
        <v>1046</v>
      </c>
      <c r="C8" s="142" t="s">
        <v>1047</v>
      </c>
      <c r="D8" s="4" t="s">
        <v>1048</v>
      </c>
    </row>
    <row r="9" spans="2:7" ht="18" x14ac:dyDescent="0.35">
      <c r="B9" s="144"/>
      <c r="C9" s="142" t="s">
        <v>1049</v>
      </c>
      <c r="D9" s="4" t="s">
        <v>1051</v>
      </c>
    </row>
    <row r="10" spans="2:7" x14ac:dyDescent="0.3">
      <c r="B10" s="144"/>
    </row>
    <row r="11" spans="2:7" ht="18" x14ac:dyDescent="0.35">
      <c r="B11" s="135" t="s">
        <v>1052</v>
      </c>
      <c r="C11" s="142" t="s">
        <v>1053</v>
      </c>
      <c r="D11" s="4" t="s">
        <v>1054</v>
      </c>
    </row>
    <row r="12" spans="2:7" ht="18" x14ac:dyDescent="0.35">
      <c r="B12" s="144"/>
      <c r="C12" s="142" t="s">
        <v>1055</v>
      </c>
      <c r="D12" s="4" t="s">
        <v>1056</v>
      </c>
    </row>
    <row r="13" spans="2:7" ht="18" x14ac:dyDescent="0.35">
      <c r="B13" s="144"/>
      <c r="C13" s="142" t="s">
        <v>1057</v>
      </c>
      <c r="D13" s="4" t="s">
        <v>1058</v>
      </c>
      <c r="F13" t="s">
        <v>927</v>
      </c>
    </row>
    <row r="14" spans="2:7" x14ac:dyDescent="0.3">
      <c r="B14" s="144"/>
    </row>
    <row r="15" spans="2:7" ht="18" x14ac:dyDescent="0.35">
      <c r="B15" s="135" t="s">
        <v>1059</v>
      </c>
      <c r="C15" s="142" t="s">
        <v>1060</v>
      </c>
      <c r="D15" s="4" t="s">
        <v>1061</v>
      </c>
    </row>
    <row r="16" spans="2:7" ht="18" x14ac:dyDescent="0.35">
      <c r="B16" s="144"/>
      <c r="C16" s="142" t="s">
        <v>1060</v>
      </c>
      <c r="D16" s="147" t="s">
        <v>1058</v>
      </c>
      <c r="F16" t="s">
        <v>48</v>
      </c>
    </row>
    <row r="17" spans="2:4" x14ac:dyDescent="0.3">
      <c r="B17" s="144"/>
    </row>
    <row r="18" spans="2:4" x14ac:dyDescent="0.3">
      <c r="B18" s="144"/>
    </row>
    <row r="19" spans="2:4" ht="18" x14ac:dyDescent="0.35">
      <c r="B19" s="135" t="s">
        <v>1062</v>
      </c>
      <c r="C19" s="142" t="s">
        <v>1047</v>
      </c>
      <c r="D19" s="4" t="s">
        <v>1063</v>
      </c>
    </row>
    <row r="20" spans="2:4" ht="18" x14ac:dyDescent="0.35">
      <c r="C20" s="142" t="s">
        <v>1049</v>
      </c>
      <c r="D20" s="147" t="s">
        <v>1064</v>
      </c>
    </row>
    <row r="21" spans="2:4" ht="18" x14ac:dyDescent="0.35">
      <c r="C21" s="142" t="s">
        <v>1065</v>
      </c>
      <c r="D21" s="4" t="s">
        <v>1066</v>
      </c>
    </row>
    <row r="22" spans="2:4" ht="18" x14ac:dyDescent="0.35">
      <c r="C22" s="142" t="s">
        <v>1067</v>
      </c>
      <c r="D22" s="4" t="s">
        <v>1068</v>
      </c>
    </row>
    <row r="23" spans="2:4" ht="18" x14ac:dyDescent="0.35">
      <c r="C23" s="142" t="s">
        <v>1069</v>
      </c>
      <c r="D23" s="4" t="s">
        <v>1070</v>
      </c>
    </row>
    <row r="24" spans="2:4" ht="18" x14ac:dyDescent="0.35">
      <c r="C24" s="142" t="s">
        <v>1071</v>
      </c>
      <c r="D24" s="4" t="s">
        <v>1072</v>
      </c>
    </row>
    <row r="25" spans="2:4" ht="18" x14ac:dyDescent="0.35">
      <c r="C25" s="142" t="s">
        <v>1078</v>
      </c>
      <c r="D25" s="4" t="s">
        <v>1073</v>
      </c>
    </row>
    <row r="26" spans="2:4" ht="18" x14ac:dyDescent="0.35">
      <c r="C26" s="142" t="s">
        <v>1076</v>
      </c>
      <c r="D26" s="4" t="s">
        <v>1077</v>
      </c>
    </row>
    <row r="27" spans="2:4" ht="18" x14ac:dyDescent="0.35">
      <c r="C27" s="142" t="s">
        <v>1074</v>
      </c>
      <c r="D27" s="4" t="s">
        <v>1075</v>
      </c>
    </row>
    <row r="28" spans="2:4" ht="18" x14ac:dyDescent="0.35">
      <c r="C28" s="182" t="s">
        <v>1107</v>
      </c>
      <c r="D28" s="4" t="s">
        <v>1108</v>
      </c>
    </row>
  </sheetData>
  <mergeCells count="1">
    <mergeCell ref="B6:G6"/>
  </mergeCells>
  <hyperlinks>
    <hyperlink ref="D8" location="SP!A1" display="Foglio &quot;SP&quot;" xr:uid="{00000000-0004-0000-0000-000000000000}"/>
    <hyperlink ref="D9" location="CE!A1" display="Foglio &quot;CE&quot;" xr:uid="{00000000-0004-0000-0000-000001000000}"/>
    <hyperlink ref="D11" location="'Scheda Debiti'!A1" display="Foglio &quot;Scheda Debiti&quot;" xr:uid="{00000000-0004-0000-0000-000002000000}"/>
    <hyperlink ref="D12" location="'Scheda Crediti'!A1" display="Foglio &quot;Scheda Crediti&quot;" xr:uid="{00000000-0004-0000-0000-000003000000}"/>
    <hyperlink ref="D13" location="'Scheda Inv'!A1" display="Foglio &quot;Scheda Inv&quot;" xr:uid="{00000000-0004-0000-0000-000004000000}"/>
    <hyperlink ref="D15" location="'Input Previsionale'!A1" display="Foglio &quot;Input Previsionale&quot;" xr:uid="{00000000-0004-0000-0000-000005000000}"/>
    <hyperlink ref="D16" location="'Scheda Inv'!A40" display="Foglio &quot;Scheda Inv&quot;" xr:uid="{00000000-0004-0000-0000-000006000000}"/>
    <hyperlink ref="D19" location="'SP Previsionale'!A1" display="Foglio &quot;SP Previsionale&quot;" xr:uid="{00000000-0004-0000-0000-000007000000}"/>
    <hyperlink ref="D21" location="'Rendiconto Finanziario'!A1" display="Foglio &quot;Rendiconto Finanziario&quot;" xr:uid="{00000000-0004-0000-0000-000008000000}"/>
    <hyperlink ref="D22" location="'Rendiconto Finanziario Dir'!A1" display="Foglio &quot;Rendiconto Finanziario Dir&quot;" xr:uid="{00000000-0004-0000-0000-000009000000}"/>
    <hyperlink ref="D23" location="'Fonte Impieghi'!A1" display="Foglio &quot;Fonte Impieghir&quot;" xr:uid="{00000000-0004-0000-0000-00000A000000}"/>
    <hyperlink ref="D24" location="Indicatori!A1" display="Foglio &quot;Indicatori&quot;" xr:uid="{00000000-0004-0000-0000-00000B000000}"/>
    <hyperlink ref="D25" location="'Rat MedioCreditoCentrale'!A1" display="Foglio &quot;Rat MedioCreditoCentrale&quot;" xr:uid="{00000000-0004-0000-0000-00000C000000}"/>
    <hyperlink ref="D26" location="In_Bancabilità!A1" display="Foglio &quot;In_Bancabilità&quot;" xr:uid="{00000000-0004-0000-0000-00000D000000}"/>
    <hyperlink ref="D27" location="Grafici!A1" display="Foglio &quot;Grafici&quot;" xr:uid="{00000000-0004-0000-0000-00000E000000}"/>
    <hyperlink ref="D20" location="'CE Previsionale'!A1" display="Foglio &quot;CE Previsionale&quot;" xr:uid="{00000000-0004-0000-0000-00000F000000}"/>
    <hyperlink ref="D28" location="'Valore Aziendale'!A1" display="Foglio Valore Aziendale" xr:uid="{6DA0CDFF-5A6D-4E64-9841-363D6CA1C592}"/>
  </hyperlink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9"/>
  <sheetViews>
    <sheetView showGridLines="0" topLeftCell="C14" workbookViewId="0">
      <selection activeCell="K39" sqref="K39"/>
    </sheetView>
  </sheetViews>
  <sheetFormatPr defaultColWidth="8.6640625" defaultRowHeight="14.4" x14ac:dyDescent="0.3"/>
  <cols>
    <col min="2" max="2" width="64.6640625" bestFit="1" customWidth="1"/>
    <col min="3" max="5" width="11.6640625" bestFit="1" customWidth="1"/>
    <col min="6" max="8" width="12.5546875" bestFit="1" customWidth="1"/>
  </cols>
  <sheetData>
    <row r="1" spans="1:8" x14ac:dyDescent="0.3">
      <c r="A1" s="9" t="s">
        <v>77</v>
      </c>
      <c r="C1" s="99" t="str">
        <f>+'SP Previsionale'!E2</f>
        <v>Consuntivo</v>
      </c>
      <c r="D1" s="99" t="str">
        <f>+'SP Previsionale'!F2</f>
        <v>Consuntivo</v>
      </c>
      <c r="E1" s="99" t="str">
        <f>+'SP Previsionale'!G2</f>
        <v>Consuntivo</v>
      </c>
      <c r="F1" s="99" t="str">
        <f>+'SP Previsionale'!H2</f>
        <v>Previsionale</v>
      </c>
      <c r="G1" s="99" t="str">
        <f>+'SP Previsionale'!I2</f>
        <v>Previsionale</v>
      </c>
      <c r="H1" s="99" t="str">
        <f>+'SP Previsionale'!J2</f>
        <v>Previsionale</v>
      </c>
    </row>
    <row r="2" spans="1:8" ht="16.2" thickBot="1" x14ac:dyDescent="0.35">
      <c r="B2" s="89" t="s">
        <v>896</v>
      </c>
      <c r="C2" s="100">
        <f>+D2-1</f>
        <v>2015</v>
      </c>
      <c r="D2" s="100">
        <f>+E2-1</f>
        <v>2016</v>
      </c>
      <c r="E2" s="100">
        <f>+'Input Previsionale'!E8-1</f>
        <v>2017</v>
      </c>
      <c r="F2" s="100">
        <f>+E2+1</f>
        <v>2018</v>
      </c>
      <c r="G2" s="100">
        <f t="shared" ref="G2:H2" si="0">+F2+1</f>
        <v>2019</v>
      </c>
      <c r="H2" s="100">
        <f t="shared" si="0"/>
        <v>2020</v>
      </c>
    </row>
    <row r="3" spans="1:8" ht="15" thickBot="1" x14ac:dyDescent="0.35">
      <c r="B3" s="135" t="s">
        <v>897</v>
      </c>
      <c r="C3" s="139">
        <f t="shared" ref="C3" si="1">+SUM(C5:C6)-C4+C7</f>
        <v>0</v>
      </c>
      <c r="D3" s="139">
        <f>+SUM(D5:D6)-D4+D7</f>
        <v>0</v>
      </c>
      <c r="E3" s="139">
        <f t="shared" ref="E3:H3" si="2">+SUM(E5:E6)-E4+E7</f>
        <v>1156284.1099999999</v>
      </c>
      <c r="F3" s="139">
        <f t="shared" si="2"/>
        <v>1208947.824</v>
      </c>
      <c r="G3" s="139">
        <f t="shared" si="2"/>
        <v>1269395.2152</v>
      </c>
      <c r="H3" s="139">
        <f t="shared" si="2"/>
        <v>1332864.97596</v>
      </c>
    </row>
    <row r="4" spans="1:8" x14ac:dyDescent="0.3">
      <c r="A4">
        <v>3</v>
      </c>
      <c r="B4" s="136" t="s">
        <v>1031</v>
      </c>
      <c r="C4" s="137">
        <f>+'ce mcl'!C4</f>
        <v>0</v>
      </c>
      <c r="D4" s="137">
        <f>+'ce mcl'!D4</f>
        <v>0</v>
      </c>
      <c r="E4" s="137">
        <f>+'ce mcl'!E4</f>
        <v>0</v>
      </c>
      <c r="F4" s="137">
        <f>+E7</f>
        <v>0</v>
      </c>
      <c r="G4" s="137">
        <f t="shared" ref="G4:H4" si="3">+F7</f>
        <v>0</v>
      </c>
      <c r="H4" s="137">
        <f t="shared" si="3"/>
        <v>0</v>
      </c>
    </row>
    <row r="5" spans="1:8" x14ac:dyDescent="0.3">
      <c r="A5">
        <f>+A4+1</f>
        <v>4</v>
      </c>
      <c r="B5" s="136" t="s">
        <v>1032</v>
      </c>
      <c r="C5" s="137">
        <f>+'ce mcl'!C5</f>
        <v>0</v>
      </c>
      <c r="D5" s="137">
        <f>+'ce mcl'!D5</f>
        <v>0</v>
      </c>
      <c r="E5" s="137">
        <f>+'ce mcl'!E5</f>
        <v>1151378.8799999999</v>
      </c>
      <c r="F5" s="137">
        <f>+E5*(1+'Input Previsionale'!E9)</f>
        <v>1208947.824</v>
      </c>
      <c r="G5" s="137">
        <f>+F5*(1+'Input Previsionale'!F9)</f>
        <v>1269395.2152</v>
      </c>
      <c r="H5" s="137">
        <f>+G5*(1+'Input Previsionale'!G9)</f>
        <v>1332864.97596</v>
      </c>
    </row>
    <row r="6" spans="1:8" x14ac:dyDescent="0.3">
      <c r="A6">
        <f t="shared" ref="A6:A44" si="4">+A5+1</f>
        <v>5</v>
      </c>
      <c r="B6" s="136" t="s">
        <v>1033</v>
      </c>
      <c r="C6" s="137">
        <f>+'ce mcl'!C6</f>
        <v>0</v>
      </c>
      <c r="D6" s="137">
        <f>+'ce mcl'!D6</f>
        <v>0</v>
      </c>
      <c r="E6" s="137">
        <f>+'ce mcl'!E6</f>
        <v>4905.2299999999996</v>
      </c>
      <c r="F6" s="137">
        <v>0</v>
      </c>
      <c r="G6" s="137">
        <v>0</v>
      </c>
      <c r="H6" s="137">
        <v>0</v>
      </c>
    </row>
    <row r="7" spans="1:8" x14ac:dyDescent="0.3">
      <c r="A7">
        <f t="shared" si="4"/>
        <v>6</v>
      </c>
      <c r="B7" s="136" t="s">
        <v>1034</v>
      </c>
      <c r="C7" s="137">
        <f>+'ce mcl'!C7</f>
        <v>0</v>
      </c>
      <c r="D7" s="137">
        <f>+'ce mcl'!D7</f>
        <v>0</v>
      </c>
      <c r="E7" s="137">
        <f>+'ce mcl'!E7</f>
        <v>0</v>
      </c>
      <c r="F7" s="137">
        <f>+'Input Previsionale'!E11</f>
        <v>0</v>
      </c>
      <c r="G7" s="137">
        <f>+'Input Previsionale'!F11</f>
        <v>0</v>
      </c>
      <c r="H7" s="137">
        <f>+'Input Previsionale'!G11</f>
        <v>0</v>
      </c>
    </row>
    <row r="8" spans="1:8" ht="15" thickBot="1" x14ac:dyDescent="0.35">
      <c r="A8">
        <f t="shared" si="4"/>
        <v>7</v>
      </c>
      <c r="B8" s="59"/>
    </row>
    <row r="9" spans="1:8" ht="15" thickBot="1" x14ac:dyDescent="0.35">
      <c r="A9">
        <f t="shared" si="4"/>
        <v>8</v>
      </c>
      <c r="B9" s="135" t="s">
        <v>902</v>
      </c>
      <c r="C9" s="139">
        <f t="shared" ref="C9:D9" si="5">+C11-C12+C10</f>
        <v>0</v>
      </c>
      <c r="D9" s="139">
        <f t="shared" si="5"/>
        <v>-126617</v>
      </c>
      <c r="E9" s="139">
        <f>+E11-E12+E10</f>
        <v>816549.35000000009</v>
      </c>
      <c r="F9" s="139">
        <f>+F11-F12+F10</f>
        <v>846263.47680000006</v>
      </c>
      <c r="G9" s="139">
        <f t="shared" ref="G9:H9" si="6">+G11-G12+G10</f>
        <v>888576.65064000001</v>
      </c>
      <c r="H9" s="139">
        <f t="shared" si="6"/>
        <v>933005.48317199992</v>
      </c>
    </row>
    <row r="10" spans="1:8" x14ac:dyDescent="0.3">
      <c r="A10">
        <f t="shared" si="4"/>
        <v>9</v>
      </c>
      <c r="B10" s="136" t="s">
        <v>1039</v>
      </c>
      <c r="C10" s="137">
        <f>+'ce mcl'!C10</f>
        <v>0</v>
      </c>
      <c r="D10" s="137">
        <f t="shared" ref="D10:E10" si="7">+C12</f>
        <v>0</v>
      </c>
      <c r="E10" s="137">
        <f t="shared" si="7"/>
        <v>126617</v>
      </c>
      <c r="F10" s="137">
        <f>+E12</f>
        <v>128977</v>
      </c>
      <c r="G10" s="137">
        <f t="shared" ref="G10:H10" si="8">+F12</f>
        <v>129000</v>
      </c>
      <c r="H10" s="137">
        <f t="shared" si="8"/>
        <v>129000</v>
      </c>
    </row>
    <row r="11" spans="1:8" x14ac:dyDescent="0.3">
      <c r="A11">
        <f t="shared" si="4"/>
        <v>10</v>
      </c>
      <c r="B11" s="136" t="s">
        <v>1035</v>
      </c>
      <c r="C11" s="137">
        <f>+'ce mcl'!C11</f>
        <v>0</v>
      </c>
      <c r="D11" s="137">
        <f>+'ce mcl'!D11</f>
        <v>0</v>
      </c>
      <c r="E11" s="137">
        <f>+'ce mcl'!E11</f>
        <v>818909.35000000009</v>
      </c>
      <c r="F11" s="137">
        <f>+F12-F10+F3-('Input Previsionale'!E14*'CE Previsionale'!F3)</f>
        <v>846286.47680000006</v>
      </c>
      <c r="G11" s="137">
        <f>+G12-G10+G3-('Input Previsionale'!F14*'CE Previsionale'!G3)</f>
        <v>888576.65064000001</v>
      </c>
      <c r="H11" s="137">
        <f>+H12-H10+H3-('Input Previsionale'!G14*'CE Previsionale'!H3)</f>
        <v>933005.48317199992</v>
      </c>
    </row>
    <row r="12" spans="1:8" x14ac:dyDescent="0.3">
      <c r="A12">
        <f t="shared" si="4"/>
        <v>11</v>
      </c>
      <c r="B12" s="136" t="s">
        <v>1036</v>
      </c>
      <c r="C12" s="137">
        <f>+'ce mcl'!C12</f>
        <v>0</v>
      </c>
      <c r="D12" s="137">
        <f>+'ce mcl'!D12</f>
        <v>126617</v>
      </c>
      <c r="E12" s="153">
        <f>+'ce mcl'!E12</f>
        <v>128977</v>
      </c>
      <c r="F12" s="153">
        <f>+'Input Previsionale'!E16</f>
        <v>129000</v>
      </c>
      <c r="G12" s="153">
        <f>+'Input Previsionale'!F16</f>
        <v>129000</v>
      </c>
      <c r="H12" s="153">
        <f>+'Input Previsionale'!G16</f>
        <v>129000</v>
      </c>
    </row>
    <row r="13" spans="1:8" ht="15" thickBot="1" x14ac:dyDescent="0.35">
      <c r="A13">
        <f t="shared" si="4"/>
        <v>12</v>
      </c>
      <c r="B13" s="59"/>
      <c r="F13" s="165"/>
      <c r="G13" s="165"/>
    </row>
    <row r="14" spans="1:8" ht="15" thickBot="1" x14ac:dyDescent="0.35">
      <c r="A14">
        <f t="shared" si="4"/>
        <v>13</v>
      </c>
      <c r="B14" s="135" t="s">
        <v>1030</v>
      </c>
      <c r="C14" s="139">
        <f t="shared" ref="C14" si="9">+C3-C9</f>
        <v>0</v>
      </c>
      <c r="D14" s="139">
        <f>+D3-D9</f>
        <v>126617</v>
      </c>
      <c r="E14" s="139">
        <f t="shared" ref="E14:H14" si="10">+E3-E9</f>
        <v>339734.75999999978</v>
      </c>
      <c r="F14" s="139">
        <f>+F3-F9</f>
        <v>362684.34719999996</v>
      </c>
      <c r="G14" s="139">
        <f t="shared" si="10"/>
        <v>380818.56455999997</v>
      </c>
      <c r="H14" s="139">
        <f t="shared" si="10"/>
        <v>399859.49278800003</v>
      </c>
    </row>
    <row r="15" spans="1:8" ht="15" thickBot="1" x14ac:dyDescent="0.35">
      <c r="A15">
        <f t="shared" si="4"/>
        <v>14</v>
      </c>
      <c r="B15" s="67"/>
      <c r="C15" s="88" t="e">
        <f t="shared" ref="C15:D15" si="11">+C14/C3</f>
        <v>#DIV/0!</v>
      </c>
      <c r="D15" s="88" t="e">
        <f t="shared" si="11"/>
        <v>#DIV/0!</v>
      </c>
      <c r="E15" s="88">
        <f>+E14/E3</f>
        <v>0.29381598956678545</v>
      </c>
      <c r="F15" s="88">
        <f t="shared" ref="F15:H15" si="12">+F14/F3</f>
        <v>0.3</v>
      </c>
      <c r="G15" s="88">
        <f t="shared" si="12"/>
        <v>0.3</v>
      </c>
      <c r="H15" s="88">
        <f t="shared" si="12"/>
        <v>0.30000000000000004</v>
      </c>
    </row>
    <row r="16" spans="1:8" ht="15" thickBot="1" x14ac:dyDescent="0.35">
      <c r="A16">
        <f t="shared" si="4"/>
        <v>15</v>
      </c>
      <c r="B16" s="140" t="s">
        <v>907</v>
      </c>
      <c r="C16" s="139">
        <f t="shared" ref="C16:D16" si="13">+C17+C18</f>
        <v>0</v>
      </c>
      <c r="D16" s="139">
        <f t="shared" si="13"/>
        <v>0</v>
      </c>
      <c r="E16" s="139">
        <f t="shared" ref="E16:H16" si="14">+E17+E18</f>
        <v>37452.18</v>
      </c>
      <c r="F16" s="139">
        <f t="shared" si="14"/>
        <v>41197.398000000008</v>
      </c>
      <c r="G16" s="139">
        <f t="shared" si="14"/>
        <v>41197.398000000008</v>
      </c>
      <c r="H16" s="139">
        <f t="shared" si="14"/>
        <v>41197.398000000008</v>
      </c>
    </row>
    <row r="17" spans="1:8" x14ac:dyDescent="0.3">
      <c r="A17">
        <f t="shared" si="4"/>
        <v>16</v>
      </c>
      <c r="B17" s="136" t="s">
        <v>1037</v>
      </c>
      <c r="C17" s="97">
        <f>+'ce mcl'!C17</f>
        <v>0</v>
      </c>
      <c r="D17" s="97">
        <f>+'ce mcl'!D17</f>
        <v>0</v>
      </c>
      <c r="E17" s="97">
        <f>+'ce mcl'!E17</f>
        <v>21586.260000000002</v>
      </c>
      <c r="F17" s="97">
        <f>+E17*(1+'Input Previsionale'!E18)</f>
        <v>23744.886000000006</v>
      </c>
      <c r="G17" s="97">
        <f>+F17*(1+'Input Previsionale'!F18)</f>
        <v>23744.886000000006</v>
      </c>
      <c r="H17" s="97">
        <f>+G17*(1+'Input Previsionale'!G18)</f>
        <v>23744.886000000006</v>
      </c>
    </row>
    <row r="18" spans="1:8" x14ac:dyDescent="0.3">
      <c r="A18">
        <f t="shared" si="4"/>
        <v>17</v>
      </c>
      <c r="B18" s="136" t="s">
        <v>1038</v>
      </c>
      <c r="C18" s="97">
        <f>+'ce mcl'!C18</f>
        <v>0</v>
      </c>
      <c r="D18" s="97">
        <f>+'ce mcl'!D18</f>
        <v>0</v>
      </c>
      <c r="E18" s="97">
        <f>+'ce mcl'!E18</f>
        <v>15865.92</v>
      </c>
      <c r="F18" s="97">
        <f>+E18*(1+'Input Previsionale'!E18)</f>
        <v>17452.512000000002</v>
      </c>
      <c r="G18" s="97">
        <f>+F18*(1+'Input Previsionale'!F18)</f>
        <v>17452.512000000002</v>
      </c>
      <c r="H18" s="97">
        <f>+G18*(1+'Input Previsionale'!G18)</f>
        <v>17452.512000000002</v>
      </c>
    </row>
    <row r="19" spans="1:8" ht="15" thickBot="1" x14ac:dyDescent="0.35">
      <c r="A19">
        <f t="shared" si="4"/>
        <v>18</v>
      </c>
      <c r="B19" s="59"/>
    </row>
    <row r="20" spans="1:8" ht="15" thickBot="1" x14ac:dyDescent="0.35">
      <c r="A20">
        <f t="shared" si="4"/>
        <v>19</v>
      </c>
      <c r="B20" s="135" t="s">
        <v>910</v>
      </c>
      <c r="C20" s="139">
        <f t="shared" ref="C20:D20" si="15">+C14-C16</f>
        <v>0</v>
      </c>
      <c r="D20" s="139">
        <f t="shared" si="15"/>
        <v>126617</v>
      </c>
      <c r="E20" s="139">
        <f t="shared" ref="E20:H20" si="16">+E14-E16</f>
        <v>302282.57999999978</v>
      </c>
      <c r="F20" s="139">
        <f t="shared" si="16"/>
        <v>321486.94919999997</v>
      </c>
      <c r="G20" s="139">
        <f t="shared" si="16"/>
        <v>339621.16655999998</v>
      </c>
      <c r="H20" s="139">
        <f t="shared" si="16"/>
        <v>358662.09478800005</v>
      </c>
    </row>
    <row r="21" spans="1:8" ht="15" thickBot="1" x14ac:dyDescent="0.35">
      <c r="A21">
        <f t="shared" si="4"/>
        <v>20</v>
      </c>
      <c r="B21" s="67"/>
      <c r="C21" s="68"/>
      <c r="D21" s="68"/>
      <c r="E21" s="68"/>
      <c r="F21" s="68"/>
      <c r="G21" s="68"/>
      <c r="H21" s="68"/>
    </row>
    <row r="22" spans="1:8" ht="15" thickBot="1" x14ac:dyDescent="0.35">
      <c r="A22">
        <f t="shared" si="4"/>
        <v>21</v>
      </c>
      <c r="B22" s="140" t="s">
        <v>911</v>
      </c>
      <c r="C22" s="139">
        <f t="shared" ref="C22:D22" si="17">+SUM(C23:C28)</f>
        <v>0</v>
      </c>
      <c r="D22" s="139">
        <f t="shared" si="17"/>
        <v>0</v>
      </c>
      <c r="E22" s="139">
        <f t="shared" ref="E22:H22" si="18">+SUM(E23:E28)</f>
        <v>307381.77999999997</v>
      </c>
      <c r="F22" s="139">
        <f t="shared" si="18"/>
        <v>233470.43120000002</v>
      </c>
      <c r="G22" s="139">
        <f t="shared" si="18"/>
        <v>233470.43120000002</v>
      </c>
      <c r="H22" s="139">
        <f t="shared" si="18"/>
        <v>233470.43120000002</v>
      </c>
    </row>
    <row r="23" spans="1:8" x14ac:dyDescent="0.3">
      <c r="A23">
        <f t="shared" si="4"/>
        <v>22</v>
      </c>
      <c r="B23" s="136" t="s">
        <v>912</v>
      </c>
      <c r="C23" s="97">
        <f>+'ce mcl'!C23</f>
        <v>0</v>
      </c>
      <c r="D23" s="97">
        <f>+'ce mcl'!D23</f>
        <v>0</v>
      </c>
      <c r="E23" s="97">
        <f>+'ce mcl'!E23</f>
        <v>6519.3700000000008</v>
      </c>
      <c r="F23" s="97">
        <f>+Calcoli!C8+'Scheda Inv'!D187</f>
        <v>1742.1769999999995</v>
      </c>
      <c r="G23" s="97">
        <f>+Calcoli!D8+'Scheda Inv'!E187</f>
        <v>1742.1769999999995</v>
      </c>
      <c r="H23" s="97">
        <f>+Calcoli!E8+'Scheda Inv'!F187</f>
        <v>1742.1769999999995</v>
      </c>
    </row>
    <row r="24" spans="1:8" x14ac:dyDescent="0.3">
      <c r="A24">
        <f t="shared" si="4"/>
        <v>23</v>
      </c>
      <c r="B24" s="136" t="s">
        <v>913</v>
      </c>
      <c r="C24" s="97">
        <f>+'ce mcl'!C24</f>
        <v>0</v>
      </c>
      <c r="D24" s="97">
        <f>+'ce mcl'!D24</f>
        <v>0</v>
      </c>
      <c r="E24" s="97">
        <f>+'ce mcl'!E24</f>
        <v>100211.15</v>
      </c>
      <c r="F24" s="97">
        <f>+Calcoli!C20+'Scheda Inv'!D193</f>
        <v>19309.114000000001</v>
      </c>
      <c r="G24" s="97">
        <f>+Calcoli!D20+'Scheda Inv'!E193</f>
        <v>19309.114000000001</v>
      </c>
      <c r="H24" s="97">
        <f>+Calcoli!E20+'Scheda Inv'!F193</f>
        <v>19309.114000000001</v>
      </c>
    </row>
    <row r="25" spans="1:8" x14ac:dyDescent="0.3">
      <c r="A25">
        <f t="shared" si="4"/>
        <v>24</v>
      </c>
      <c r="B25" s="136" t="s">
        <v>914</v>
      </c>
      <c r="C25" s="97">
        <f>+'ce mcl'!C25</f>
        <v>0</v>
      </c>
      <c r="D25" s="97">
        <f>+'ce mcl'!D25</f>
        <v>0</v>
      </c>
      <c r="E25" s="97">
        <f>+'ce mcl'!E25</f>
        <v>108459.64000000001</v>
      </c>
      <c r="F25" s="97">
        <f>+E25*(1+'Input Previsionale'!E18)</f>
        <v>119305.60400000002</v>
      </c>
      <c r="G25" s="97">
        <f>+F25*(1+'Input Previsionale'!F18)</f>
        <v>119305.60400000002</v>
      </c>
      <c r="H25" s="97">
        <f>+G25*(1+'Input Previsionale'!G18)</f>
        <v>119305.60400000002</v>
      </c>
    </row>
    <row r="26" spans="1:8" x14ac:dyDescent="0.3">
      <c r="A26">
        <f t="shared" si="4"/>
        <v>25</v>
      </c>
      <c r="B26" s="136" t="s">
        <v>915</v>
      </c>
      <c r="C26" s="97">
        <f>+'ce mcl'!C26</f>
        <v>0</v>
      </c>
      <c r="D26" s="97">
        <f>+'ce mcl'!D26</f>
        <v>0</v>
      </c>
      <c r="E26" s="97">
        <f>+'ce mcl'!E26</f>
        <v>0</v>
      </c>
      <c r="F26" s="97">
        <f>+E26*(1+'Input Previsionale'!E18)</f>
        <v>0</v>
      </c>
      <c r="G26" s="97">
        <f>+F26*(1+'Input Previsionale'!F18)</f>
        <v>0</v>
      </c>
      <c r="H26" s="97">
        <f>+G26*(1+'Input Previsionale'!G18)</f>
        <v>0</v>
      </c>
    </row>
    <row r="27" spans="1:8" x14ac:dyDescent="0.3">
      <c r="A27">
        <f t="shared" si="4"/>
        <v>26</v>
      </c>
      <c r="B27" s="136" t="s">
        <v>916</v>
      </c>
      <c r="C27" s="97">
        <f>+'ce mcl'!C27</f>
        <v>0</v>
      </c>
      <c r="D27" s="97">
        <f>+'ce mcl'!D27</f>
        <v>0</v>
      </c>
      <c r="E27" s="97">
        <f>+'ce mcl'!E27</f>
        <v>87759.200000000012</v>
      </c>
      <c r="F27" s="97">
        <f>+E27*(1+'Input Previsionale'!E19)</f>
        <v>88636.792000000016</v>
      </c>
      <c r="G27" s="97">
        <f>+F27*(1+'Input Previsionale'!F19)</f>
        <v>88636.792000000016</v>
      </c>
      <c r="H27" s="97">
        <f>+G27*(1+'Input Previsionale'!G19)</f>
        <v>88636.792000000016</v>
      </c>
    </row>
    <row r="28" spans="1:8" x14ac:dyDescent="0.3">
      <c r="A28">
        <f t="shared" si="4"/>
        <v>27</v>
      </c>
      <c r="B28" s="136" t="s">
        <v>917</v>
      </c>
      <c r="C28" s="97">
        <f>+'ce mcl'!C28</f>
        <v>0</v>
      </c>
      <c r="D28" s="97">
        <f>+'ce mcl'!D28</f>
        <v>0</v>
      </c>
      <c r="E28" s="97">
        <f>+'ce mcl'!E28</f>
        <v>4432.42</v>
      </c>
      <c r="F28" s="97">
        <f>+E28*(1+'Input Previsionale'!E19)</f>
        <v>4476.7442000000001</v>
      </c>
      <c r="G28" s="97">
        <f>+F28*(1+'Input Previsionale'!F19)</f>
        <v>4476.7442000000001</v>
      </c>
      <c r="H28" s="97">
        <f>+G28*(1+'Input Previsionale'!G19)</f>
        <v>4476.7442000000001</v>
      </c>
    </row>
    <row r="29" spans="1:8" ht="15" thickBot="1" x14ac:dyDescent="0.35">
      <c r="A29">
        <f t="shared" si="4"/>
        <v>28</v>
      </c>
      <c r="B29" s="59"/>
    </row>
    <row r="30" spans="1:8" ht="15" thickBot="1" x14ac:dyDescent="0.35">
      <c r="A30">
        <f t="shared" si="4"/>
        <v>29</v>
      </c>
      <c r="B30" s="135" t="s">
        <v>918</v>
      </c>
      <c r="C30" s="139">
        <f t="shared" ref="C30:D30" si="19">+C20-C22</f>
        <v>0</v>
      </c>
      <c r="D30" s="139">
        <f t="shared" si="19"/>
        <v>126617</v>
      </c>
      <c r="E30" s="139">
        <f t="shared" ref="E30:H30" si="20">+E20-E22</f>
        <v>-5099.2000000001863</v>
      </c>
      <c r="F30" s="139">
        <f>+F20-F22</f>
        <v>88016.517999999953</v>
      </c>
      <c r="G30" s="139">
        <f t="shared" si="20"/>
        <v>106150.73535999996</v>
      </c>
      <c r="H30" s="139">
        <f t="shared" si="20"/>
        <v>125191.66358800002</v>
      </c>
    </row>
    <row r="31" spans="1:8" ht="15" thickBot="1" x14ac:dyDescent="0.35">
      <c r="A31">
        <f t="shared" si="4"/>
        <v>30</v>
      </c>
      <c r="B31" s="59"/>
      <c r="C31" s="65"/>
      <c r="D31" s="65"/>
      <c r="E31" s="65"/>
      <c r="F31" s="65"/>
      <c r="G31" s="65"/>
      <c r="H31" s="65"/>
    </row>
    <row r="32" spans="1:8" ht="15" thickBot="1" x14ac:dyDescent="0.35">
      <c r="A32">
        <f t="shared" si="4"/>
        <v>31</v>
      </c>
      <c r="B32" s="140" t="s">
        <v>919</v>
      </c>
      <c r="C32" s="139">
        <f t="shared" ref="C32:D32" si="21">SUM(C33:C34)</f>
        <v>0</v>
      </c>
      <c r="D32" s="139">
        <f t="shared" si="21"/>
        <v>0</v>
      </c>
      <c r="E32" s="139">
        <f t="shared" ref="E32:H32" si="22">SUM(E33:E34)</f>
        <v>0</v>
      </c>
      <c r="F32" s="139">
        <f t="shared" si="22"/>
        <v>0</v>
      </c>
      <c r="G32" s="139">
        <f t="shared" si="22"/>
        <v>0</v>
      </c>
      <c r="H32" s="139">
        <f t="shared" si="22"/>
        <v>0</v>
      </c>
    </row>
    <row r="33" spans="1:9" x14ac:dyDescent="0.3">
      <c r="A33">
        <f t="shared" si="4"/>
        <v>32</v>
      </c>
      <c r="B33" s="136" t="s">
        <v>1040</v>
      </c>
      <c r="C33" s="97">
        <f>+'ce mcl'!C33</f>
        <v>0</v>
      </c>
      <c r="D33" s="97">
        <f>+'ce mcl'!D33</f>
        <v>0</v>
      </c>
      <c r="E33" s="97">
        <f>+'ce mcl'!E33</f>
        <v>0</v>
      </c>
      <c r="F33" s="97">
        <v>0</v>
      </c>
      <c r="G33" s="97">
        <v>0</v>
      </c>
      <c r="H33" s="97">
        <v>0</v>
      </c>
    </row>
    <row r="34" spans="1:9" x14ac:dyDescent="0.3">
      <c r="A34">
        <f t="shared" si="4"/>
        <v>33</v>
      </c>
      <c r="B34" s="136" t="s">
        <v>1041</v>
      </c>
      <c r="C34" s="97">
        <f>+'ce mcl'!C34</f>
        <v>0</v>
      </c>
      <c r="D34" s="97">
        <f>+'ce mcl'!D34</f>
        <v>0</v>
      </c>
      <c r="E34" s="97">
        <f>+'ce mcl'!E34</f>
        <v>0</v>
      </c>
      <c r="F34" s="97">
        <v>0</v>
      </c>
      <c r="G34" s="97">
        <v>0</v>
      </c>
      <c r="H34" s="97">
        <v>0</v>
      </c>
    </row>
    <row r="35" spans="1:9" x14ac:dyDescent="0.3">
      <c r="A35">
        <f t="shared" si="4"/>
        <v>34</v>
      </c>
      <c r="B35" s="59"/>
    </row>
    <row r="36" spans="1:9" ht="15" thickBot="1" x14ac:dyDescent="0.35">
      <c r="A36">
        <f t="shared" si="4"/>
        <v>35</v>
      </c>
      <c r="B36" s="59"/>
    </row>
    <row r="37" spans="1:9" ht="15" thickBot="1" x14ac:dyDescent="0.35">
      <c r="A37">
        <f t="shared" si="4"/>
        <v>36</v>
      </c>
      <c r="B37" s="140" t="s">
        <v>922</v>
      </c>
      <c r="C37" s="139">
        <f t="shared" ref="C37:H37" si="23">+C38</f>
        <v>0</v>
      </c>
      <c r="D37" s="139">
        <f t="shared" si="23"/>
        <v>0</v>
      </c>
      <c r="E37" s="139">
        <f t="shared" si="23"/>
        <v>-3380</v>
      </c>
      <c r="F37" s="139">
        <f t="shared" si="23"/>
        <v>0</v>
      </c>
      <c r="G37" s="139">
        <f t="shared" si="23"/>
        <v>0</v>
      </c>
      <c r="H37" s="139">
        <f t="shared" si="23"/>
        <v>0</v>
      </c>
    </row>
    <row r="38" spans="1:9" x14ac:dyDescent="0.3">
      <c r="A38">
        <f t="shared" si="4"/>
        <v>37</v>
      </c>
      <c r="B38" s="136" t="s">
        <v>1042</v>
      </c>
      <c r="C38" s="97">
        <f>+'ce mcl'!C38</f>
        <v>0</v>
      </c>
      <c r="D38" s="97">
        <f>+'ce mcl'!D38</f>
        <v>0</v>
      </c>
      <c r="E38" s="97">
        <f>+'ce mcl'!E38</f>
        <v>-3380</v>
      </c>
      <c r="F38" s="97">
        <f>-'Scheda Debiti'!E6-'Input Previsionale'!E26</f>
        <v>0</v>
      </c>
      <c r="G38" s="97">
        <f>-'Scheda Debiti'!F6-'Input Previsionale'!F26</f>
        <v>0</v>
      </c>
      <c r="H38" s="97">
        <f>-'Scheda Debiti'!G6-'Input Previsionale'!G26</f>
        <v>0</v>
      </c>
    </row>
    <row r="39" spans="1:9" ht="15" thickBot="1" x14ac:dyDescent="0.35">
      <c r="A39">
        <f t="shared" si="4"/>
        <v>38</v>
      </c>
      <c r="B39" s="59"/>
    </row>
    <row r="40" spans="1:9" ht="15" thickBot="1" x14ac:dyDescent="0.35">
      <c r="A40">
        <f t="shared" si="4"/>
        <v>39</v>
      </c>
      <c r="B40" s="135" t="s">
        <v>924</v>
      </c>
      <c r="C40" s="139">
        <f t="shared" ref="C40:D40" si="24">+C30+C32+C37</f>
        <v>0</v>
      </c>
      <c r="D40" s="139">
        <f t="shared" si="24"/>
        <v>126617</v>
      </c>
      <c r="E40" s="139">
        <f t="shared" ref="E40:H40" si="25">+E30+E32+E37</f>
        <v>-8479.2000000001863</v>
      </c>
      <c r="F40" s="139">
        <f t="shared" si="25"/>
        <v>88016.517999999953</v>
      </c>
      <c r="G40" s="139">
        <f t="shared" si="25"/>
        <v>106150.73535999996</v>
      </c>
      <c r="H40" s="139">
        <f t="shared" si="25"/>
        <v>125191.66358800002</v>
      </c>
    </row>
    <row r="41" spans="1:9" x14ac:dyDescent="0.3">
      <c r="A41">
        <f t="shared" si="4"/>
        <v>40</v>
      </c>
      <c r="B41" s="67"/>
    </row>
    <row r="42" spans="1:9" x14ac:dyDescent="0.3">
      <c r="A42">
        <f t="shared" si="4"/>
        <v>41</v>
      </c>
      <c r="B42" s="136" t="s">
        <v>925</v>
      </c>
      <c r="C42" s="97">
        <f>+'ce mcl'!C42</f>
        <v>0</v>
      </c>
      <c r="D42" s="97">
        <f>+'ce mcl'!D42</f>
        <v>0</v>
      </c>
      <c r="E42" s="97">
        <f>+'ce mcl'!E42</f>
        <v>0</v>
      </c>
      <c r="F42" s="97">
        <f>+Calcoli!C133+Calcoli!C139</f>
        <v>28369.166487999988</v>
      </c>
      <c r="G42" s="97">
        <f>+Calcoli!D133+Calcoli!D139</f>
        <v>33446.747348799989</v>
      </c>
      <c r="H42" s="97">
        <f>+Calcoli!E133+Calcoli!E139</f>
        <v>38778.207252640001</v>
      </c>
    </row>
    <row r="43" spans="1:9" ht="15" thickBot="1" x14ac:dyDescent="0.35">
      <c r="A43">
        <f t="shared" si="4"/>
        <v>42</v>
      </c>
      <c r="B43" s="59"/>
    </row>
    <row r="44" spans="1:9" ht="15" thickBot="1" x14ac:dyDescent="0.35">
      <c r="A44">
        <f t="shared" si="4"/>
        <v>43</v>
      </c>
      <c r="B44" s="135" t="s">
        <v>926</v>
      </c>
      <c r="C44" s="139">
        <f t="shared" ref="C44:D44" si="26">+C40-C42</f>
        <v>0</v>
      </c>
      <c r="D44" s="139">
        <f t="shared" si="26"/>
        <v>126617</v>
      </c>
      <c r="E44" s="139">
        <f t="shared" ref="E44:H44" si="27">+E40-E42</f>
        <v>-8479.2000000001863</v>
      </c>
      <c r="F44" s="139">
        <f t="shared" si="27"/>
        <v>59647.351511999965</v>
      </c>
      <c r="G44" s="139">
        <f t="shared" si="27"/>
        <v>72703.988011199981</v>
      </c>
      <c r="H44" s="139">
        <f t="shared" si="27"/>
        <v>86413.456335360024</v>
      </c>
    </row>
    <row r="45" spans="1:9" x14ac:dyDescent="0.3">
      <c r="E45" s="156">
        <f>+E44-'SP Previsionale'!G61</f>
        <v>-1.8553691916167736E-10</v>
      </c>
      <c r="F45" s="156">
        <f>+F44-'SP Previsionale'!H61</f>
        <v>0</v>
      </c>
      <c r="G45" s="156">
        <f>+G44-'SP Previsionale'!I61</f>
        <v>0</v>
      </c>
      <c r="H45" s="156">
        <f>+H44-'SP Previsionale'!J61</f>
        <v>0</v>
      </c>
      <c r="I45" t="s">
        <v>1083</v>
      </c>
    </row>
    <row r="46" spans="1:9" x14ac:dyDescent="0.3">
      <c r="F46" s="99" t="s">
        <v>1044</v>
      </c>
      <c r="G46" s="99" t="s">
        <v>1044</v>
      </c>
    </row>
    <row r="47" spans="1:9" ht="16.2" thickBot="1" x14ac:dyDescent="0.35">
      <c r="B47" s="146" t="s">
        <v>896</v>
      </c>
      <c r="F47" s="100">
        <v>2017</v>
      </c>
      <c r="G47" s="100">
        <v>2017</v>
      </c>
    </row>
    <row r="48" spans="1:9" ht="15" thickBot="1" x14ac:dyDescent="0.35">
      <c r="B48" s="135" t="s">
        <v>897</v>
      </c>
      <c r="F48" s="139"/>
      <c r="G48" s="139"/>
    </row>
    <row r="49" spans="2:7" x14ac:dyDescent="0.3">
      <c r="B49" s="136" t="s">
        <v>1031</v>
      </c>
      <c r="F49" s="137"/>
      <c r="G49" s="137"/>
    </row>
    <row r="50" spans="2:7" x14ac:dyDescent="0.3">
      <c r="B50" s="136" t="s">
        <v>1032</v>
      </c>
      <c r="F50" s="137"/>
      <c r="G50" s="137"/>
    </row>
    <row r="51" spans="2:7" x14ac:dyDescent="0.3">
      <c r="B51" s="136" t="s">
        <v>1033</v>
      </c>
      <c r="F51" s="137"/>
      <c r="G51" s="137"/>
    </row>
    <row r="52" spans="2:7" x14ac:dyDescent="0.3">
      <c r="B52" s="136" t="s">
        <v>1034</v>
      </c>
      <c r="F52" s="137"/>
      <c r="G52" s="137"/>
    </row>
    <row r="53" spans="2:7" ht="15" thickBot="1" x14ac:dyDescent="0.35">
      <c r="B53" s="59"/>
    </row>
    <row r="54" spans="2:7" ht="15" thickBot="1" x14ac:dyDescent="0.35">
      <c r="B54" s="135" t="s">
        <v>902</v>
      </c>
      <c r="F54" s="139"/>
      <c r="G54" s="139"/>
    </row>
    <row r="55" spans="2:7" x14ac:dyDescent="0.3">
      <c r="B55" s="136" t="s">
        <v>1039</v>
      </c>
      <c r="F55" s="137"/>
      <c r="G55" s="137"/>
    </row>
    <row r="56" spans="2:7" x14ac:dyDescent="0.3">
      <c r="B56" s="136" t="s">
        <v>1035</v>
      </c>
      <c r="F56" s="137"/>
      <c r="G56" s="137"/>
    </row>
    <row r="57" spans="2:7" x14ac:dyDescent="0.3">
      <c r="B57" s="136" t="s">
        <v>1036</v>
      </c>
      <c r="F57" s="137"/>
      <c r="G57" s="137"/>
    </row>
    <row r="58" spans="2:7" ht="15" thickBot="1" x14ac:dyDescent="0.35">
      <c r="B58" s="59"/>
    </row>
    <row r="59" spans="2:7" ht="15" thickBot="1" x14ac:dyDescent="0.35">
      <c r="B59" s="135" t="s">
        <v>1030</v>
      </c>
      <c r="F59" s="139"/>
      <c r="G59" s="139"/>
    </row>
    <row r="60" spans="2:7" ht="15" thickBot="1" x14ac:dyDescent="0.35">
      <c r="B60" s="67"/>
      <c r="F60" s="88"/>
      <c r="G60" s="88"/>
    </row>
    <row r="61" spans="2:7" ht="15" thickBot="1" x14ac:dyDescent="0.35">
      <c r="B61" s="140" t="s">
        <v>907</v>
      </c>
      <c r="F61" s="139"/>
      <c r="G61" s="139"/>
    </row>
    <row r="62" spans="2:7" x14ac:dyDescent="0.3">
      <c r="B62" s="136" t="s">
        <v>1037</v>
      </c>
      <c r="F62" s="97"/>
      <c r="G62" s="97"/>
    </row>
    <row r="63" spans="2:7" x14ac:dyDescent="0.3">
      <c r="B63" s="136" t="s">
        <v>1038</v>
      </c>
      <c r="F63" s="97"/>
      <c r="G63" s="97"/>
    </row>
    <row r="64" spans="2:7" ht="15" thickBot="1" x14ac:dyDescent="0.35">
      <c r="B64" s="59"/>
    </row>
    <row r="65" spans="2:7" ht="15" thickBot="1" x14ac:dyDescent="0.35">
      <c r="B65" s="135" t="s">
        <v>910</v>
      </c>
      <c r="F65" s="139"/>
      <c r="G65" s="139"/>
    </row>
    <row r="66" spans="2:7" ht="15" thickBot="1" x14ac:dyDescent="0.35">
      <c r="B66" s="67"/>
      <c r="F66" s="68"/>
      <c r="G66" s="68"/>
    </row>
    <row r="67" spans="2:7" ht="15" thickBot="1" x14ac:dyDescent="0.35">
      <c r="B67" s="140" t="s">
        <v>911</v>
      </c>
      <c r="F67" s="139"/>
      <c r="G67" s="139"/>
    </row>
    <row r="68" spans="2:7" x14ac:dyDescent="0.3">
      <c r="B68" s="136" t="s">
        <v>912</v>
      </c>
      <c r="F68" s="97"/>
      <c r="G68" s="97"/>
    </row>
    <row r="69" spans="2:7" x14ac:dyDescent="0.3">
      <c r="B69" s="136" t="s">
        <v>913</v>
      </c>
      <c r="F69" s="97"/>
      <c r="G69" s="97"/>
    </row>
    <row r="70" spans="2:7" x14ac:dyDescent="0.3">
      <c r="B70" s="136" t="s">
        <v>914</v>
      </c>
      <c r="F70" s="97"/>
      <c r="G70" s="97"/>
    </row>
    <row r="71" spans="2:7" x14ac:dyDescent="0.3">
      <c r="B71" s="136" t="s">
        <v>915</v>
      </c>
      <c r="F71" s="97"/>
      <c r="G71" s="97"/>
    </row>
    <row r="72" spans="2:7" x14ac:dyDescent="0.3">
      <c r="B72" s="136" t="s">
        <v>916</v>
      </c>
      <c r="F72" s="97"/>
      <c r="G72" s="97"/>
    </row>
    <row r="73" spans="2:7" x14ac:dyDescent="0.3">
      <c r="B73" s="136" t="s">
        <v>917</v>
      </c>
      <c r="F73" s="97"/>
      <c r="G73" s="97"/>
    </row>
    <row r="74" spans="2:7" ht="15" thickBot="1" x14ac:dyDescent="0.35">
      <c r="B74" s="59"/>
    </row>
    <row r="75" spans="2:7" ht="15" thickBot="1" x14ac:dyDescent="0.35">
      <c r="B75" s="135" t="s">
        <v>918</v>
      </c>
      <c r="F75" s="139"/>
      <c r="G75" s="139"/>
    </row>
    <row r="76" spans="2:7" ht="15" thickBot="1" x14ac:dyDescent="0.35">
      <c r="B76" s="59"/>
      <c r="F76" s="65"/>
      <c r="G76" s="65"/>
    </row>
    <row r="77" spans="2:7" ht="15" thickBot="1" x14ac:dyDescent="0.35">
      <c r="B77" s="140" t="s">
        <v>919</v>
      </c>
      <c r="F77" s="139"/>
      <c r="G77" s="139"/>
    </row>
    <row r="78" spans="2:7" x14ac:dyDescent="0.3">
      <c r="B78" s="136" t="s">
        <v>1040</v>
      </c>
      <c r="F78" s="97"/>
      <c r="G78" s="97"/>
    </row>
    <row r="79" spans="2:7" x14ac:dyDescent="0.3">
      <c r="B79" s="136" t="s">
        <v>1041</v>
      </c>
      <c r="F79" s="97"/>
      <c r="G79" s="97"/>
    </row>
    <row r="80" spans="2:7" x14ac:dyDescent="0.3">
      <c r="B80" s="59"/>
    </row>
    <row r="81" spans="2:7" ht="15" thickBot="1" x14ac:dyDescent="0.35">
      <c r="B81" s="59"/>
    </row>
    <row r="82" spans="2:7" ht="15" thickBot="1" x14ac:dyDescent="0.35">
      <c r="B82" s="140" t="s">
        <v>922</v>
      </c>
      <c r="F82" s="139"/>
      <c r="G82" s="139"/>
    </row>
    <row r="83" spans="2:7" x14ac:dyDescent="0.3">
      <c r="B83" s="136" t="s">
        <v>1042</v>
      </c>
      <c r="F83" s="97"/>
      <c r="G83" s="97"/>
    </row>
    <row r="84" spans="2:7" ht="15" thickBot="1" x14ac:dyDescent="0.35">
      <c r="B84" s="59"/>
    </row>
    <row r="85" spans="2:7" ht="15" thickBot="1" x14ac:dyDescent="0.35">
      <c r="B85" s="135" t="s">
        <v>924</v>
      </c>
      <c r="F85" s="139"/>
      <c r="G85" s="139"/>
    </row>
    <row r="86" spans="2:7" x14ac:dyDescent="0.3">
      <c r="B86" s="67"/>
    </row>
    <row r="87" spans="2:7" x14ac:dyDescent="0.3">
      <c r="B87" s="136" t="s">
        <v>925</v>
      </c>
      <c r="F87" s="97"/>
      <c r="G87" s="97"/>
    </row>
    <row r="88" spans="2:7" ht="15" thickBot="1" x14ac:dyDescent="0.35">
      <c r="B88" s="59"/>
    </row>
    <row r="89" spans="2:7" ht="15" thickBot="1" x14ac:dyDescent="0.35">
      <c r="B89" s="135" t="s">
        <v>926</v>
      </c>
      <c r="F89" s="139"/>
      <c r="G89" s="139"/>
    </row>
  </sheetData>
  <conditionalFormatting sqref="E45:H45">
    <cfRule type="cellIs" dxfId="3" priority="2" operator="equal">
      <formula>0</formula>
    </cfRule>
  </conditionalFormatting>
  <conditionalFormatting sqref="E45">
    <cfRule type="cellIs" dxfId="2" priority="1" operator="lessThan">
      <formula>-4720</formula>
    </cfRule>
  </conditionalFormatting>
  <hyperlinks>
    <hyperlink ref="A1" location="Menu!A1" display="MENU" xr:uid="{00000000-0004-0000-0A00-000000000000}"/>
  </hyperlink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I66"/>
  <sheetViews>
    <sheetView showGridLines="0" workbookViewId="0">
      <selection activeCell="G14" sqref="G14:I14"/>
    </sheetView>
  </sheetViews>
  <sheetFormatPr defaultColWidth="8.6640625" defaultRowHeight="14.4" x14ac:dyDescent="0.3"/>
  <cols>
    <col min="2" max="2" width="62" bestFit="1" customWidth="1"/>
    <col min="3" max="6" width="13.33203125" bestFit="1" customWidth="1"/>
  </cols>
  <sheetData>
    <row r="2" spans="2:9" x14ac:dyDescent="0.3">
      <c r="B2" s="67"/>
      <c r="C2" s="86">
        <f>+SP!G4</f>
        <v>2014</v>
      </c>
      <c r="D2" s="86">
        <f>+SP!H4</f>
        <v>2015</v>
      </c>
      <c r="E2" s="86">
        <f>+SP!I4</f>
        <v>2016</v>
      </c>
      <c r="F2" s="86">
        <f>+SP!J4</f>
        <v>2017</v>
      </c>
    </row>
    <row r="3" spans="2:9" x14ac:dyDescent="0.3">
      <c r="B3" s="67" t="s">
        <v>87</v>
      </c>
      <c r="C3" s="59"/>
      <c r="D3" s="59"/>
      <c r="E3" s="59"/>
      <c r="F3" s="59"/>
    </row>
    <row r="4" spans="2:9" x14ac:dyDescent="0.3">
      <c r="B4" s="67"/>
      <c r="C4" s="59"/>
      <c r="D4" s="59"/>
      <c r="E4" s="59"/>
      <c r="F4" s="59"/>
    </row>
    <row r="5" spans="2:9" x14ac:dyDescent="0.3">
      <c r="B5" s="67" t="s">
        <v>857</v>
      </c>
      <c r="C5" s="58">
        <f>+SP!G118</f>
        <v>0</v>
      </c>
      <c r="D5" s="58">
        <f>+SP!H118</f>
        <v>0</v>
      </c>
      <c r="E5" s="58">
        <f>+SP!I118</f>
        <v>0</v>
      </c>
      <c r="F5" s="58">
        <f>+SP!J118</f>
        <v>213363.59</v>
      </c>
    </row>
    <row r="6" spans="2:9" x14ac:dyDescent="0.3">
      <c r="B6" s="59"/>
      <c r="C6" s="59"/>
      <c r="D6" s="59"/>
      <c r="E6" s="59"/>
      <c r="F6" s="59"/>
    </row>
    <row r="7" spans="2:9" x14ac:dyDescent="0.3">
      <c r="B7" s="67" t="s">
        <v>858</v>
      </c>
      <c r="C7" s="58">
        <f>+C8+C9+C10+C11</f>
        <v>0</v>
      </c>
      <c r="D7" s="58">
        <f>+D8+D9+D10+D11</f>
        <v>0</v>
      </c>
      <c r="E7" s="58">
        <f>+E8+E9+E10+E11</f>
        <v>0</v>
      </c>
      <c r="F7" s="58">
        <f t="shared" ref="F7" si="0">+F8+F9+F10+F11</f>
        <v>873016.12</v>
      </c>
    </row>
    <row r="8" spans="2:9" x14ac:dyDescent="0.3">
      <c r="B8" s="59" t="s">
        <v>32</v>
      </c>
      <c r="C8" s="64">
        <f>+SP!G75</f>
        <v>0</v>
      </c>
      <c r="D8" s="64">
        <f>+SP!H75</f>
        <v>0</v>
      </c>
      <c r="E8" s="64">
        <f>+SP!I75</f>
        <v>0</v>
      </c>
      <c r="F8" s="64">
        <f>+SP!J75</f>
        <v>30556.86</v>
      </c>
    </row>
    <row r="9" spans="2:9" x14ac:dyDescent="0.3">
      <c r="B9" s="59" t="s">
        <v>33</v>
      </c>
      <c r="C9" s="64">
        <f>+SP!G95+SP!G99</f>
        <v>0</v>
      </c>
      <c r="D9" s="64">
        <f>+SP!H95+SP!H99</f>
        <v>0</v>
      </c>
      <c r="E9" s="64">
        <f>+SP!I95+SP!I99</f>
        <v>0</v>
      </c>
      <c r="F9" s="64">
        <f>+SP!J95+SP!J99</f>
        <v>1403.8</v>
      </c>
    </row>
    <row r="10" spans="2:9" x14ac:dyDescent="0.3">
      <c r="B10" s="59" t="s">
        <v>34</v>
      </c>
      <c r="C10" s="64">
        <f>+SP!G123</f>
        <v>0</v>
      </c>
      <c r="D10" s="64">
        <f>+SP!H123</f>
        <v>0</v>
      </c>
      <c r="E10" s="64">
        <f>+SP!I123</f>
        <v>0</v>
      </c>
      <c r="F10" s="64">
        <f>+SP!J123</f>
        <v>355.07</v>
      </c>
    </row>
    <row r="11" spans="2:9" x14ac:dyDescent="0.3">
      <c r="B11" s="59" t="s">
        <v>35</v>
      </c>
      <c r="C11" s="64">
        <f>+SP!G79+SP!G83+SP!G87+SP!G91+SP!G103+SP!G113</f>
        <v>0</v>
      </c>
      <c r="D11" s="64">
        <f>+SP!H79+SP!H83+SP!H87+SP!H91+SP!H103+SP!H113</f>
        <v>0</v>
      </c>
      <c r="E11" s="64">
        <f>+SP!I79+SP!I83+SP!I87+SP!I91+SP!I103+SP!I113</f>
        <v>0</v>
      </c>
      <c r="F11" s="64">
        <f>+SP!J79+SP!J83+SP!J87+SP!J91+SP!J103+SP!J113</f>
        <v>840700.39</v>
      </c>
    </row>
    <row r="12" spans="2:9" x14ac:dyDescent="0.3">
      <c r="B12" s="59"/>
      <c r="C12" s="59"/>
      <c r="D12" s="59"/>
      <c r="E12" s="59"/>
      <c r="F12" s="59"/>
    </row>
    <row r="13" spans="2:9" x14ac:dyDescent="0.3">
      <c r="B13" s="67" t="s">
        <v>859</v>
      </c>
      <c r="C13" s="58">
        <f>+SUM(C14:C15)</f>
        <v>0</v>
      </c>
      <c r="D13" s="58">
        <f>+SUM(D14:D15)</f>
        <v>0</v>
      </c>
      <c r="E13" s="58">
        <f>+SUM(E14:E15)</f>
        <v>126617</v>
      </c>
      <c r="F13" s="58">
        <f t="shared" ref="F13" si="1">+SUM(F14:F15)</f>
        <v>128977</v>
      </c>
    </row>
    <row r="14" spans="2:9" x14ac:dyDescent="0.3">
      <c r="B14" s="59" t="s">
        <v>860</v>
      </c>
      <c r="C14" s="64">
        <f>+SP!G67+SP!G68+SP!G69</f>
        <v>0</v>
      </c>
      <c r="D14" s="64">
        <f>+SP!H67+SP!H68+SP!H69</f>
        <v>0</v>
      </c>
      <c r="E14" s="64">
        <f>+SP!I67+SP!I68+SP!I69</f>
        <v>126617</v>
      </c>
      <c r="F14" s="64">
        <f>+SP!J67+SP!J68+SP!J69</f>
        <v>128977</v>
      </c>
      <c r="G14" s="181" t="s">
        <v>1084</v>
      </c>
      <c r="H14" s="181"/>
      <c r="I14" s="181"/>
    </row>
    <row r="15" spans="2:9" x14ac:dyDescent="0.3">
      <c r="B15" s="59" t="s">
        <v>861</v>
      </c>
      <c r="C15" s="64">
        <f>+SP!G65+SP!G66</f>
        <v>0</v>
      </c>
      <c r="D15" s="64">
        <f>+SP!H65+SP!H66</f>
        <v>0</v>
      </c>
      <c r="E15" s="64">
        <f>+SP!I65+SP!I66</f>
        <v>0</v>
      </c>
      <c r="F15" s="64">
        <f>+SP!J65+SP!J66</f>
        <v>0</v>
      </c>
    </row>
    <row r="16" spans="2:9" x14ac:dyDescent="0.3">
      <c r="B16" s="60"/>
      <c r="C16" s="59"/>
      <c r="D16" s="59"/>
      <c r="E16" s="59"/>
      <c r="F16" s="59"/>
    </row>
    <row r="17" spans="2:6" x14ac:dyDescent="0.3">
      <c r="B17" s="67" t="s">
        <v>36</v>
      </c>
      <c r="C17" s="68">
        <f>+C18+C20</f>
        <v>0</v>
      </c>
      <c r="D17" s="68">
        <f>+D18+D20</f>
        <v>0</v>
      </c>
      <c r="E17" s="68">
        <f>+E18+E20</f>
        <v>0</v>
      </c>
      <c r="F17" s="68">
        <f t="shared" ref="F17" si="2">+F18+F20</f>
        <v>17421.769999999997</v>
      </c>
    </row>
    <row r="18" spans="2:6" x14ac:dyDescent="0.3">
      <c r="B18" s="60" t="s">
        <v>862</v>
      </c>
      <c r="C18" s="68">
        <f>+SUM(C19:C19)</f>
        <v>0</v>
      </c>
      <c r="D18" s="68">
        <f>+SUM(D19:D19)</f>
        <v>0</v>
      </c>
      <c r="E18" s="68">
        <f>+SUM(E19:E19)</f>
        <v>0</v>
      </c>
      <c r="F18" s="68">
        <f t="shared" ref="F18" si="3">+SUM(F19:F19)</f>
        <v>0</v>
      </c>
    </row>
    <row r="19" spans="2:6" x14ac:dyDescent="0.3">
      <c r="B19" s="59" t="s">
        <v>863</v>
      </c>
      <c r="C19" s="64">
        <f>+SP!G23</f>
        <v>0</v>
      </c>
      <c r="D19" s="64">
        <f>+SP!H23</f>
        <v>0</v>
      </c>
      <c r="E19" s="64">
        <f>+SP!I23</f>
        <v>0</v>
      </c>
      <c r="F19" s="64">
        <f>+SP!J23</f>
        <v>0</v>
      </c>
    </row>
    <row r="20" spans="2:6" x14ac:dyDescent="0.3">
      <c r="B20" s="60" t="s">
        <v>864</v>
      </c>
      <c r="C20" s="68">
        <f>+SUM(C21:C23)</f>
        <v>0</v>
      </c>
      <c r="D20" s="68">
        <f>+SUM(D21:D23)</f>
        <v>0</v>
      </c>
      <c r="E20" s="68">
        <f>+SUM(E21:E23)</f>
        <v>0</v>
      </c>
      <c r="F20" s="68">
        <f t="shared" ref="F20" si="4">+SUM(F21:F23)</f>
        <v>17421.769999999997</v>
      </c>
    </row>
    <row r="21" spans="2:6" x14ac:dyDescent="0.3">
      <c r="B21" s="59" t="s">
        <v>865</v>
      </c>
      <c r="C21" s="64">
        <f>+SP!G24</f>
        <v>0</v>
      </c>
      <c r="D21" s="64">
        <f>+SP!H24</f>
        <v>0</v>
      </c>
      <c r="E21" s="64">
        <f>+SP!I24</f>
        <v>0</v>
      </c>
      <c r="F21" s="64">
        <f>+SP!J24</f>
        <v>4860.2199999999993</v>
      </c>
    </row>
    <row r="22" spans="2:6" x14ac:dyDescent="0.3">
      <c r="B22" s="59" t="s">
        <v>866</v>
      </c>
      <c r="C22" s="64">
        <f>+SP!G25</f>
        <v>0</v>
      </c>
      <c r="D22" s="64">
        <f>+SP!H25</f>
        <v>0</v>
      </c>
      <c r="E22" s="64">
        <f>+SP!I25</f>
        <v>0</v>
      </c>
      <c r="F22" s="64">
        <f>+SP!J25</f>
        <v>0</v>
      </c>
    </row>
    <row r="23" spans="2:6" x14ac:dyDescent="0.3">
      <c r="B23" s="59" t="s">
        <v>867</v>
      </c>
      <c r="C23" s="64">
        <f>+SP!G26+SP!G27</f>
        <v>0</v>
      </c>
      <c r="D23" s="64">
        <f>+SP!H26+SP!H27</f>
        <v>0</v>
      </c>
      <c r="E23" s="64">
        <f>+SP!I26+SP!I27</f>
        <v>0</v>
      </c>
      <c r="F23" s="64">
        <f>+SP!J26+SP!J27</f>
        <v>12561.549999999996</v>
      </c>
    </row>
    <row r="24" spans="2:6" x14ac:dyDescent="0.3">
      <c r="B24" s="60"/>
      <c r="C24" s="59"/>
      <c r="D24" s="59"/>
      <c r="E24" s="59"/>
      <c r="F24" s="59"/>
    </row>
    <row r="25" spans="2:6" x14ac:dyDescent="0.3">
      <c r="B25" s="67" t="s">
        <v>868</v>
      </c>
      <c r="C25" s="68">
        <f>+C26</f>
        <v>0</v>
      </c>
      <c r="D25" s="68">
        <f>+D26</f>
        <v>0</v>
      </c>
      <c r="E25" s="68">
        <f>+E26</f>
        <v>0</v>
      </c>
      <c r="F25" s="68">
        <f t="shared" ref="F25" si="5">+F26</f>
        <v>193091.14</v>
      </c>
    </row>
    <row r="26" spans="2:6" x14ac:dyDescent="0.3">
      <c r="B26" s="60" t="s">
        <v>869</v>
      </c>
      <c r="C26" s="68">
        <f>+SUM(C27:C29)</f>
        <v>0</v>
      </c>
      <c r="D26" s="68">
        <f>+SUM(D27:D29)</f>
        <v>0</v>
      </c>
      <c r="E26" s="68">
        <f>+SUM(E27:E29)</f>
        <v>0</v>
      </c>
      <c r="F26" s="68">
        <f t="shared" ref="F26" si="6">+SUM(F27:F29)</f>
        <v>193091.14</v>
      </c>
    </row>
    <row r="27" spans="2:6" x14ac:dyDescent="0.3">
      <c r="B27" s="59" t="s">
        <v>870</v>
      </c>
      <c r="C27" s="64">
        <f>+SP!G14</f>
        <v>0</v>
      </c>
      <c r="D27" s="64">
        <f>+SP!H14</f>
        <v>0</v>
      </c>
      <c r="E27" s="64">
        <f>+SP!I14</f>
        <v>0</v>
      </c>
      <c r="F27" s="64">
        <f>+SP!J14</f>
        <v>0</v>
      </c>
    </row>
    <row r="28" spans="2:6" x14ac:dyDescent="0.3">
      <c r="B28" s="59" t="s">
        <v>871</v>
      </c>
      <c r="C28" s="64">
        <f>+SP!G15</f>
        <v>0</v>
      </c>
      <c r="D28" s="64">
        <f>+SP!H15</f>
        <v>0</v>
      </c>
      <c r="E28" s="64">
        <f>+SP!I15</f>
        <v>0</v>
      </c>
      <c r="F28" s="64">
        <f>+SP!J15</f>
        <v>0</v>
      </c>
    </row>
    <row r="29" spans="2:6" x14ac:dyDescent="0.3">
      <c r="B29" s="59" t="s">
        <v>964</v>
      </c>
      <c r="C29" s="64">
        <f>+SP!G16+SP!G17+SP!G18+SP!G19+SP!G20</f>
        <v>0</v>
      </c>
      <c r="D29" s="64">
        <f>+SP!H16+SP!H17+SP!H18+SP!H19+SP!H20</f>
        <v>0</v>
      </c>
      <c r="E29" s="64">
        <f>+SP!I16+SP!I17+SP!I18+SP!I19+SP!I20</f>
        <v>0</v>
      </c>
      <c r="F29" s="64">
        <f>+SP!J16+SP!J17+SP!J18+SP!J19+SP!J20</f>
        <v>193091.14</v>
      </c>
    </row>
    <row r="30" spans="2:6" x14ac:dyDescent="0.3">
      <c r="B30" s="59"/>
      <c r="C30" s="64"/>
      <c r="D30" s="64"/>
      <c r="E30" s="64"/>
      <c r="F30" s="64"/>
    </row>
    <row r="31" spans="2:6" x14ac:dyDescent="0.3">
      <c r="B31" s="67" t="s">
        <v>47</v>
      </c>
      <c r="C31" s="68">
        <f>+SP!G61+SP!G11</f>
        <v>0</v>
      </c>
      <c r="D31" s="68">
        <f>+SP!H61+SP!H11</f>
        <v>0</v>
      </c>
      <c r="E31" s="68">
        <f>+SP!I61+SP!I11</f>
        <v>0</v>
      </c>
      <c r="F31" s="68">
        <f>+SP!J61+SP!J11</f>
        <v>27750</v>
      </c>
    </row>
    <row r="32" spans="2:6" x14ac:dyDescent="0.3">
      <c r="B32" s="59"/>
      <c r="C32" s="59"/>
      <c r="D32" s="59"/>
      <c r="E32" s="59"/>
      <c r="F32" s="59"/>
    </row>
    <row r="33" spans="2:6" x14ac:dyDescent="0.3">
      <c r="B33" s="67" t="s">
        <v>873</v>
      </c>
      <c r="C33" s="58">
        <f t="shared" ref="C33:D33" si="7">+C25+C17+C13+C7+C5+C31</f>
        <v>0</v>
      </c>
      <c r="D33" s="58">
        <f t="shared" si="7"/>
        <v>0</v>
      </c>
      <c r="E33" s="58">
        <f t="shared" ref="E33:F33" si="8">+E25+E17+E13+E7+E5+E31</f>
        <v>126617</v>
      </c>
      <c r="F33" s="58">
        <f t="shared" si="8"/>
        <v>1453619.62</v>
      </c>
    </row>
    <row r="34" spans="2:6" x14ac:dyDescent="0.3">
      <c r="B34" s="59"/>
      <c r="C34" s="59"/>
      <c r="D34" s="59"/>
      <c r="E34" s="59"/>
      <c r="F34" s="59"/>
    </row>
    <row r="35" spans="2:6" x14ac:dyDescent="0.3">
      <c r="B35" s="67" t="s">
        <v>360</v>
      </c>
      <c r="C35" s="59"/>
      <c r="D35" s="59"/>
      <c r="E35" s="59"/>
      <c r="F35" s="59"/>
    </row>
    <row r="36" spans="2:6" x14ac:dyDescent="0.3">
      <c r="B36" s="59"/>
      <c r="C36" s="59"/>
      <c r="D36" s="59"/>
      <c r="E36" s="59"/>
      <c r="F36" s="59"/>
    </row>
    <row r="37" spans="2:6" x14ac:dyDescent="0.3">
      <c r="B37" s="67" t="s">
        <v>874</v>
      </c>
      <c r="C37" s="68">
        <f>+C38</f>
        <v>0</v>
      </c>
      <c r="D37" s="68">
        <f>+D38</f>
        <v>0</v>
      </c>
      <c r="E37" s="68">
        <f>+E38</f>
        <v>0</v>
      </c>
      <c r="F37" s="68">
        <f>+F38</f>
        <v>529.32000000000005</v>
      </c>
    </row>
    <row r="38" spans="2:6" x14ac:dyDescent="0.3">
      <c r="B38" s="60" t="s">
        <v>875</v>
      </c>
      <c r="C38" s="64">
        <f>+SP!G185</f>
        <v>0</v>
      </c>
      <c r="D38" s="64">
        <f>+SP!H185</f>
        <v>0</v>
      </c>
      <c r="E38" s="64">
        <f>+SP!I185</f>
        <v>0</v>
      </c>
      <c r="F38" s="64">
        <f>+SP!J185</f>
        <v>529.32000000000005</v>
      </c>
    </row>
    <row r="39" spans="2:6" x14ac:dyDescent="0.3">
      <c r="B39" s="60"/>
      <c r="C39" s="59"/>
      <c r="D39" s="59"/>
      <c r="E39" s="59"/>
      <c r="F39" s="59"/>
    </row>
    <row r="40" spans="2:6" x14ac:dyDescent="0.3">
      <c r="B40" s="67" t="s">
        <v>876</v>
      </c>
      <c r="C40" s="58">
        <f>+C41+C42+C43+C44+C45</f>
        <v>0</v>
      </c>
      <c r="D40" s="58">
        <f>+D41+D42+D43+D44+D45</f>
        <v>0</v>
      </c>
      <c r="E40" s="58">
        <f>+E41+E42+E43+E44+E45</f>
        <v>0</v>
      </c>
      <c r="F40" s="58">
        <f>+F41+F42+F43+F44+F45</f>
        <v>1406907.88</v>
      </c>
    </row>
    <row r="41" spans="2:6" x14ac:dyDescent="0.3">
      <c r="B41" s="60" t="s">
        <v>877</v>
      </c>
      <c r="C41" s="68">
        <f>+SP!G199</f>
        <v>0</v>
      </c>
      <c r="D41" s="68">
        <f>+SP!H199</f>
        <v>0</v>
      </c>
      <c r="E41" s="68">
        <f>+SP!I199</f>
        <v>0</v>
      </c>
      <c r="F41" s="68">
        <f>+SP!J199</f>
        <v>201779.33</v>
      </c>
    </row>
    <row r="42" spans="2:6" x14ac:dyDescent="0.3">
      <c r="B42" s="60" t="s">
        <v>878</v>
      </c>
      <c r="C42" s="68">
        <f>+SP!G227</f>
        <v>0</v>
      </c>
      <c r="D42" s="68">
        <f>+SP!H227</f>
        <v>0</v>
      </c>
      <c r="E42" s="68">
        <f>+SP!I227</f>
        <v>0</v>
      </c>
      <c r="F42" s="68">
        <f>+SP!J227</f>
        <v>3624</v>
      </c>
    </row>
    <row r="43" spans="2:6" x14ac:dyDescent="0.3">
      <c r="B43" s="60" t="s">
        <v>879</v>
      </c>
      <c r="C43" s="68">
        <f>+SP!G223</f>
        <v>0</v>
      </c>
      <c r="D43" s="68">
        <f>+SP!H223</f>
        <v>0</v>
      </c>
      <c r="E43" s="68">
        <f>+SP!I223</f>
        <v>0</v>
      </c>
      <c r="F43" s="68">
        <f>+SP!J223</f>
        <v>8554.7200000000012</v>
      </c>
    </row>
    <row r="44" spans="2:6" x14ac:dyDescent="0.3">
      <c r="B44" s="60" t="s">
        <v>880</v>
      </c>
      <c r="C44" s="68">
        <f>+SP!G191+SP!G195+SP!G203+SP!G215+SP!G219+SP!G231</f>
        <v>0</v>
      </c>
      <c r="D44" s="68">
        <f>+SP!H191+SP!H195+SP!H203+SP!H215+SP!H219+SP!H231</f>
        <v>0</v>
      </c>
      <c r="E44" s="68">
        <f>+SP!I191+SP!I195+SP!I203+SP!I215+SP!I219+SP!I231</f>
        <v>0</v>
      </c>
      <c r="F44" s="68">
        <f>+SP!J191+SP!J195+SP!J203+SP!J215+SP!J219+SP!J231</f>
        <v>1192949.8299999998</v>
      </c>
    </row>
    <row r="45" spans="2:6" x14ac:dyDescent="0.3">
      <c r="B45" s="60" t="s">
        <v>881</v>
      </c>
      <c r="C45" s="68">
        <f>+SP!G236</f>
        <v>0</v>
      </c>
      <c r="D45" s="68">
        <f>+SP!H236</f>
        <v>0</v>
      </c>
      <c r="E45" s="68">
        <f>+SP!I236</f>
        <v>0</v>
      </c>
      <c r="F45" s="68">
        <f>+SP!J236</f>
        <v>0</v>
      </c>
    </row>
    <row r="46" spans="2:6" x14ac:dyDescent="0.3">
      <c r="B46" s="59"/>
      <c r="C46" s="59"/>
      <c r="D46" s="59"/>
      <c r="E46" s="59"/>
      <c r="F46" s="59"/>
    </row>
    <row r="47" spans="2:6" x14ac:dyDescent="0.3">
      <c r="B47" s="67" t="s">
        <v>882</v>
      </c>
      <c r="C47" s="68">
        <f>+SP!G183</f>
        <v>0</v>
      </c>
      <c r="D47" s="68">
        <f>+SP!H183</f>
        <v>0</v>
      </c>
      <c r="E47" s="68">
        <f>+SP!I183</f>
        <v>0</v>
      </c>
      <c r="F47" s="68">
        <f>+SP!J183</f>
        <v>0</v>
      </c>
    </row>
    <row r="48" spans="2:6" x14ac:dyDescent="0.3">
      <c r="B48" s="67"/>
      <c r="C48" s="68"/>
      <c r="D48" s="68"/>
      <c r="E48" s="68"/>
      <c r="F48" s="68"/>
    </row>
    <row r="49" spans="2:6" x14ac:dyDescent="0.3">
      <c r="B49" s="67" t="s">
        <v>883</v>
      </c>
      <c r="C49" s="68">
        <f>+SUM(C50:C54)</f>
        <v>0</v>
      </c>
      <c r="D49" s="68">
        <f>+SUM(D50:D54)</f>
        <v>0</v>
      </c>
      <c r="E49" s="68">
        <f>+SUM(E50:E54)</f>
        <v>0</v>
      </c>
      <c r="F49" s="68">
        <f>+SUM(F50:F54)</f>
        <v>15296.07</v>
      </c>
    </row>
    <row r="50" spans="2:6" x14ac:dyDescent="0.3">
      <c r="B50" s="67" t="s">
        <v>884</v>
      </c>
      <c r="C50" s="64">
        <f>+SP!G186</f>
        <v>0</v>
      </c>
      <c r="D50" s="64">
        <f>+SP!H186</f>
        <v>0</v>
      </c>
      <c r="E50" s="64">
        <f>+SP!I186</f>
        <v>0</v>
      </c>
      <c r="F50" s="64">
        <f>+SP!J186</f>
        <v>0</v>
      </c>
    </row>
    <row r="51" spans="2:6" x14ac:dyDescent="0.3">
      <c r="B51" s="67" t="s">
        <v>885</v>
      </c>
      <c r="C51" s="64">
        <f>+SP!G170</f>
        <v>0</v>
      </c>
      <c r="D51" s="64">
        <f>+SP!H170</f>
        <v>0</v>
      </c>
      <c r="E51" s="64">
        <f>+SP!I170</f>
        <v>0</v>
      </c>
      <c r="F51" s="64">
        <f>+SP!J170</f>
        <v>15296.07</v>
      </c>
    </row>
    <row r="52" spans="2:6" x14ac:dyDescent="0.3">
      <c r="B52" s="67" t="s">
        <v>886</v>
      </c>
      <c r="C52" s="64">
        <f>+SP!G169</f>
        <v>0</v>
      </c>
      <c r="D52" s="64">
        <f>+SP!H169</f>
        <v>0</v>
      </c>
      <c r="E52" s="64">
        <f>+SP!I169</f>
        <v>0</v>
      </c>
      <c r="F52" s="64">
        <f>+SP!J169</f>
        <v>0</v>
      </c>
    </row>
    <row r="53" spans="2:6" x14ac:dyDescent="0.3">
      <c r="B53" s="67" t="s">
        <v>887</v>
      </c>
      <c r="C53" s="64">
        <f>+SP!G211+SP!G207</f>
        <v>0</v>
      </c>
      <c r="D53" s="64">
        <f>+SP!H211+SP!H207</f>
        <v>0</v>
      </c>
      <c r="E53" s="64">
        <f>+SP!I211+SP!I207</f>
        <v>0</v>
      </c>
      <c r="F53" s="64">
        <f>+SP!J211+SP!J207</f>
        <v>0</v>
      </c>
    </row>
    <row r="54" spans="2:6" x14ac:dyDescent="0.3">
      <c r="B54" s="67" t="s">
        <v>888</v>
      </c>
      <c r="C54" s="64">
        <f>+SP!G175+SP!G179</f>
        <v>0</v>
      </c>
      <c r="D54" s="64">
        <f>+SP!H175+SP!H179</f>
        <v>0</v>
      </c>
      <c r="E54" s="64">
        <f>+SP!I175+SP!I179</f>
        <v>0</v>
      </c>
      <c r="F54" s="64">
        <f>+SP!J175+SP!J179</f>
        <v>0</v>
      </c>
    </row>
    <row r="55" spans="2:6" x14ac:dyDescent="0.3">
      <c r="B55" s="60"/>
      <c r="C55" s="59"/>
      <c r="D55" s="59"/>
      <c r="E55" s="59"/>
      <c r="F55" s="59"/>
    </row>
    <row r="56" spans="2:6" x14ac:dyDescent="0.3">
      <c r="B56" s="67" t="s">
        <v>889</v>
      </c>
      <c r="C56" s="58">
        <f>+C57+C58+C59+C60+C61</f>
        <v>0</v>
      </c>
      <c r="D56" s="58">
        <f>+D57+D58+D59+D60+D61</f>
        <v>0</v>
      </c>
      <c r="E56" s="58">
        <f>+E57+E58+E59+E60+E61</f>
        <v>0</v>
      </c>
      <c r="F56" s="58">
        <f>+F57+F58+F59+F60+F61</f>
        <v>30886.350000000002</v>
      </c>
    </row>
    <row r="57" spans="2:6" x14ac:dyDescent="0.3">
      <c r="B57" s="67" t="s">
        <v>890</v>
      </c>
      <c r="C57" s="68">
        <f>+SP!G127</f>
        <v>0</v>
      </c>
      <c r="D57" s="68">
        <f>+SP!H127</f>
        <v>0</v>
      </c>
      <c r="E57" s="68">
        <f>+SP!I127</f>
        <v>0</v>
      </c>
      <c r="F57" s="68">
        <f>+SP!J127</f>
        <v>100000</v>
      </c>
    </row>
    <row r="58" spans="2:6" x14ac:dyDescent="0.3">
      <c r="B58" s="67" t="s">
        <v>891</v>
      </c>
      <c r="C58" s="68">
        <f>+SP!G130</f>
        <v>0</v>
      </c>
      <c r="D58" s="68">
        <f>+SP!H130</f>
        <v>0</v>
      </c>
      <c r="E58" s="68">
        <f>+SP!I130</f>
        <v>0</v>
      </c>
      <c r="F58" s="68">
        <f>+SP!J130</f>
        <v>0</v>
      </c>
    </row>
    <row r="59" spans="2:6" x14ac:dyDescent="0.3">
      <c r="B59" s="67" t="s">
        <v>892</v>
      </c>
      <c r="C59" s="68">
        <f>+SP!G128+SP!G129+SP!G131+SP!G132+SP!G153+SP!G154+SP!G162</f>
        <v>0</v>
      </c>
      <c r="D59" s="68">
        <f>+SP!H128+SP!H129+SP!H131+SP!H132+SP!H153+SP!H154+SP!H162</f>
        <v>0</v>
      </c>
      <c r="E59" s="68">
        <f>+SP!I128+SP!I129+SP!I131+SP!I132+SP!I153+SP!I154+SP!I162</f>
        <v>0</v>
      </c>
      <c r="F59" s="68">
        <f>+SP!J128+SP!J129+SP!J131+SP!J132+SP!J153+SP!J154+SP!J162</f>
        <v>0</v>
      </c>
    </row>
    <row r="60" spans="2:6" x14ac:dyDescent="0.3">
      <c r="B60" s="67" t="s">
        <v>893</v>
      </c>
      <c r="C60" s="58">
        <f>+SP!G156+SP!G159+SP!G160</f>
        <v>0</v>
      </c>
      <c r="D60" s="58">
        <f>+SP!H156+SP!H159+SP!H160</f>
        <v>0</v>
      </c>
      <c r="E60" s="58">
        <f>+SP!I156+SP!I159+SP!I160</f>
        <v>0</v>
      </c>
      <c r="F60" s="58">
        <f>+SP!J156+SP!J159+SP!J160</f>
        <v>-60634.45</v>
      </c>
    </row>
    <row r="61" spans="2:6" x14ac:dyDescent="0.3">
      <c r="B61" s="67" t="s">
        <v>894</v>
      </c>
      <c r="C61" s="58">
        <f>+SP!G158</f>
        <v>0</v>
      </c>
      <c r="D61" s="58">
        <f>+SP!H158</f>
        <v>0</v>
      </c>
      <c r="E61" s="58">
        <f>+SP!I158</f>
        <v>0</v>
      </c>
      <c r="F61" s="58">
        <f>+SP!J158</f>
        <v>-8479.2000000000007</v>
      </c>
    </row>
    <row r="62" spans="2:6" x14ac:dyDescent="0.3">
      <c r="B62" s="59"/>
      <c r="C62" s="59"/>
      <c r="D62" s="59"/>
      <c r="E62" s="59"/>
      <c r="F62" s="59"/>
    </row>
    <row r="63" spans="2:6" x14ac:dyDescent="0.3">
      <c r="B63" s="67" t="s">
        <v>895</v>
      </c>
      <c r="C63" s="58">
        <f t="shared" ref="C63:D63" si="9">+C56+C49+C47+C40+C37</f>
        <v>0</v>
      </c>
      <c r="D63" s="58">
        <f t="shared" si="9"/>
        <v>0</v>
      </c>
      <c r="E63" s="58">
        <f t="shared" ref="E63:F63" si="10">+E56+E49+E47+E40+E37</f>
        <v>0</v>
      </c>
      <c r="F63" s="58">
        <f t="shared" si="10"/>
        <v>1453619.6199999999</v>
      </c>
    </row>
    <row r="65" spans="2:6" ht="15" thickBot="1" x14ac:dyDescent="0.35"/>
    <row r="66" spans="2:6" ht="15" thickBot="1" x14ac:dyDescent="0.35">
      <c r="B66" s="57" t="s">
        <v>1083</v>
      </c>
      <c r="C66" s="150">
        <f t="shared" ref="C66:E66" si="11">+C33-C63</f>
        <v>0</v>
      </c>
      <c r="D66" s="151">
        <f t="shared" si="11"/>
        <v>0</v>
      </c>
      <c r="E66" s="151">
        <f t="shared" si="11"/>
        <v>126617</v>
      </c>
      <c r="F66" s="152">
        <f>+F33-F63</f>
        <v>0</v>
      </c>
    </row>
  </sheetData>
  <mergeCells count="1">
    <mergeCell ref="G14:I14"/>
  </mergeCells>
  <pageMargins left="0.7" right="0.7" top="0.75" bottom="0.75" header="0.3" footer="0.3"/>
  <pageSetup paperSize="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F46"/>
  <sheetViews>
    <sheetView showGridLines="0" topLeftCell="A21" workbookViewId="0">
      <selection activeCell="E9" sqref="C9:E9"/>
    </sheetView>
  </sheetViews>
  <sheetFormatPr defaultColWidth="8.6640625" defaultRowHeight="14.4" x14ac:dyDescent="0.3"/>
  <cols>
    <col min="2" max="2" width="68.109375" bestFit="1" customWidth="1"/>
    <col min="3" max="3" width="26.88671875" customWidth="1"/>
    <col min="4" max="4" width="25" customWidth="1"/>
    <col min="5" max="5" width="11.44140625" bestFit="1" customWidth="1"/>
  </cols>
  <sheetData>
    <row r="2" spans="2:5" x14ac:dyDescent="0.3">
      <c r="B2" s="59" t="s">
        <v>896</v>
      </c>
      <c r="C2" s="86">
        <f>+CE!G4</f>
        <v>2015</v>
      </c>
      <c r="D2" s="86">
        <f>+CE!H4</f>
        <v>2016</v>
      </c>
      <c r="E2" s="86">
        <f>+CE!I4</f>
        <v>2017</v>
      </c>
    </row>
    <row r="3" spans="2:5" x14ac:dyDescent="0.3">
      <c r="B3" s="67" t="s">
        <v>897</v>
      </c>
      <c r="C3" s="58">
        <f t="shared" ref="C3:D3" si="0">+SUM(C5:C6)-C4+C7</f>
        <v>0</v>
      </c>
      <c r="D3" s="58">
        <f t="shared" si="0"/>
        <v>0</v>
      </c>
      <c r="E3" s="58">
        <f>+SUM(E5:E6)-E4+E7</f>
        <v>1156284.1099999999</v>
      </c>
    </row>
    <row r="4" spans="2:5" x14ac:dyDescent="0.3">
      <c r="B4" s="66" t="s">
        <v>898</v>
      </c>
      <c r="C4" s="64">
        <f>+SP!G66+SP!G67+SP!G68+SP!G69</f>
        <v>0</v>
      </c>
      <c r="D4" s="64">
        <f>+C7</f>
        <v>0</v>
      </c>
      <c r="E4" s="64">
        <f>+D7</f>
        <v>0</v>
      </c>
    </row>
    <row r="5" spans="2:5" x14ac:dyDescent="0.3">
      <c r="B5" s="66" t="s">
        <v>899</v>
      </c>
      <c r="C5" s="64">
        <f>+CE!G8</f>
        <v>0</v>
      </c>
      <c r="D5" s="64">
        <f>+CE!H8</f>
        <v>0</v>
      </c>
      <c r="E5" s="64">
        <f>+CE!I8</f>
        <v>1151378.8799999999</v>
      </c>
    </row>
    <row r="6" spans="2:5" x14ac:dyDescent="0.3">
      <c r="B6" s="66" t="s">
        <v>900</v>
      </c>
      <c r="C6" s="64">
        <f>+CE!G15+CE!G11</f>
        <v>0</v>
      </c>
      <c r="D6" s="64">
        <f>+CE!H15+CE!H11</f>
        <v>0</v>
      </c>
      <c r="E6" s="64">
        <f>+CE!I15+CE!I11</f>
        <v>4905.2299999999996</v>
      </c>
    </row>
    <row r="7" spans="2:5" x14ac:dyDescent="0.3">
      <c r="B7" s="66" t="s">
        <v>901</v>
      </c>
      <c r="C7" s="64">
        <f>+CE!G9+CE!G10+C4</f>
        <v>0</v>
      </c>
      <c r="D7" s="64">
        <f>+CE!H9+CE!H10+D4</f>
        <v>0</v>
      </c>
      <c r="E7" s="64">
        <f>+CE!I9+CE!I10+E4</f>
        <v>0</v>
      </c>
    </row>
    <row r="8" spans="2:5" x14ac:dyDescent="0.3">
      <c r="B8" s="59"/>
      <c r="C8" s="65"/>
      <c r="D8" s="65"/>
      <c r="E8" s="65"/>
    </row>
    <row r="9" spans="2:5" x14ac:dyDescent="0.3">
      <c r="B9" s="67" t="s">
        <v>902</v>
      </c>
      <c r="C9" s="58">
        <f t="shared" ref="C9:D9" si="1">+C11-C12+C10</f>
        <v>0</v>
      </c>
      <c r="D9" s="58">
        <f t="shared" si="1"/>
        <v>-126617</v>
      </c>
      <c r="E9" s="58">
        <f>+E11-E12+E10</f>
        <v>816549.35000000009</v>
      </c>
    </row>
    <row r="10" spans="2:5" x14ac:dyDescent="0.3">
      <c r="B10" s="66" t="s">
        <v>903</v>
      </c>
      <c r="C10" s="64">
        <f>+SP!G65</f>
        <v>0</v>
      </c>
      <c r="D10" s="64">
        <f>+C12</f>
        <v>0</v>
      </c>
      <c r="E10" s="64">
        <f>+D12</f>
        <v>126617</v>
      </c>
    </row>
    <row r="11" spans="2:5" x14ac:dyDescent="0.3">
      <c r="B11" s="66" t="s">
        <v>904</v>
      </c>
      <c r="C11" s="64">
        <f>+CE!G18</f>
        <v>0</v>
      </c>
      <c r="D11" s="64">
        <f>+CE!H18</f>
        <v>0</v>
      </c>
      <c r="E11" s="64">
        <f>+CE!I18</f>
        <v>818909.35000000009</v>
      </c>
    </row>
    <row r="12" spans="2:5" x14ac:dyDescent="0.3">
      <c r="B12" s="66" t="s">
        <v>905</v>
      </c>
      <c r="C12" s="64">
        <f>+SP!H70+CE!G34</f>
        <v>0</v>
      </c>
      <c r="D12" s="64">
        <f>+SP!I70-SP!H70+D10</f>
        <v>126617</v>
      </c>
      <c r="E12" s="64">
        <f>+SP!J70-SP!I70+E10</f>
        <v>128977</v>
      </c>
    </row>
    <row r="13" spans="2:5" x14ac:dyDescent="0.3">
      <c r="B13" s="59"/>
      <c r="C13" s="65"/>
      <c r="D13" s="65"/>
      <c r="E13" s="65"/>
    </row>
    <row r="14" spans="2:5" x14ac:dyDescent="0.3">
      <c r="B14" s="67" t="s">
        <v>906</v>
      </c>
      <c r="C14" s="58">
        <f t="shared" ref="C14:E14" si="2">+C3-C9</f>
        <v>0</v>
      </c>
      <c r="D14" s="58">
        <f t="shared" si="2"/>
        <v>126617</v>
      </c>
      <c r="E14" s="58">
        <f t="shared" si="2"/>
        <v>339734.75999999978</v>
      </c>
    </row>
    <row r="15" spans="2:5" x14ac:dyDescent="0.3">
      <c r="B15" s="67"/>
      <c r="C15" s="68"/>
      <c r="D15" s="68"/>
      <c r="E15" s="68"/>
    </row>
    <row r="16" spans="2:5" x14ac:dyDescent="0.3">
      <c r="B16" s="67" t="s">
        <v>907</v>
      </c>
      <c r="C16" s="58">
        <f t="shared" ref="C16:D16" si="3">+C17+C18</f>
        <v>0</v>
      </c>
      <c r="D16" s="58">
        <f t="shared" si="3"/>
        <v>0</v>
      </c>
      <c r="E16" s="58">
        <f>+E17+E18</f>
        <v>37452.18</v>
      </c>
    </row>
    <row r="17" spans="2:6" x14ac:dyDescent="0.3">
      <c r="B17" s="66" t="s">
        <v>908</v>
      </c>
      <c r="C17" s="64">
        <f>+CE!G19</f>
        <v>0</v>
      </c>
      <c r="D17" s="64">
        <f>+CE!H19</f>
        <v>0</v>
      </c>
      <c r="E17" s="64">
        <f>+CE!I19</f>
        <v>21586.260000000002</v>
      </c>
    </row>
    <row r="18" spans="2:6" x14ac:dyDescent="0.3">
      <c r="B18" s="66" t="s">
        <v>909</v>
      </c>
      <c r="C18" s="64">
        <f>+CE!G20</f>
        <v>0</v>
      </c>
      <c r="D18" s="64">
        <f>+CE!H20</f>
        <v>0</v>
      </c>
      <c r="E18" s="64">
        <f>+CE!I20</f>
        <v>15865.92</v>
      </c>
    </row>
    <row r="19" spans="2:6" x14ac:dyDescent="0.3">
      <c r="B19" s="59"/>
      <c r="C19" s="65"/>
      <c r="D19" s="65"/>
      <c r="E19" s="65"/>
    </row>
    <row r="20" spans="2:6" x14ac:dyDescent="0.3">
      <c r="B20" s="67" t="s">
        <v>910</v>
      </c>
      <c r="C20" s="58">
        <f t="shared" ref="C20:E20" si="4">+C14-C16</f>
        <v>0</v>
      </c>
      <c r="D20" s="58">
        <f t="shared" si="4"/>
        <v>126617</v>
      </c>
      <c r="E20" s="58">
        <f t="shared" si="4"/>
        <v>302282.57999999978</v>
      </c>
    </row>
    <row r="21" spans="2:6" x14ac:dyDescent="0.3">
      <c r="B21" s="67"/>
      <c r="C21" s="68"/>
      <c r="D21" s="68"/>
      <c r="E21" s="68"/>
    </row>
    <row r="22" spans="2:6" x14ac:dyDescent="0.3">
      <c r="B22" s="66" t="s">
        <v>911</v>
      </c>
      <c r="C22" s="58">
        <f t="shared" ref="C22:D22" si="5">+SUM(C23:C28)</f>
        <v>0</v>
      </c>
      <c r="D22" s="58">
        <f t="shared" si="5"/>
        <v>0</v>
      </c>
      <c r="E22" s="58">
        <f>+SUM(E23:E28)</f>
        <v>307381.77999999997</v>
      </c>
      <c r="F22" s="58"/>
    </row>
    <row r="23" spans="2:6" x14ac:dyDescent="0.3">
      <c r="B23" s="59" t="s">
        <v>912</v>
      </c>
      <c r="C23" s="64">
        <f>+CE!G30</f>
        <v>0</v>
      </c>
      <c r="D23" s="64">
        <f>+CE!H30</f>
        <v>0</v>
      </c>
      <c r="E23" s="64">
        <f>+CE!I30</f>
        <v>6519.3700000000008</v>
      </c>
    </row>
    <row r="24" spans="2:6" x14ac:dyDescent="0.3">
      <c r="B24" s="59" t="s">
        <v>913</v>
      </c>
      <c r="C24" s="64">
        <f>+CE!G29</f>
        <v>0</v>
      </c>
      <c r="D24" s="64">
        <f>+CE!H29</f>
        <v>0</v>
      </c>
      <c r="E24" s="64">
        <f>+CE!I29</f>
        <v>100211.15</v>
      </c>
    </row>
    <row r="25" spans="2:6" x14ac:dyDescent="0.3">
      <c r="B25" s="59" t="s">
        <v>914</v>
      </c>
      <c r="C25" s="64">
        <f>+CE!G37</f>
        <v>0</v>
      </c>
      <c r="D25" s="64">
        <f>+CE!H37</f>
        <v>0</v>
      </c>
      <c r="E25" s="64">
        <f>+CE!I37</f>
        <v>108459.64000000001</v>
      </c>
    </row>
    <row r="26" spans="2:6" x14ac:dyDescent="0.3">
      <c r="B26" s="59" t="s">
        <v>915</v>
      </c>
      <c r="C26" s="64">
        <f>+CE!G36+CE!G35</f>
        <v>0</v>
      </c>
      <c r="D26" s="64">
        <f>+CE!H36+CE!H35</f>
        <v>0</v>
      </c>
      <c r="E26" s="64">
        <f>+CE!I36+CE!I35</f>
        <v>0</v>
      </c>
    </row>
    <row r="27" spans="2:6" x14ac:dyDescent="0.3">
      <c r="B27" s="59" t="s">
        <v>916</v>
      </c>
      <c r="C27" s="64">
        <f>+CE!G22+CE!G23+CE!G25+CE!G26</f>
        <v>0</v>
      </c>
      <c r="D27" s="64">
        <f>+CE!H22+CE!H23+CE!H25+CE!H26</f>
        <v>0</v>
      </c>
      <c r="E27" s="64">
        <f>+CE!I22+CE!I23+CE!I25+CE!I26</f>
        <v>87759.200000000012</v>
      </c>
    </row>
    <row r="28" spans="2:6" x14ac:dyDescent="0.3">
      <c r="B28" s="59" t="s">
        <v>917</v>
      </c>
      <c r="C28" s="64">
        <f>+CE!G24</f>
        <v>0</v>
      </c>
      <c r="D28" s="64">
        <f>+CE!H24</f>
        <v>0</v>
      </c>
      <c r="E28" s="64">
        <f>+CE!I24</f>
        <v>4432.42</v>
      </c>
    </row>
    <row r="29" spans="2:6" x14ac:dyDescent="0.3">
      <c r="B29" s="59"/>
      <c r="C29" s="65"/>
      <c r="D29" s="65"/>
      <c r="E29" s="65"/>
    </row>
    <row r="30" spans="2:6" x14ac:dyDescent="0.3">
      <c r="B30" s="67" t="s">
        <v>918</v>
      </c>
      <c r="C30" s="58">
        <f t="shared" ref="C30:D30" si="6">+C20-C22</f>
        <v>0</v>
      </c>
      <c r="D30" s="58">
        <f t="shared" si="6"/>
        <v>126617</v>
      </c>
      <c r="E30" s="58">
        <f>+E20-E22</f>
        <v>-5099.2000000001863</v>
      </c>
    </row>
    <row r="31" spans="2:6" x14ac:dyDescent="0.3">
      <c r="B31" s="59"/>
      <c r="C31" s="65"/>
      <c r="D31" s="65"/>
      <c r="E31" s="65"/>
    </row>
    <row r="32" spans="2:6" x14ac:dyDescent="0.3">
      <c r="B32" s="67" t="s">
        <v>919</v>
      </c>
      <c r="C32" s="58">
        <f t="shared" ref="C32:D32" si="7">SUM(C33:C34)</f>
        <v>0</v>
      </c>
      <c r="D32" s="58">
        <f t="shared" si="7"/>
        <v>0</v>
      </c>
      <c r="E32" s="58">
        <f>SUM(E33:E34)</f>
        <v>0</v>
      </c>
    </row>
    <row r="33" spans="2:5" x14ac:dyDescent="0.3">
      <c r="B33" s="59" t="s">
        <v>920</v>
      </c>
      <c r="C33" s="65"/>
      <c r="D33" s="65"/>
      <c r="E33" s="65"/>
    </row>
    <row r="34" spans="2:5" x14ac:dyDescent="0.3">
      <c r="B34" s="59" t="s">
        <v>921</v>
      </c>
      <c r="C34" s="65">
        <f>-CE!G31-CE!G32+CE!G83</f>
        <v>0</v>
      </c>
      <c r="D34" s="65">
        <f>-CE!H31-CE!H32+CE!H83</f>
        <v>0</v>
      </c>
      <c r="E34" s="65">
        <f>-CE!I31-CE!I32+CE!I83</f>
        <v>0</v>
      </c>
    </row>
    <row r="35" spans="2:5" x14ac:dyDescent="0.3">
      <c r="B35" s="59"/>
      <c r="C35" s="65"/>
      <c r="D35" s="65"/>
      <c r="E35" s="65"/>
    </row>
    <row r="36" spans="2:5" x14ac:dyDescent="0.3">
      <c r="B36" s="59"/>
      <c r="C36" s="65"/>
      <c r="D36" s="65"/>
      <c r="E36" s="65"/>
    </row>
    <row r="37" spans="2:5" x14ac:dyDescent="0.3">
      <c r="B37" s="67" t="s">
        <v>922</v>
      </c>
      <c r="C37" s="58">
        <f t="shared" ref="C37:D37" si="8">+C38</f>
        <v>0</v>
      </c>
      <c r="D37" s="58">
        <f t="shared" si="8"/>
        <v>0</v>
      </c>
      <c r="E37" s="58">
        <f>+E38</f>
        <v>-3380</v>
      </c>
    </row>
    <row r="38" spans="2:5" x14ac:dyDescent="0.3">
      <c r="B38" s="59" t="s">
        <v>923</v>
      </c>
      <c r="C38" s="65">
        <f>+CE!G69</f>
        <v>0</v>
      </c>
      <c r="D38" s="65">
        <f>+CE!H69</f>
        <v>0</v>
      </c>
      <c r="E38" s="65">
        <f>+CE!I69</f>
        <v>-3380</v>
      </c>
    </row>
    <row r="39" spans="2:5" x14ac:dyDescent="0.3">
      <c r="B39" s="59"/>
      <c r="C39" s="65"/>
      <c r="D39" s="65"/>
      <c r="E39" s="65"/>
    </row>
    <row r="40" spans="2:5" x14ac:dyDescent="0.3">
      <c r="B40" s="67" t="s">
        <v>924</v>
      </c>
      <c r="C40" s="58">
        <f t="shared" ref="C40:D40" si="9">+C30+C32+C37</f>
        <v>0</v>
      </c>
      <c r="D40" s="58">
        <f t="shared" si="9"/>
        <v>126617</v>
      </c>
      <c r="E40" s="58">
        <f>+E30+E32+E37</f>
        <v>-8479.2000000001863</v>
      </c>
    </row>
    <row r="41" spans="2:5" x14ac:dyDescent="0.3">
      <c r="B41" s="67"/>
      <c r="C41" s="68"/>
      <c r="D41" s="68"/>
      <c r="E41" s="68"/>
    </row>
    <row r="42" spans="2:5" x14ac:dyDescent="0.3">
      <c r="B42" s="59" t="s">
        <v>925</v>
      </c>
      <c r="C42" s="65">
        <f>+CE!G90</f>
        <v>0</v>
      </c>
      <c r="D42" s="65">
        <f>+CE!H90</f>
        <v>0</v>
      </c>
      <c r="E42" s="65">
        <f>+CE!I90</f>
        <v>0</v>
      </c>
    </row>
    <row r="43" spans="2:5" x14ac:dyDescent="0.3">
      <c r="B43" s="59"/>
      <c r="C43" s="65"/>
      <c r="D43" s="65"/>
      <c r="E43" s="65"/>
    </row>
    <row r="44" spans="2:5" x14ac:dyDescent="0.3">
      <c r="B44" s="67" t="s">
        <v>926</v>
      </c>
      <c r="C44" s="58">
        <f t="shared" ref="C44:D44" si="10">+C40-C42</f>
        <v>0</v>
      </c>
      <c r="D44" s="58">
        <f t="shared" si="10"/>
        <v>126617</v>
      </c>
      <c r="E44" s="58">
        <f>+E40-E42</f>
        <v>-8479.2000000001863</v>
      </c>
    </row>
    <row r="45" spans="2:5" ht="15" thickBot="1" x14ac:dyDescent="0.35"/>
    <row r="46" spans="2:5" ht="15" thickBot="1" x14ac:dyDescent="0.35">
      <c r="B46" s="57" t="s">
        <v>1083</v>
      </c>
      <c r="C46" s="150">
        <f>+C44-'sp fin'!D61</f>
        <v>0</v>
      </c>
      <c r="D46" s="151">
        <f>+D44-'sp fin'!E61</f>
        <v>126617</v>
      </c>
      <c r="E46" s="152">
        <f>+E44-'sp fin'!F61</f>
        <v>-1.8553691916167736E-10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27"/>
  <sheetViews>
    <sheetView topLeftCell="A3" workbookViewId="0">
      <selection activeCell="B24" sqref="B24:K24"/>
    </sheetView>
  </sheetViews>
  <sheetFormatPr defaultColWidth="8.6640625" defaultRowHeight="14.4" x14ac:dyDescent="0.3"/>
  <cols>
    <col min="1" max="1" width="61.109375" bestFit="1" customWidth="1"/>
  </cols>
  <sheetData>
    <row r="2" spans="1:11" x14ac:dyDescent="0.3">
      <c r="A2" s="59" t="s">
        <v>896</v>
      </c>
      <c r="B2" s="70">
        <f>+CE!I4</f>
        <v>2017</v>
      </c>
      <c r="C2" s="70" t="e">
        <f>+CE!#REF!</f>
        <v>#REF!</v>
      </c>
      <c r="D2" s="70" t="e">
        <f>+CE!#REF!</f>
        <v>#REF!</v>
      </c>
      <c r="E2" s="70" t="e">
        <f>+CE!#REF!</f>
        <v>#REF!</v>
      </c>
      <c r="F2" s="70" t="e">
        <f>+CE!#REF!</f>
        <v>#REF!</v>
      </c>
      <c r="G2" s="70" t="e">
        <f>+CE!#REF!</f>
        <v>#REF!</v>
      </c>
      <c r="H2" s="70" t="e">
        <f>+CE!#REF!</f>
        <v>#REF!</v>
      </c>
      <c r="I2" s="70" t="e">
        <f>+CE!#REF!</f>
        <v>#REF!</v>
      </c>
      <c r="J2" s="70" t="e">
        <f>+CE!#REF!</f>
        <v>#REF!</v>
      </c>
      <c r="K2" s="70" t="e">
        <f>+CE!#REF!</f>
        <v>#REF!</v>
      </c>
    </row>
    <row r="3" spans="1:11" x14ac:dyDescent="0.3">
      <c r="A3" s="59" t="s">
        <v>965</v>
      </c>
      <c r="B3" s="64">
        <f>+CE!I8</f>
        <v>1151378.8799999999</v>
      </c>
      <c r="C3" s="64" t="e">
        <f>+CE!#REF!</f>
        <v>#REF!</v>
      </c>
      <c r="D3" s="64" t="e">
        <f>+CE!#REF!</f>
        <v>#REF!</v>
      </c>
      <c r="E3" s="64" t="e">
        <f>+CE!#REF!</f>
        <v>#REF!</v>
      </c>
      <c r="F3" s="64" t="e">
        <f>+CE!#REF!</f>
        <v>#REF!</v>
      </c>
      <c r="G3" s="64" t="e">
        <f>+CE!#REF!</f>
        <v>#REF!</v>
      </c>
      <c r="H3" s="64" t="e">
        <f>+CE!#REF!</f>
        <v>#REF!</v>
      </c>
      <c r="I3" s="64" t="e">
        <f>+CE!#REF!</f>
        <v>#REF!</v>
      </c>
      <c r="J3" s="64" t="e">
        <f>+CE!#REF!</f>
        <v>#REF!</v>
      </c>
      <c r="K3" s="64" t="e">
        <f>+CE!#REF!</f>
        <v>#REF!</v>
      </c>
    </row>
    <row r="4" spans="1:11" x14ac:dyDescent="0.3">
      <c r="A4" s="59" t="s">
        <v>966</v>
      </c>
      <c r="B4" s="64">
        <f>+CE!I9</f>
        <v>0</v>
      </c>
      <c r="C4" s="64" t="e">
        <f>+CE!#REF!</f>
        <v>#REF!</v>
      </c>
      <c r="D4" s="64" t="e">
        <f>+CE!#REF!</f>
        <v>#REF!</v>
      </c>
      <c r="E4" s="64" t="e">
        <f>+CE!#REF!</f>
        <v>#REF!</v>
      </c>
      <c r="F4" s="64" t="e">
        <f>+CE!#REF!</f>
        <v>#REF!</v>
      </c>
      <c r="G4" s="64" t="e">
        <f>+CE!#REF!</f>
        <v>#REF!</v>
      </c>
      <c r="H4" s="64" t="e">
        <f>+CE!#REF!</f>
        <v>#REF!</v>
      </c>
      <c r="I4" s="64" t="e">
        <f>+CE!#REF!</f>
        <v>#REF!</v>
      </c>
      <c r="J4" s="64" t="e">
        <f>+CE!#REF!</f>
        <v>#REF!</v>
      </c>
      <c r="K4" s="64" t="e">
        <f>+CE!#REF!</f>
        <v>#REF!</v>
      </c>
    </row>
    <row r="5" spans="1:11" x14ac:dyDescent="0.3">
      <c r="A5" s="59" t="s">
        <v>967</v>
      </c>
      <c r="B5" s="64">
        <f>+CE!I10</f>
        <v>0</v>
      </c>
      <c r="C5" s="64" t="e">
        <f>+CE!#REF!</f>
        <v>#REF!</v>
      </c>
      <c r="D5" s="64" t="e">
        <f>+CE!#REF!</f>
        <v>#REF!</v>
      </c>
      <c r="E5" s="64" t="e">
        <f>+CE!#REF!</f>
        <v>#REF!</v>
      </c>
      <c r="F5" s="64" t="e">
        <f>+CE!#REF!</f>
        <v>#REF!</v>
      </c>
      <c r="G5" s="64" t="e">
        <f>+CE!#REF!</f>
        <v>#REF!</v>
      </c>
      <c r="H5" s="64" t="e">
        <f>+CE!#REF!</f>
        <v>#REF!</v>
      </c>
      <c r="I5" s="64" t="e">
        <f>+CE!#REF!</f>
        <v>#REF!</v>
      </c>
      <c r="J5" s="64" t="e">
        <f>+CE!#REF!</f>
        <v>#REF!</v>
      </c>
      <c r="K5" s="64" t="e">
        <f>+CE!#REF!</f>
        <v>#REF!</v>
      </c>
    </row>
    <row r="6" spans="1:11" x14ac:dyDescent="0.3">
      <c r="A6" s="59" t="s">
        <v>968</v>
      </c>
      <c r="B6" s="64">
        <f>+CE!I11</f>
        <v>0</v>
      </c>
      <c r="C6" s="64" t="e">
        <f>+CE!#REF!</f>
        <v>#REF!</v>
      </c>
      <c r="D6" s="64" t="e">
        <f>+CE!#REF!</f>
        <v>#REF!</v>
      </c>
      <c r="E6" s="64" t="e">
        <f>+CE!#REF!</f>
        <v>#REF!</v>
      </c>
      <c r="F6" s="64" t="e">
        <f>+CE!#REF!</f>
        <v>#REF!</v>
      </c>
      <c r="G6" s="64" t="e">
        <f>+CE!#REF!</f>
        <v>#REF!</v>
      </c>
      <c r="H6" s="64" t="e">
        <f>+CE!#REF!</f>
        <v>#REF!</v>
      </c>
      <c r="I6" s="64" t="e">
        <f>+CE!#REF!</f>
        <v>#REF!</v>
      </c>
      <c r="J6" s="64" t="e">
        <f>+CE!#REF!</f>
        <v>#REF!</v>
      </c>
      <c r="K6" s="64" t="e">
        <f>+CE!#REF!</f>
        <v>#REF!</v>
      </c>
    </row>
    <row r="7" spans="1:11" x14ac:dyDescent="0.3">
      <c r="A7" s="59" t="s">
        <v>969</v>
      </c>
      <c r="B7" s="64">
        <f>+CE!I15</f>
        <v>4905.2299999999996</v>
      </c>
      <c r="C7" s="64" t="e">
        <f>+CE!#REF!</f>
        <v>#REF!</v>
      </c>
      <c r="D7" s="64" t="e">
        <f>+CE!#REF!</f>
        <v>#REF!</v>
      </c>
      <c r="E7" s="64" t="e">
        <f>+CE!#REF!</f>
        <v>#REF!</v>
      </c>
      <c r="F7" s="64" t="e">
        <f>+CE!#REF!</f>
        <v>#REF!</v>
      </c>
      <c r="G7" s="64" t="e">
        <f>+CE!#REF!</f>
        <v>#REF!</v>
      </c>
      <c r="H7" s="64" t="e">
        <f>+CE!#REF!</f>
        <v>#REF!</v>
      </c>
      <c r="I7" s="64" t="e">
        <f>+CE!#REF!</f>
        <v>#REF!</v>
      </c>
      <c r="J7" s="64" t="e">
        <f>+CE!#REF!</f>
        <v>#REF!</v>
      </c>
      <c r="K7" s="64" t="e">
        <f>+CE!#REF!</f>
        <v>#REF!</v>
      </c>
    </row>
    <row r="8" spans="1:11" x14ac:dyDescent="0.3">
      <c r="A8" s="67" t="s">
        <v>970</v>
      </c>
      <c r="B8" s="58">
        <f>SUM(B3:B7)</f>
        <v>1156284.1099999999</v>
      </c>
      <c r="C8" s="58" t="e">
        <f t="shared" ref="C8:K8" si="0">SUM(C3:C7)</f>
        <v>#REF!</v>
      </c>
      <c r="D8" s="58" t="e">
        <f t="shared" si="0"/>
        <v>#REF!</v>
      </c>
      <c r="E8" s="58" t="e">
        <f t="shared" si="0"/>
        <v>#REF!</v>
      </c>
      <c r="F8" s="58" t="e">
        <f t="shared" si="0"/>
        <v>#REF!</v>
      </c>
      <c r="G8" s="58" t="e">
        <f t="shared" si="0"/>
        <v>#REF!</v>
      </c>
      <c r="H8" s="58" t="e">
        <f t="shared" si="0"/>
        <v>#REF!</v>
      </c>
      <c r="I8" s="58" t="e">
        <f t="shared" si="0"/>
        <v>#REF!</v>
      </c>
      <c r="J8" s="58" t="e">
        <f t="shared" si="0"/>
        <v>#REF!</v>
      </c>
      <c r="K8" s="58" t="e">
        <f t="shared" si="0"/>
        <v>#REF!</v>
      </c>
    </row>
    <row r="9" spans="1:11" x14ac:dyDescent="0.3">
      <c r="A9" s="67" t="s">
        <v>971</v>
      </c>
      <c r="B9" s="58">
        <f>SUM(B10:B14)</f>
        <v>962461.17000000016</v>
      </c>
      <c r="C9" s="58" t="e">
        <f t="shared" ref="C9:K9" si="1">SUM(C10:C14)</f>
        <v>#REF!</v>
      </c>
      <c r="D9" s="58" t="e">
        <f t="shared" si="1"/>
        <v>#REF!</v>
      </c>
      <c r="E9" s="58" t="e">
        <f t="shared" si="1"/>
        <v>#REF!</v>
      </c>
      <c r="F9" s="58" t="e">
        <f t="shared" si="1"/>
        <v>#REF!</v>
      </c>
      <c r="G9" s="58" t="e">
        <f t="shared" si="1"/>
        <v>#REF!</v>
      </c>
      <c r="H9" s="58" t="e">
        <f t="shared" si="1"/>
        <v>#REF!</v>
      </c>
      <c r="I9" s="58" t="e">
        <f t="shared" si="1"/>
        <v>#REF!</v>
      </c>
      <c r="J9" s="58" t="e">
        <f t="shared" si="1"/>
        <v>#REF!</v>
      </c>
      <c r="K9" s="58" t="e">
        <f t="shared" si="1"/>
        <v>#REF!</v>
      </c>
    </row>
    <row r="10" spans="1:11" x14ac:dyDescent="0.3">
      <c r="A10" s="59" t="s">
        <v>972</v>
      </c>
      <c r="B10" s="64">
        <f>+CE!I18</f>
        <v>818909.35000000009</v>
      </c>
      <c r="C10" s="64" t="e">
        <f>+CE!#REF!</f>
        <v>#REF!</v>
      </c>
      <c r="D10" s="64" t="e">
        <f>+CE!#REF!</f>
        <v>#REF!</v>
      </c>
      <c r="E10" s="64" t="e">
        <f>+CE!#REF!</f>
        <v>#REF!</v>
      </c>
      <c r="F10" s="64" t="e">
        <f>+CE!#REF!</f>
        <v>#REF!</v>
      </c>
      <c r="G10" s="64" t="e">
        <f>+CE!#REF!</f>
        <v>#REF!</v>
      </c>
      <c r="H10" s="64" t="e">
        <f>+CE!#REF!</f>
        <v>#REF!</v>
      </c>
      <c r="I10" s="64" t="e">
        <f>+CE!#REF!</f>
        <v>#REF!</v>
      </c>
      <c r="J10" s="64" t="e">
        <f>+CE!#REF!</f>
        <v>#REF!</v>
      </c>
      <c r="K10" s="64" t="e">
        <f>+CE!#REF!</f>
        <v>#REF!</v>
      </c>
    </row>
    <row r="11" spans="1:11" x14ac:dyDescent="0.3">
      <c r="A11" s="59" t="s">
        <v>973</v>
      </c>
      <c r="B11" s="64">
        <f>+CE!I19</f>
        <v>21586.260000000002</v>
      </c>
      <c r="C11" s="64" t="e">
        <f>+CE!#REF!</f>
        <v>#REF!</v>
      </c>
      <c r="D11" s="64" t="e">
        <f>+CE!#REF!</f>
        <v>#REF!</v>
      </c>
      <c r="E11" s="64" t="e">
        <f>+CE!#REF!</f>
        <v>#REF!</v>
      </c>
      <c r="F11" s="64" t="e">
        <f>+CE!#REF!</f>
        <v>#REF!</v>
      </c>
      <c r="G11" s="64" t="e">
        <f>+CE!#REF!</f>
        <v>#REF!</v>
      </c>
      <c r="H11" s="64" t="e">
        <f>+CE!#REF!</f>
        <v>#REF!</v>
      </c>
      <c r="I11" s="64" t="e">
        <f>+CE!#REF!</f>
        <v>#REF!</v>
      </c>
      <c r="J11" s="64" t="e">
        <f>+CE!#REF!</f>
        <v>#REF!</v>
      </c>
      <c r="K11" s="64" t="e">
        <f>+CE!#REF!</f>
        <v>#REF!</v>
      </c>
    </row>
    <row r="12" spans="1:11" x14ac:dyDescent="0.3">
      <c r="A12" s="59" t="s">
        <v>974</v>
      </c>
      <c r="B12" s="64">
        <f>+CE!I20</f>
        <v>15865.92</v>
      </c>
      <c r="C12" s="64" t="e">
        <f>+CE!#REF!</f>
        <v>#REF!</v>
      </c>
      <c r="D12" s="64" t="e">
        <f>+CE!#REF!</f>
        <v>#REF!</v>
      </c>
      <c r="E12" s="64" t="e">
        <f>+CE!#REF!</f>
        <v>#REF!</v>
      </c>
      <c r="F12" s="64" t="e">
        <f>+CE!#REF!</f>
        <v>#REF!</v>
      </c>
      <c r="G12" s="64" t="e">
        <f>+CE!#REF!</f>
        <v>#REF!</v>
      </c>
      <c r="H12" s="64" t="e">
        <f>+CE!#REF!</f>
        <v>#REF!</v>
      </c>
      <c r="I12" s="64" t="e">
        <f>+CE!#REF!</f>
        <v>#REF!</v>
      </c>
      <c r="J12" s="64" t="e">
        <f>+CE!#REF!</f>
        <v>#REF!</v>
      </c>
      <c r="K12" s="64" t="e">
        <f>+CE!#REF!</f>
        <v>#REF!</v>
      </c>
    </row>
    <row r="13" spans="1:11" x14ac:dyDescent="0.3">
      <c r="A13" s="59" t="s">
        <v>975</v>
      </c>
      <c r="B13" s="64">
        <f>+CE!I34</f>
        <v>-2360</v>
      </c>
      <c r="C13" s="64" t="e">
        <f>+CE!#REF!</f>
        <v>#REF!</v>
      </c>
      <c r="D13" s="64" t="e">
        <f>+CE!#REF!</f>
        <v>#REF!</v>
      </c>
      <c r="E13" s="64" t="e">
        <f>+CE!#REF!</f>
        <v>#REF!</v>
      </c>
      <c r="F13" s="64" t="e">
        <f>+CE!#REF!</f>
        <v>#REF!</v>
      </c>
      <c r="G13" s="64" t="e">
        <f>+CE!#REF!</f>
        <v>#REF!</v>
      </c>
      <c r="H13" s="64" t="e">
        <f>+CE!#REF!</f>
        <v>#REF!</v>
      </c>
      <c r="I13" s="64" t="e">
        <f>+CE!#REF!</f>
        <v>#REF!</v>
      </c>
      <c r="J13" s="64" t="e">
        <f>+CE!#REF!</f>
        <v>#REF!</v>
      </c>
      <c r="K13" s="64" t="e">
        <f>+CE!#REF!</f>
        <v>#REF!</v>
      </c>
    </row>
    <row r="14" spans="1:11" x14ac:dyDescent="0.3">
      <c r="A14" s="59" t="s">
        <v>976</v>
      </c>
      <c r="B14" s="64">
        <f>+CE!I37</f>
        <v>108459.64000000001</v>
      </c>
      <c r="C14" s="64" t="e">
        <f>+CE!#REF!</f>
        <v>#REF!</v>
      </c>
      <c r="D14" s="64" t="e">
        <f>+CE!#REF!</f>
        <v>#REF!</v>
      </c>
      <c r="E14" s="64" t="e">
        <f>+CE!#REF!</f>
        <v>#REF!</v>
      </c>
      <c r="F14" s="64" t="e">
        <f>+CE!#REF!</f>
        <v>#REF!</v>
      </c>
      <c r="G14" s="64" t="e">
        <f>+CE!#REF!</f>
        <v>#REF!</v>
      </c>
      <c r="H14" s="64" t="e">
        <f>+CE!#REF!</f>
        <v>#REF!</v>
      </c>
      <c r="I14" s="64" t="e">
        <f>+CE!#REF!</f>
        <v>#REF!</v>
      </c>
      <c r="J14" s="64" t="e">
        <f>+CE!#REF!</f>
        <v>#REF!</v>
      </c>
      <c r="K14" s="64" t="e">
        <f>+CE!#REF!</f>
        <v>#REF!</v>
      </c>
    </row>
    <row r="15" spans="1:11" x14ac:dyDescent="0.3">
      <c r="A15" s="67" t="s">
        <v>977</v>
      </c>
      <c r="B15" s="58">
        <f>+B8-B9</f>
        <v>193822.93999999971</v>
      </c>
      <c r="C15" s="58" t="e">
        <f t="shared" ref="C15:K15" si="2">+C8-C9</f>
        <v>#REF!</v>
      </c>
      <c r="D15" s="58" t="e">
        <f t="shared" si="2"/>
        <v>#REF!</v>
      </c>
      <c r="E15" s="58" t="e">
        <f t="shared" si="2"/>
        <v>#REF!</v>
      </c>
      <c r="F15" s="58" t="e">
        <f t="shared" si="2"/>
        <v>#REF!</v>
      </c>
      <c r="G15" s="58" t="e">
        <f t="shared" si="2"/>
        <v>#REF!</v>
      </c>
      <c r="H15" s="58" t="e">
        <f t="shared" si="2"/>
        <v>#REF!</v>
      </c>
      <c r="I15" s="58" t="e">
        <f t="shared" si="2"/>
        <v>#REF!</v>
      </c>
      <c r="J15" s="58" t="e">
        <f t="shared" si="2"/>
        <v>#REF!</v>
      </c>
      <c r="K15" s="58" t="e">
        <f t="shared" si="2"/>
        <v>#REF!</v>
      </c>
    </row>
    <row r="16" spans="1:11" x14ac:dyDescent="0.3">
      <c r="A16" s="59" t="s">
        <v>978</v>
      </c>
      <c r="B16" s="64">
        <f>+CE!I27</f>
        <v>92191.62000000001</v>
      </c>
      <c r="C16" s="64" t="e">
        <f>+CE!#REF!</f>
        <v>#REF!</v>
      </c>
      <c r="D16" s="64" t="e">
        <f>+CE!#REF!</f>
        <v>#REF!</v>
      </c>
      <c r="E16" s="64" t="e">
        <f>+CE!#REF!</f>
        <v>#REF!</v>
      </c>
      <c r="F16" s="64" t="e">
        <f>+CE!#REF!</f>
        <v>#REF!</v>
      </c>
      <c r="G16" s="64" t="e">
        <f>+CE!#REF!</f>
        <v>#REF!</v>
      </c>
      <c r="H16" s="64" t="e">
        <f>+CE!#REF!</f>
        <v>#REF!</v>
      </c>
      <c r="I16" s="64" t="e">
        <f>+CE!#REF!</f>
        <v>#REF!</v>
      </c>
      <c r="J16" s="64" t="e">
        <f>+CE!#REF!</f>
        <v>#REF!</v>
      </c>
      <c r="K16" s="64" t="e">
        <f>+CE!#REF!</f>
        <v>#REF!</v>
      </c>
    </row>
    <row r="17" spans="1:11" x14ac:dyDescent="0.3">
      <c r="A17" s="67" t="s">
        <v>979</v>
      </c>
      <c r="B17" s="58">
        <f>+B15-B16</f>
        <v>101631.3199999997</v>
      </c>
      <c r="C17" s="58" t="e">
        <f t="shared" ref="C17:K17" si="3">+C15-C16</f>
        <v>#REF!</v>
      </c>
      <c r="D17" s="58" t="e">
        <f t="shared" si="3"/>
        <v>#REF!</v>
      </c>
      <c r="E17" s="58" t="e">
        <f t="shared" si="3"/>
        <v>#REF!</v>
      </c>
      <c r="F17" s="58" t="e">
        <f t="shared" si="3"/>
        <v>#REF!</v>
      </c>
      <c r="G17" s="58" t="e">
        <f t="shared" si="3"/>
        <v>#REF!</v>
      </c>
      <c r="H17" s="58" t="e">
        <f t="shared" si="3"/>
        <v>#REF!</v>
      </c>
      <c r="I17" s="58" t="e">
        <f t="shared" si="3"/>
        <v>#REF!</v>
      </c>
      <c r="J17" s="58" t="e">
        <f t="shared" si="3"/>
        <v>#REF!</v>
      </c>
      <c r="K17" s="58" t="e">
        <f t="shared" si="3"/>
        <v>#REF!</v>
      </c>
    </row>
    <row r="18" spans="1:11" x14ac:dyDescent="0.3">
      <c r="A18" s="59" t="s">
        <v>980</v>
      </c>
      <c r="B18" s="64">
        <f>+CE!I33+CE!I35+CE!I36</f>
        <v>106730.51999999999</v>
      </c>
      <c r="C18" s="64" t="e">
        <f>+CE!#REF!+CE!#REF!+CE!#REF!</f>
        <v>#REF!</v>
      </c>
      <c r="D18" s="64" t="e">
        <f>+CE!#REF!+CE!#REF!+CE!#REF!</f>
        <v>#REF!</v>
      </c>
      <c r="E18" s="64" t="e">
        <f>+CE!#REF!+CE!#REF!+CE!#REF!</f>
        <v>#REF!</v>
      </c>
      <c r="F18" s="64" t="e">
        <f>+CE!#REF!+CE!#REF!+CE!#REF!</f>
        <v>#REF!</v>
      </c>
      <c r="G18" s="64" t="e">
        <f>+CE!#REF!+CE!#REF!+CE!#REF!</f>
        <v>#REF!</v>
      </c>
      <c r="H18" s="64" t="e">
        <f>+CE!#REF!+CE!#REF!+CE!#REF!</f>
        <v>#REF!</v>
      </c>
      <c r="I18" s="64" t="e">
        <f>+CE!#REF!+CE!#REF!+CE!#REF!</f>
        <v>#REF!</v>
      </c>
      <c r="J18" s="64" t="e">
        <f>+CE!#REF!+CE!#REF!+CE!#REF!</f>
        <v>#REF!</v>
      </c>
      <c r="K18" s="64" t="e">
        <f>+CE!#REF!+CE!#REF!+CE!#REF!</f>
        <v>#REF!</v>
      </c>
    </row>
    <row r="19" spans="1:11" x14ac:dyDescent="0.3">
      <c r="A19" s="67" t="s">
        <v>981</v>
      </c>
      <c r="B19" s="58">
        <f>+B17-B18</f>
        <v>-5099.2000000002881</v>
      </c>
      <c r="C19" s="58" t="e">
        <f t="shared" ref="C19:K19" si="4">+C17-C18</f>
        <v>#REF!</v>
      </c>
      <c r="D19" s="58" t="e">
        <f t="shared" si="4"/>
        <v>#REF!</v>
      </c>
      <c r="E19" s="58" t="e">
        <f t="shared" si="4"/>
        <v>#REF!</v>
      </c>
      <c r="F19" s="58" t="e">
        <f t="shared" si="4"/>
        <v>#REF!</v>
      </c>
      <c r="G19" s="58" t="e">
        <f t="shared" si="4"/>
        <v>#REF!</v>
      </c>
      <c r="H19" s="58" t="e">
        <f t="shared" si="4"/>
        <v>#REF!</v>
      </c>
      <c r="I19" s="58" t="e">
        <f t="shared" si="4"/>
        <v>#REF!</v>
      </c>
      <c r="J19" s="58" t="e">
        <f t="shared" si="4"/>
        <v>#REF!</v>
      </c>
      <c r="K19" s="58" t="e">
        <f t="shared" si="4"/>
        <v>#REF!</v>
      </c>
    </row>
    <row r="20" spans="1:11" x14ac:dyDescent="0.3">
      <c r="A20" s="59" t="s">
        <v>982</v>
      </c>
      <c r="B20" s="64">
        <f>+CE!I83</f>
        <v>0</v>
      </c>
      <c r="C20" s="64" t="e">
        <f>+CE!#REF!</f>
        <v>#REF!</v>
      </c>
      <c r="D20" s="64" t="e">
        <f>+CE!#REF!</f>
        <v>#REF!</v>
      </c>
      <c r="E20" s="64" t="e">
        <f>+CE!#REF!</f>
        <v>#REF!</v>
      </c>
      <c r="F20" s="64" t="e">
        <f>+CE!#REF!</f>
        <v>#REF!</v>
      </c>
      <c r="G20" s="64" t="e">
        <f>+CE!#REF!</f>
        <v>#REF!</v>
      </c>
      <c r="H20" s="64" t="e">
        <f>+CE!#REF!</f>
        <v>#REF!</v>
      </c>
      <c r="I20" s="64" t="e">
        <f>+CE!#REF!</f>
        <v>#REF!</v>
      </c>
      <c r="J20" s="64" t="e">
        <f>+CE!#REF!</f>
        <v>#REF!</v>
      </c>
      <c r="K20" s="64" t="e">
        <f>+CE!#REF!</f>
        <v>#REF!</v>
      </c>
    </row>
    <row r="21" spans="1:11" x14ac:dyDescent="0.3">
      <c r="A21" s="67" t="s">
        <v>918</v>
      </c>
      <c r="B21" s="58">
        <f>+B19+B20</f>
        <v>-5099.2000000002881</v>
      </c>
      <c r="C21" s="58" t="e">
        <f t="shared" ref="C21:K21" si="5">+C19+C20</f>
        <v>#REF!</v>
      </c>
      <c r="D21" s="58" t="e">
        <f t="shared" si="5"/>
        <v>#REF!</v>
      </c>
      <c r="E21" s="58" t="e">
        <f t="shared" si="5"/>
        <v>#REF!</v>
      </c>
      <c r="F21" s="58" t="e">
        <f t="shared" si="5"/>
        <v>#REF!</v>
      </c>
      <c r="G21" s="58" t="e">
        <f t="shared" si="5"/>
        <v>#REF!</v>
      </c>
      <c r="H21" s="58" t="e">
        <f t="shared" si="5"/>
        <v>#REF!</v>
      </c>
      <c r="I21" s="58" t="e">
        <f t="shared" si="5"/>
        <v>#REF!</v>
      </c>
      <c r="J21" s="58" t="e">
        <f t="shared" si="5"/>
        <v>#REF!</v>
      </c>
      <c r="K21" s="58" t="e">
        <f t="shared" si="5"/>
        <v>#REF!</v>
      </c>
    </row>
    <row r="22" spans="1:11" x14ac:dyDescent="0.3">
      <c r="A22" s="59" t="s">
        <v>983</v>
      </c>
      <c r="B22" s="64">
        <f>+CE!I69</f>
        <v>-3380</v>
      </c>
      <c r="C22" s="64" t="e">
        <f>+CE!#REF!</f>
        <v>#REF!</v>
      </c>
      <c r="D22" s="64" t="e">
        <f>+CE!#REF!</f>
        <v>#REF!</v>
      </c>
      <c r="E22" s="64" t="e">
        <f>+CE!#REF!</f>
        <v>#REF!</v>
      </c>
      <c r="F22" s="64" t="e">
        <f>+CE!#REF!</f>
        <v>#REF!</v>
      </c>
      <c r="G22" s="64" t="e">
        <f>+CE!#REF!</f>
        <v>#REF!</v>
      </c>
      <c r="H22" s="64" t="e">
        <f>+CE!#REF!</f>
        <v>#REF!</v>
      </c>
      <c r="I22" s="64" t="e">
        <f>+CE!#REF!</f>
        <v>#REF!</v>
      </c>
      <c r="J22" s="64" t="e">
        <f>+CE!#REF!</f>
        <v>#REF!</v>
      </c>
      <c r="K22" s="64" t="e">
        <f>+CE!#REF!</f>
        <v>#REF!</v>
      </c>
    </row>
    <row r="23" spans="1:11" x14ac:dyDescent="0.3">
      <c r="A23" s="67" t="s">
        <v>984</v>
      </c>
      <c r="B23" s="58">
        <f>+B21+B22</f>
        <v>-8479.2000000002881</v>
      </c>
      <c r="C23" s="58" t="e">
        <f t="shared" ref="C23:K23" si="6">+C21+C22</f>
        <v>#REF!</v>
      </c>
      <c r="D23" s="58" t="e">
        <f t="shared" si="6"/>
        <v>#REF!</v>
      </c>
      <c r="E23" s="58" t="e">
        <f t="shared" si="6"/>
        <v>#REF!</v>
      </c>
      <c r="F23" s="58" t="e">
        <f t="shared" si="6"/>
        <v>#REF!</v>
      </c>
      <c r="G23" s="58" t="e">
        <f t="shared" si="6"/>
        <v>#REF!</v>
      </c>
      <c r="H23" s="58" t="e">
        <f t="shared" si="6"/>
        <v>#REF!</v>
      </c>
      <c r="I23" s="58" t="e">
        <f t="shared" si="6"/>
        <v>#REF!</v>
      </c>
      <c r="J23" s="58" t="e">
        <f t="shared" si="6"/>
        <v>#REF!</v>
      </c>
      <c r="K23" s="58" t="e">
        <f t="shared" si="6"/>
        <v>#REF!</v>
      </c>
    </row>
    <row r="24" spans="1:11" x14ac:dyDescent="0.3">
      <c r="A24" s="59" t="s">
        <v>985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x14ac:dyDescent="0.3">
      <c r="A25" s="67" t="s">
        <v>986</v>
      </c>
      <c r="B25" s="58">
        <f>+B23+B24</f>
        <v>-8479.2000000002881</v>
      </c>
      <c r="C25" s="58" t="e">
        <f t="shared" ref="C25:K25" si="7">+C23+C24</f>
        <v>#REF!</v>
      </c>
      <c r="D25" s="58" t="e">
        <f t="shared" si="7"/>
        <v>#REF!</v>
      </c>
      <c r="E25" s="58" t="e">
        <f t="shared" si="7"/>
        <v>#REF!</v>
      </c>
      <c r="F25" s="58" t="e">
        <f t="shared" si="7"/>
        <v>#REF!</v>
      </c>
      <c r="G25" s="58" t="e">
        <f t="shared" si="7"/>
        <v>#REF!</v>
      </c>
      <c r="H25" s="58" t="e">
        <f t="shared" si="7"/>
        <v>#REF!</v>
      </c>
      <c r="I25" s="58" t="e">
        <f t="shared" si="7"/>
        <v>#REF!</v>
      </c>
      <c r="J25" s="58" t="e">
        <f t="shared" si="7"/>
        <v>#REF!</v>
      </c>
      <c r="K25" s="58" t="e">
        <f t="shared" si="7"/>
        <v>#REF!</v>
      </c>
    </row>
    <row r="26" spans="1:11" x14ac:dyDescent="0.3">
      <c r="A26" s="59" t="s">
        <v>987</v>
      </c>
      <c r="B26" s="64">
        <f>+CE!I90</f>
        <v>0</v>
      </c>
      <c r="C26" s="64" t="e">
        <f>+CE!#REF!</f>
        <v>#REF!</v>
      </c>
      <c r="D26" s="64" t="e">
        <f>+CE!#REF!</f>
        <v>#REF!</v>
      </c>
      <c r="E26" s="64" t="e">
        <f>+CE!#REF!</f>
        <v>#REF!</v>
      </c>
      <c r="F26" s="64" t="e">
        <f>+CE!#REF!</f>
        <v>#REF!</v>
      </c>
      <c r="G26" s="64" t="e">
        <f>+CE!#REF!</f>
        <v>#REF!</v>
      </c>
      <c r="H26" s="64" t="e">
        <f>+CE!#REF!</f>
        <v>#REF!</v>
      </c>
      <c r="I26" s="64" t="e">
        <f>+CE!#REF!</f>
        <v>#REF!</v>
      </c>
      <c r="J26" s="64" t="e">
        <f>+CE!#REF!</f>
        <v>#REF!</v>
      </c>
      <c r="K26" s="64" t="e">
        <f>+CE!#REF!</f>
        <v>#REF!</v>
      </c>
    </row>
    <row r="27" spans="1:11" x14ac:dyDescent="0.3">
      <c r="A27" s="67" t="s">
        <v>988</v>
      </c>
      <c r="B27" s="58">
        <f>+B25-B26</f>
        <v>-8479.2000000002881</v>
      </c>
      <c r="C27" s="58" t="e">
        <f t="shared" ref="C27:K27" si="8">+C25-C26</f>
        <v>#REF!</v>
      </c>
      <c r="D27" s="58" t="e">
        <f t="shared" si="8"/>
        <v>#REF!</v>
      </c>
      <c r="E27" s="58" t="e">
        <f t="shared" si="8"/>
        <v>#REF!</v>
      </c>
      <c r="F27" s="58" t="e">
        <f t="shared" si="8"/>
        <v>#REF!</v>
      </c>
      <c r="G27" s="58" t="e">
        <f t="shared" si="8"/>
        <v>#REF!</v>
      </c>
      <c r="H27" s="58" t="e">
        <f t="shared" si="8"/>
        <v>#REF!</v>
      </c>
      <c r="I27" s="58" t="e">
        <f t="shared" si="8"/>
        <v>#REF!</v>
      </c>
      <c r="J27" s="58" t="e">
        <f t="shared" si="8"/>
        <v>#REF!</v>
      </c>
      <c r="K27" s="58" t="e">
        <f t="shared" si="8"/>
        <v>#REF!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01"/>
  <sheetViews>
    <sheetView showGridLines="0" tabSelected="1" topLeftCell="A75" zoomScale="112" workbookViewId="0">
      <selection activeCell="G90" sqref="G90"/>
    </sheetView>
  </sheetViews>
  <sheetFormatPr defaultRowHeight="14.4" x14ac:dyDescent="0.3"/>
  <cols>
    <col min="2" max="2" width="58.6640625" bestFit="1" customWidth="1"/>
    <col min="3" max="3" width="13.77734375" bestFit="1" customWidth="1"/>
    <col min="4" max="4" width="10.77734375" bestFit="1" customWidth="1"/>
    <col min="5" max="5" width="10.21875" bestFit="1" customWidth="1"/>
    <col min="7" max="7" width="11.33203125" bestFit="1" customWidth="1"/>
    <col min="10" max="12" width="10.44140625" bestFit="1" customWidth="1"/>
  </cols>
  <sheetData>
    <row r="1" spans="1:7" x14ac:dyDescent="0.3">
      <c r="A1" s="9" t="s">
        <v>77</v>
      </c>
      <c r="B1" s="176" t="s">
        <v>1101</v>
      </c>
    </row>
    <row r="2" spans="1:7" x14ac:dyDescent="0.3">
      <c r="C2" s="61" t="str">
        <f>+'SP Previsionale'!D2</f>
        <v>Consuntivo</v>
      </c>
      <c r="E2" s="61" t="s">
        <v>1089</v>
      </c>
      <c r="G2" s="61" t="s">
        <v>1090</v>
      </c>
    </row>
    <row r="3" spans="1:7" ht="15.6" x14ac:dyDescent="0.3">
      <c r="B3" s="166" t="s">
        <v>87</v>
      </c>
      <c r="C3">
        <f>+'SP Previsionale'!G3</f>
        <v>2017</v>
      </c>
    </row>
    <row r="4" spans="1:7" x14ac:dyDescent="0.3">
      <c r="B4" s="67"/>
    </row>
    <row r="5" spans="1:7" x14ac:dyDescent="0.3">
      <c r="B5" s="135" t="s">
        <v>857</v>
      </c>
      <c r="C5" s="98">
        <f>+'SP Previsionale'!G5</f>
        <v>213363.59</v>
      </c>
      <c r="E5" s="98">
        <v>0</v>
      </c>
      <c r="G5" s="98">
        <f>+C5+E5</f>
        <v>213363.59</v>
      </c>
    </row>
    <row r="6" spans="1:7" ht="15" thickBot="1" x14ac:dyDescent="0.35">
      <c r="B6" s="59"/>
    </row>
    <row r="7" spans="1:7" ht="15" thickBot="1" x14ac:dyDescent="0.35">
      <c r="B7" s="135" t="s">
        <v>858</v>
      </c>
      <c r="C7" s="171">
        <f>+C8+C9+C10+C11</f>
        <v>873016.12</v>
      </c>
      <c r="E7" s="171">
        <f>+E8+E9+E10+E11</f>
        <v>-200000</v>
      </c>
      <c r="G7" s="139">
        <f>+G8+G9+G10+G11</f>
        <v>673016.12</v>
      </c>
    </row>
    <row r="8" spans="1:7" x14ac:dyDescent="0.3">
      <c r="B8" s="106" t="s">
        <v>1005</v>
      </c>
      <c r="C8" s="174">
        <f>+'SP Previsionale'!G8</f>
        <v>30556.86</v>
      </c>
      <c r="E8" s="174">
        <v>0</v>
      </c>
      <c r="G8" s="174">
        <f>+C8+E8</f>
        <v>30556.86</v>
      </c>
    </row>
    <row r="9" spans="1:7" x14ac:dyDescent="0.3">
      <c r="B9" s="106" t="s">
        <v>1006</v>
      </c>
      <c r="C9" s="98">
        <f>+'SP Previsionale'!G9</f>
        <v>1403.8</v>
      </c>
      <c r="E9" s="98">
        <v>0</v>
      </c>
      <c r="G9" s="98">
        <f>+C9+E9</f>
        <v>1403.8</v>
      </c>
    </row>
    <row r="10" spans="1:7" x14ac:dyDescent="0.3">
      <c r="B10" s="136" t="s">
        <v>1007</v>
      </c>
      <c r="C10" s="173">
        <f>+'SP Previsionale'!G10</f>
        <v>355.07</v>
      </c>
      <c r="E10" s="173">
        <v>0</v>
      </c>
      <c r="G10" s="98">
        <f t="shared" ref="G10:G11" si="0">+C10+E10</f>
        <v>355.07</v>
      </c>
    </row>
    <row r="11" spans="1:7" x14ac:dyDescent="0.3">
      <c r="B11" s="136" t="s">
        <v>1008</v>
      </c>
      <c r="C11" s="173">
        <f>+'SP Previsionale'!G11</f>
        <v>840700.39</v>
      </c>
      <c r="E11" s="173">
        <v>-200000</v>
      </c>
      <c r="G11" s="98">
        <f t="shared" si="0"/>
        <v>640700.39</v>
      </c>
    </row>
    <row r="12" spans="1:7" ht="15" thickBot="1" x14ac:dyDescent="0.35">
      <c r="B12" s="59"/>
    </row>
    <row r="13" spans="1:7" ht="15" thickBot="1" x14ac:dyDescent="0.35">
      <c r="B13" s="135" t="s">
        <v>859</v>
      </c>
      <c r="C13" s="139">
        <f>+SUM(C14:C15)</f>
        <v>128977</v>
      </c>
      <c r="E13" s="139">
        <f>+SUM(E14:E15)</f>
        <v>0</v>
      </c>
      <c r="G13" s="139">
        <f>+SUM(G14:G15)</f>
        <v>128977</v>
      </c>
    </row>
    <row r="14" spans="1:7" x14ac:dyDescent="0.3">
      <c r="B14" s="136" t="s">
        <v>1009</v>
      </c>
      <c r="C14" s="174">
        <f>+'SP Previsionale'!G14</f>
        <v>128977</v>
      </c>
      <c r="E14" s="174">
        <v>0</v>
      </c>
      <c r="G14" s="174">
        <f>+C14+E14</f>
        <v>128977</v>
      </c>
    </row>
    <row r="15" spans="1:7" x14ac:dyDescent="0.3">
      <c r="B15" s="136" t="s">
        <v>1010</v>
      </c>
      <c r="C15" s="98">
        <f>+'SP Previsionale'!G15</f>
        <v>0</v>
      </c>
      <c r="E15" s="98">
        <v>0</v>
      </c>
      <c r="G15" s="98">
        <f>+C15+E15</f>
        <v>0</v>
      </c>
    </row>
    <row r="16" spans="1:7" ht="15" thickBot="1" x14ac:dyDescent="0.35">
      <c r="B16" s="60"/>
      <c r="C16" s="62"/>
      <c r="E16" s="62"/>
      <c r="G16" s="62"/>
    </row>
    <row r="17" spans="2:7" ht="15" thickBot="1" x14ac:dyDescent="0.35">
      <c r="B17" s="135" t="s">
        <v>36</v>
      </c>
      <c r="C17" s="139">
        <f>+C18+C20</f>
        <v>17421.769999999997</v>
      </c>
      <c r="E17" s="139">
        <f>+E18+E20</f>
        <v>0</v>
      </c>
      <c r="G17" s="139">
        <f>+G18+G20</f>
        <v>17421.769999999997</v>
      </c>
    </row>
    <row r="18" spans="2:7" ht="15" thickBot="1" x14ac:dyDescent="0.35">
      <c r="B18" s="136" t="s">
        <v>1011</v>
      </c>
      <c r="C18" s="139">
        <f>+C19</f>
        <v>0</v>
      </c>
      <c r="E18" s="139">
        <f>+E19</f>
        <v>0</v>
      </c>
      <c r="G18" s="139">
        <f>+G19</f>
        <v>0</v>
      </c>
    </row>
    <row r="19" spans="2:7" ht="15" thickBot="1" x14ac:dyDescent="0.35">
      <c r="B19" s="136" t="s">
        <v>863</v>
      </c>
      <c r="C19" s="98">
        <f>+'SP Previsionale'!G19</f>
        <v>0</v>
      </c>
      <c r="E19" s="98">
        <v>0</v>
      </c>
      <c r="G19" s="98">
        <f>+C19+E19</f>
        <v>0</v>
      </c>
    </row>
    <row r="20" spans="2:7" ht="15" thickBot="1" x14ac:dyDescent="0.35">
      <c r="B20" s="136" t="s">
        <v>1012</v>
      </c>
      <c r="C20" s="139">
        <f>+SUM(C21:C23)</f>
        <v>17421.769999999997</v>
      </c>
      <c r="E20" s="139">
        <f>+SUM(E21:E23)</f>
        <v>0</v>
      </c>
      <c r="G20" s="139">
        <f>+SUM(G21:G23)</f>
        <v>17421.769999999997</v>
      </c>
    </row>
    <row r="21" spans="2:7" x14ac:dyDescent="0.3">
      <c r="B21" s="136" t="s">
        <v>865</v>
      </c>
      <c r="C21" s="174">
        <f>+'SP Previsionale'!G21</f>
        <v>4860.2199999999993</v>
      </c>
      <c r="E21" s="174">
        <v>0</v>
      </c>
      <c r="G21" s="174">
        <f>+C21+E21</f>
        <v>4860.2199999999993</v>
      </c>
    </row>
    <row r="22" spans="2:7" x14ac:dyDescent="0.3">
      <c r="B22" s="136" t="s">
        <v>866</v>
      </c>
      <c r="C22" s="98">
        <f>+'SP Previsionale'!G22</f>
        <v>0</v>
      </c>
      <c r="E22" s="98">
        <v>0</v>
      </c>
      <c r="G22" s="98">
        <f>+C22+E22</f>
        <v>0</v>
      </c>
    </row>
    <row r="23" spans="2:7" x14ac:dyDescent="0.3">
      <c r="B23" s="136" t="s">
        <v>867</v>
      </c>
      <c r="C23" s="173">
        <f>+'SP Previsionale'!G23</f>
        <v>12561.549999999996</v>
      </c>
      <c r="E23" s="173">
        <v>0</v>
      </c>
      <c r="G23" s="98">
        <f>+C23+E23</f>
        <v>12561.549999999996</v>
      </c>
    </row>
    <row r="24" spans="2:7" ht="15" thickBot="1" x14ac:dyDescent="0.35">
      <c r="B24" s="60"/>
    </row>
    <row r="25" spans="2:7" ht="15" thickBot="1" x14ac:dyDescent="0.35">
      <c r="B25" s="135" t="s">
        <v>868</v>
      </c>
      <c r="C25" s="139">
        <f>+C26</f>
        <v>193091.14</v>
      </c>
      <c r="E25" s="139">
        <f>+E26</f>
        <v>0</v>
      </c>
      <c r="G25" s="139">
        <f>+G26</f>
        <v>193091.14</v>
      </c>
    </row>
    <row r="26" spans="2:7" ht="15" thickBot="1" x14ac:dyDescent="0.35">
      <c r="B26" s="136" t="s">
        <v>1013</v>
      </c>
      <c r="C26" s="139">
        <f>+SUM(C27:C29)</f>
        <v>193091.14</v>
      </c>
      <c r="E26" s="139">
        <f>+SUM(E27:E29)</f>
        <v>0</v>
      </c>
      <c r="G26" s="139">
        <f>+SUM(G27:G29)</f>
        <v>193091.14</v>
      </c>
    </row>
    <row r="27" spans="2:7" x14ac:dyDescent="0.3">
      <c r="B27" s="136" t="s">
        <v>870</v>
      </c>
      <c r="C27" s="174">
        <f>+'SP Previsionale'!G27</f>
        <v>0</v>
      </c>
      <c r="E27" s="174">
        <v>0</v>
      </c>
      <c r="G27" s="174">
        <f>+C27+E27</f>
        <v>0</v>
      </c>
    </row>
    <row r="28" spans="2:7" x14ac:dyDescent="0.3">
      <c r="B28" s="136" t="s">
        <v>871</v>
      </c>
      <c r="C28" s="98">
        <f>+'SP Previsionale'!G28</f>
        <v>0</v>
      </c>
      <c r="E28" s="98">
        <v>0</v>
      </c>
      <c r="G28" s="98">
        <f>+C28+E28</f>
        <v>0</v>
      </c>
    </row>
    <row r="29" spans="2:7" x14ac:dyDescent="0.3">
      <c r="B29" s="136" t="s">
        <v>872</v>
      </c>
      <c r="C29" s="173">
        <f>+'SP Previsionale'!G29</f>
        <v>193091.14</v>
      </c>
      <c r="E29" s="173">
        <v>0</v>
      </c>
      <c r="G29" s="98">
        <f>+C29+E29</f>
        <v>193091.14</v>
      </c>
    </row>
    <row r="30" spans="2:7" ht="15" thickBot="1" x14ac:dyDescent="0.35">
      <c r="B30" s="59"/>
    </row>
    <row r="31" spans="2:7" ht="15" thickBot="1" x14ac:dyDescent="0.35">
      <c r="B31" s="135" t="s">
        <v>47</v>
      </c>
      <c r="C31" s="139">
        <f>+'SP Previsionale'!G31</f>
        <v>27750</v>
      </c>
      <c r="E31" s="139">
        <v>0</v>
      </c>
      <c r="G31" s="139">
        <f>+C31+E31</f>
        <v>27750</v>
      </c>
    </row>
    <row r="32" spans="2:7" ht="15" thickBot="1" x14ac:dyDescent="0.35">
      <c r="B32" s="59"/>
      <c r="C32" s="58"/>
      <c r="E32" s="58"/>
      <c r="G32" s="58"/>
    </row>
    <row r="33" spans="2:7" ht="15" thickBot="1" x14ac:dyDescent="0.35">
      <c r="B33" s="67" t="s">
        <v>873</v>
      </c>
      <c r="C33" s="138">
        <f>+C25+C17+C13+C7+C5+C31</f>
        <v>1453619.62</v>
      </c>
      <c r="E33" s="138">
        <f>+E25+E17+E13+E7+E5+E31</f>
        <v>-200000</v>
      </c>
      <c r="G33" s="138">
        <f>+G25+G17+G13+G7+G5+G31</f>
        <v>1253619.6200000001</v>
      </c>
    </row>
    <row r="34" spans="2:7" x14ac:dyDescent="0.3">
      <c r="B34" s="59"/>
    </row>
    <row r="35" spans="2:7" ht="15.6" x14ac:dyDescent="0.3">
      <c r="B35" s="166" t="s">
        <v>360</v>
      </c>
      <c r="C35" s="100">
        <f>+C3</f>
        <v>2017</v>
      </c>
      <c r="E35" s="100">
        <f>+E3</f>
        <v>0</v>
      </c>
      <c r="G35" s="100">
        <f>+G3</f>
        <v>0</v>
      </c>
    </row>
    <row r="36" spans="2:7" ht="15" thickBot="1" x14ac:dyDescent="0.35">
      <c r="B36" s="59"/>
    </row>
    <row r="37" spans="2:7" ht="15" thickBot="1" x14ac:dyDescent="0.35">
      <c r="B37" s="135" t="s">
        <v>874</v>
      </c>
      <c r="C37" s="139">
        <f>+C38</f>
        <v>529.32000000000005</v>
      </c>
      <c r="E37" s="139">
        <f>+E38</f>
        <v>0</v>
      </c>
      <c r="G37" s="139">
        <f>+G38</f>
        <v>529.32000000000005</v>
      </c>
    </row>
    <row r="38" spans="2:7" x14ac:dyDescent="0.3">
      <c r="B38" s="136" t="s">
        <v>1014</v>
      </c>
      <c r="C38" s="137">
        <f>+'SP Previsionale'!G38</f>
        <v>529.32000000000005</v>
      </c>
      <c r="E38" s="173">
        <v>0</v>
      </c>
      <c r="G38" s="173">
        <f>+C38+E38</f>
        <v>529.32000000000005</v>
      </c>
    </row>
    <row r="39" spans="2:7" ht="15" thickBot="1" x14ac:dyDescent="0.35">
      <c r="B39" s="60"/>
    </row>
    <row r="40" spans="2:7" ht="15" thickBot="1" x14ac:dyDescent="0.35">
      <c r="B40" s="135" t="s">
        <v>876</v>
      </c>
      <c r="C40" s="139">
        <f>+C41+C42+C43+C44+C45</f>
        <v>1406907.88</v>
      </c>
      <c r="E40" s="139">
        <f>+E41+E42+E43+E44+E45</f>
        <v>200000</v>
      </c>
      <c r="G40" s="139">
        <f>+G41+G42+G43+G44+G45</f>
        <v>1606907.88</v>
      </c>
    </row>
    <row r="41" spans="2:7" x14ac:dyDescent="0.3">
      <c r="B41" s="136" t="s">
        <v>1015</v>
      </c>
      <c r="C41" s="172">
        <f>+'SP Previsionale'!G41</f>
        <v>201779.33</v>
      </c>
      <c r="E41" s="172"/>
      <c r="G41" s="172">
        <f>+C41+E41</f>
        <v>201779.33</v>
      </c>
    </row>
    <row r="42" spans="2:7" x14ac:dyDescent="0.3">
      <c r="B42" s="136" t="s">
        <v>1016</v>
      </c>
      <c r="C42" s="98">
        <f>+'SP Previsionale'!G42</f>
        <v>3624</v>
      </c>
      <c r="E42" s="98">
        <v>0</v>
      </c>
      <c r="G42" s="98">
        <f>+C42+E42</f>
        <v>3624</v>
      </c>
    </row>
    <row r="43" spans="2:7" x14ac:dyDescent="0.3">
      <c r="B43" s="136" t="s">
        <v>1017</v>
      </c>
      <c r="C43" s="98">
        <f>+'SP Previsionale'!G43</f>
        <v>8554.7200000000012</v>
      </c>
      <c r="E43" s="98">
        <v>0</v>
      </c>
      <c r="G43" s="98">
        <f t="shared" ref="G43:G45" si="1">+C43+E43</f>
        <v>8554.7200000000012</v>
      </c>
    </row>
    <row r="44" spans="2:7" x14ac:dyDescent="0.3">
      <c r="B44" s="136" t="s">
        <v>1018</v>
      </c>
      <c r="C44" s="98">
        <f>+'SP Previsionale'!G44</f>
        <v>1192949.8299999998</v>
      </c>
      <c r="E44" s="98">
        <v>200000</v>
      </c>
      <c r="G44" s="98">
        <f t="shared" si="1"/>
        <v>1392949.8299999998</v>
      </c>
    </row>
    <row r="45" spans="2:7" x14ac:dyDescent="0.3">
      <c r="B45" s="136" t="s">
        <v>1019</v>
      </c>
      <c r="C45" s="98">
        <f>+'SP Previsionale'!G45</f>
        <v>0</v>
      </c>
      <c r="E45" s="98">
        <v>0</v>
      </c>
      <c r="G45" s="98">
        <f t="shared" si="1"/>
        <v>0</v>
      </c>
    </row>
    <row r="46" spans="2:7" ht="15" thickBot="1" x14ac:dyDescent="0.35">
      <c r="B46" s="59"/>
    </row>
    <row r="47" spans="2:7" ht="15" thickBot="1" x14ac:dyDescent="0.35">
      <c r="B47" s="135" t="s">
        <v>882</v>
      </c>
      <c r="C47" s="139">
        <f>+'SP Previsionale'!G47</f>
        <v>0</v>
      </c>
      <c r="E47" s="139">
        <v>0</v>
      </c>
      <c r="G47" s="139">
        <f>+C47+E47</f>
        <v>0</v>
      </c>
    </row>
    <row r="48" spans="2:7" ht="15" thickBot="1" x14ac:dyDescent="0.35">
      <c r="B48" s="67"/>
    </row>
    <row r="49" spans="2:7" ht="15" thickBot="1" x14ac:dyDescent="0.35">
      <c r="B49" s="135" t="s">
        <v>883</v>
      </c>
      <c r="C49" s="139">
        <f>+SUM(C50:C54)</f>
        <v>15296.07</v>
      </c>
      <c r="E49" s="139">
        <f>+SUM(E50:E54)</f>
        <v>0</v>
      </c>
      <c r="G49" s="139">
        <f>+C49-E49</f>
        <v>15296.07</v>
      </c>
    </row>
    <row r="50" spans="2:7" x14ac:dyDescent="0.3">
      <c r="B50" s="136" t="s">
        <v>1021</v>
      </c>
      <c r="C50" s="172">
        <f>+'SP Previsionale'!G50</f>
        <v>0</v>
      </c>
      <c r="E50" s="172">
        <v>0</v>
      </c>
      <c r="G50" s="172">
        <f>+C50+E50</f>
        <v>0</v>
      </c>
    </row>
    <row r="51" spans="2:7" x14ac:dyDescent="0.3">
      <c r="B51" s="136" t="s">
        <v>1020</v>
      </c>
      <c r="C51" s="98">
        <f>+'SP Previsionale'!G51</f>
        <v>15296.07</v>
      </c>
      <c r="E51" s="98">
        <v>0</v>
      </c>
      <c r="G51" s="98">
        <f>+C51+E51</f>
        <v>15296.07</v>
      </c>
    </row>
    <row r="52" spans="2:7" x14ac:dyDescent="0.3">
      <c r="B52" s="136" t="s">
        <v>1022</v>
      </c>
      <c r="C52" s="98">
        <f>+'SP Previsionale'!G52</f>
        <v>0</v>
      </c>
      <c r="E52" s="98">
        <v>0</v>
      </c>
      <c r="G52" s="98">
        <f t="shared" ref="G52:G54" si="2">+C52+E52</f>
        <v>0</v>
      </c>
    </row>
    <row r="53" spans="2:7" x14ac:dyDescent="0.3">
      <c r="B53" s="136" t="s">
        <v>1023</v>
      </c>
      <c r="C53" s="98">
        <f>+'SP Previsionale'!G53</f>
        <v>0</v>
      </c>
      <c r="E53" s="98">
        <v>0</v>
      </c>
      <c r="G53" s="98">
        <f t="shared" si="2"/>
        <v>0</v>
      </c>
    </row>
    <row r="54" spans="2:7" x14ac:dyDescent="0.3">
      <c r="B54" s="136" t="s">
        <v>1024</v>
      </c>
      <c r="C54" s="98"/>
      <c r="E54" s="98">
        <v>0</v>
      </c>
      <c r="G54" s="98">
        <f t="shared" si="2"/>
        <v>0</v>
      </c>
    </row>
    <row r="55" spans="2:7" ht="15" thickBot="1" x14ac:dyDescent="0.35">
      <c r="B55" s="60"/>
    </row>
    <row r="56" spans="2:7" ht="15" thickBot="1" x14ac:dyDescent="0.35">
      <c r="B56" s="135" t="s">
        <v>889</v>
      </c>
      <c r="C56" s="139">
        <f>+C57+C58+C59+C60+C61</f>
        <v>30886.350000000002</v>
      </c>
      <c r="E56" s="139">
        <f>+E57+E58+E59+E60+E61</f>
        <v>0</v>
      </c>
      <c r="G56" s="139">
        <f>+G57+G58+G59+G60+G61</f>
        <v>30886.350000000002</v>
      </c>
    </row>
    <row r="57" spans="2:7" x14ac:dyDescent="0.3">
      <c r="B57" s="136" t="s">
        <v>1025</v>
      </c>
      <c r="C57" s="172">
        <f>+'SP Previsionale'!G57</f>
        <v>100000</v>
      </c>
      <c r="E57" s="172">
        <v>0</v>
      </c>
      <c r="G57" s="172">
        <f>+C57+E57</f>
        <v>100000</v>
      </c>
    </row>
    <row r="58" spans="2:7" x14ac:dyDescent="0.3">
      <c r="B58" s="136" t="s">
        <v>1027</v>
      </c>
      <c r="C58" s="98">
        <f>+'SP Previsionale'!G58</f>
        <v>0</v>
      </c>
      <c r="E58" s="98">
        <v>0</v>
      </c>
      <c r="G58" s="98">
        <f>+C58+E58</f>
        <v>0</v>
      </c>
    </row>
    <row r="59" spans="2:7" x14ac:dyDescent="0.3">
      <c r="B59" s="136" t="s">
        <v>1026</v>
      </c>
      <c r="C59" s="98">
        <f>+'SP Previsionale'!G59</f>
        <v>0</v>
      </c>
      <c r="E59" s="98">
        <v>0</v>
      </c>
      <c r="G59" s="98">
        <f t="shared" ref="G59:G61" si="3">+C59+E59</f>
        <v>0</v>
      </c>
    </row>
    <row r="60" spans="2:7" x14ac:dyDescent="0.3">
      <c r="B60" s="136" t="s">
        <v>1028</v>
      </c>
      <c r="C60" s="98">
        <f>+'SP Previsionale'!G60</f>
        <v>-60634.45</v>
      </c>
      <c r="E60" s="98">
        <v>0</v>
      </c>
      <c r="G60" s="98">
        <f t="shared" si="3"/>
        <v>-60634.45</v>
      </c>
    </row>
    <row r="61" spans="2:7" x14ac:dyDescent="0.3">
      <c r="B61" s="136" t="s">
        <v>1029</v>
      </c>
      <c r="C61" s="98">
        <f>+'SP Previsionale'!G61</f>
        <v>-8479.2000000000007</v>
      </c>
      <c r="E61" s="98">
        <v>0</v>
      </c>
      <c r="G61" s="98">
        <f t="shared" si="3"/>
        <v>-8479.2000000000007</v>
      </c>
    </row>
    <row r="62" spans="2:7" x14ac:dyDescent="0.3">
      <c r="B62" s="64"/>
    </row>
    <row r="63" spans="2:7" x14ac:dyDescent="0.3">
      <c r="B63" s="67" t="s">
        <v>895</v>
      </c>
      <c r="C63" s="58">
        <f t="shared" ref="C63:E63" si="4">+C56+C49+C47+C40+C37</f>
        <v>1453619.6199999999</v>
      </c>
      <c r="E63" s="58">
        <f t="shared" si="4"/>
        <v>200000</v>
      </c>
      <c r="G63" s="58">
        <f t="shared" ref="G63" si="5">+G56+G49+G47+G40+G37</f>
        <v>1653619.6199999999</v>
      </c>
    </row>
    <row r="66" spans="2:5" x14ac:dyDescent="0.3">
      <c r="B66" s="176" t="s">
        <v>1102</v>
      </c>
      <c r="C66" s="62"/>
      <c r="E66" s="62"/>
    </row>
    <row r="67" spans="2:5" ht="15" thickBot="1" x14ac:dyDescent="0.35">
      <c r="C67" s="100">
        <f>+'CE Previsionale'!F2</f>
        <v>2018</v>
      </c>
      <c r="D67" s="100">
        <f>+'CE Previsionale'!G2</f>
        <v>2019</v>
      </c>
      <c r="E67" s="100">
        <f>+'CE Previsionale'!H2</f>
        <v>2020</v>
      </c>
    </row>
    <row r="68" spans="2:5" x14ac:dyDescent="0.3">
      <c r="B68" s="135" t="s">
        <v>1000</v>
      </c>
      <c r="C68" s="172">
        <f>+'CE Previsionale'!F30</f>
        <v>88016.517999999953</v>
      </c>
      <c r="D68" s="172">
        <f>+'CE Previsionale'!G30</f>
        <v>106150.73535999996</v>
      </c>
      <c r="E68" s="172">
        <f>+'CE Previsionale'!H30</f>
        <v>125191.66358800002</v>
      </c>
    </row>
    <row r="69" spans="2:5" ht="6.6" customHeight="1" thickBot="1" x14ac:dyDescent="0.35"/>
    <row r="70" spans="2:5" x14ac:dyDescent="0.3">
      <c r="B70" s="135" t="s">
        <v>1091</v>
      </c>
      <c r="C70" s="172">
        <f>+IF(C90&lt;0,0,C90*C80)</f>
        <v>0</v>
      </c>
      <c r="D70" s="172">
        <f t="shared" ref="D70:L70" si="6">+IF(D90&lt;0,0,D90*D80)</f>
        <v>0</v>
      </c>
      <c r="E70" s="172">
        <f t="shared" si="6"/>
        <v>0</v>
      </c>
    </row>
    <row r="71" spans="2:5" ht="6.6" customHeight="1" thickBot="1" x14ac:dyDescent="0.35"/>
    <row r="72" spans="2:5" x14ac:dyDescent="0.3">
      <c r="B72" s="135" t="s">
        <v>1092</v>
      </c>
      <c r="C72" s="172">
        <f>+C68-C70</f>
        <v>88016.517999999953</v>
      </c>
      <c r="D72" s="172">
        <f t="shared" ref="D72:L72" si="7">+D68-D70</f>
        <v>106150.73535999996</v>
      </c>
      <c r="E72" s="172">
        <f t="shared" si="7"/>
        <v>125191.66358800002</v>
      </c>
    </row>
    <row r="74" spans="2:5" x14ac:dyDescent="0.3">
      <c r="B74" s="135" t="s">
        <v>1093</v>
      </c>
      <c r="C74" s="104">
        <v>3</v>
      </c>
    </row>
    <row r="75" spans="2:5" ht="4.8" customHeight="1" x14ac:dyDescent="0.3">
      <c r="C75">
        <v>7</v>
      </c>
    </row>
    <row r="76" spans="2:5" x14ac:dyDescent="0.3">
      <c r="B76" s="135" t="s">
        <v>1094</v>
      </c>
      <c r="C76" s="98">
        <f>IF(C74=1,NPV(C82,C72),IF(C74=2,NPV(C82,C72,D72),IF(C74=3,NPV(C82,C72,D72,E72),IF(C74=4,NPV(C82,C72,D72,E72,F72),IF(C74=5,NPV(C82,C72,D72,E72,F72,G72),IF(C74=6,NPV(C82,C72,D72,E72,F72,G72,H72),IF(C74=7,NPV(C82,C72,D72,E72,F72,G72,H72,I72),IF(C74=8,NPV(C82,C72,D72,E72,F72,G72,H72,I72,J72),IF(C74=9,NPV(C82,C72,D72,E72,F72,G72,H72,I72,J72,K72),IF(C74=10,NPV(C82,C72,D72,E72,F72,G72,H72,I72,J72,K72,L72),0))))))))))</f>
        <v>277168.2805268059</v>
      </c>
    </row>
    <row r="77" spans="2:5" ht="9.6" customHeight="1" x14ac:dyDescent="0.3"/>
    <row r="78" spans="2:5" x14ac:dyDescent="0.3">
      <c r="B78" s="135" t="s">
        <v>1095</v>
      </c>
      <c r="C78" s="98">
        <f>+C76</f>
        <v>277168.2805268059</v>
      </c>
    </row>
    <row r="79" spans="2:5" ht="6.6" customHeight="1" x14ac:dyDescent="0.3"/>
    <row r="80" spans="2:5" x14ac:dyDescent="0.3">
      <c r="B80" s="135" t="s">
        <v>1096</v>
      </c>
      <c r="C80" s="178">
        <v>1.4999999999999999E-2</v>
      </c>
    </row>
    <row r="81" spans="2:3" ht="6.6" customHeight="1" x14ac:dyDescent="0.3"/>
    <row r="82" spans="2:3" x14ac:dyDescent="0.3">
      <c r="B82" s="135" t="s">
        <v>1097</v>
      </c>
      <c r="C82" s="178">
        <v>7.0000000000000007E-2</v>
      </c>
    </row>
    <row r="84" spans="2:3" x14ac:dyDescent="0.3">
      <c r="B84" s="176" t="s">
        <v>1103</v>
      </c>
    </row>
    <row r="86" spans="2:3" x14ac:dyDescent="0.3">
      <c r="B86" s="135" t="s">
        <v>1098</v>
      </c>
      <c r="C86" s="98">
        <f>+C56</f>
        <v>30886.350000000002</v>
      </c>
    </row>
    <row r="87" spans="2:3" ht="7.8" customHeight="1" x14ac:dyDescent="0.3"/>
    <row r="88" spans="2:3" x14ac:dyDescent="0.3">
      <c r="B88" s="177" t="s">
        <v>1104</v>
      </c>
      <c r="C88" s="98">
        <f>+E33-E63</f>
        <v>-400000</v>
      </c>
    </row>
    <row r="89" spans="2:3" ht="7.2" customHeight="1" x14ac:dyDescent="0.3">
      <c r="B89" s="175"/>
    </row>
    <row r="90" spans="2:3" x14ac:dyDescent="0.3">
      <c r="B90" s="135" t="s">
        <v>1099</v>
      </c>
      <c r="C90" s="98">
        <f>+C88-C86</f>
        <v>-430886.35</v>
      </c>
    </row>
    <row r="91" spans="2:3" ht="5.4" customHeight="1" x14ac:dyDescent="0.3"/>
    <row r="92" spans="2:3" x14ac:dyDescent="0.3">
      <c r="B92" s="135" t="s">
        <v>1095</v>
      </c>
      <c r="C92" s="98">
        <f>+C78</f>
        <v>277168.2805268059</v>
      </c>
    </row>
    <row r="94" spans="2:3" x14ac:dyDescent="0.3">
      <c r="B94" s="135" t="s">
        <v>1100</v>
      </c>
      <c r="C94" s="98">
        <f>+C90+C92</f>
        <v>-153718.06947319407</v>
      </c>
    </row>
    <row r="98" spans="2:5" x14ac:dyDescent="0.3">
      <c r="B98" s="176" t="s">
        <v>1105</v>
      </c>
      <c r="C98" s="100">
        <f>+C67</f>
        <v>2018</v>
      </c>
      <c r="D98" s="100">
        <v>2019</v>
      </c>
      <c r="E98" s="100">
        <v>2020</v>
      </c>
    </row>
    <row r="99" spans="2:5" x14ac:dyDescent="0.3">
      <c r="B99" s="135" t="s">
        <v>998</v>
      </c>
      <c r="C99" s="165">
        <f>+C94</f>
        <v>-153718.06947319407</v>
      </c>
    </row>
    <row r="100" spans="2:5" ht="7.8" customHeight="1" x14ac:dyDescent="0.3"/>
    <row r="101" spans="2:5" x14ac:dyDescent="0.3">
      <c r="B101" s="135" t="s">
        <v>1106</v>
      </c>
      <c r="D101" s="165">
        <f>+D99-C99</f>
        <v>153718.06947319407</v>
      </c>
      <c r="E101" s="165">
        <f t="shared" ref="E101:L101" si="8">+E99-D99</f>
        <v>0</v>
      </c>
    </row>
  </sheetData>
  <conditionalFormatting sqref="E66">
    <cfRule type="cellIs" dxfId="1" priority="1" operator="notEqual">
      <formula>0</formula>
    </cfRule>
  </conditionalFormatting>
  <conditionalFormatting sqref="C66">
    <cfRule type="cellIs" dxfId="0" priority="2" operator="notEqual">
      <formula>0</formula>
    </cfRule>
  </conditionalFormatting>
  <hyperlinks>
    <hyperlink ref="A1" location="Menu!A1" display="MENU" xr:uid="{CCCD8538-7CA0-4055-BC61-BD9223CC1D6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P239"/>
  <sheetViews>
    <sheetView showGridLines="0" topLeftCell="A3" workbookViewId="0">
      <pane xSplit="6" ySplit="3" topLeftCell="G58" activePane="bottomRight" state="frozen"/>
      <selection pane="topRight" activeCell="G1" sqref="G1"/>
      <selection pane="bottomLeft" activeCell="A4" sqref="A4"/>
      <selection pane="bottomRight" activeCell="J68" sqref="J68"/>
    </sheetView>
  </sheetViews>
  <sheetFormatPr defaultColWidth="8.6640625" defaultRowHeight="14.4" x14ac:dyDescent="0.3"/>
  <cols>
    <col min="1" max="1" width="71.44140625" style="5" customWidth="1"/>
    <col min="2" max="2" width="10.33203125" style="5" hidden="1" customWidth="1"/>
    <col min="3" max="3" width="8.6640625" style="5" hidden="1" customWidth="1"/>
    <col min="4" max="4" width="6.6640625" style="5" hidden="1" customWidth="1"/>
    <col min="5" max="5" width="58.6640625" style="5" hidden="1" customWidth="1"/>
    <col min="6" max="6" width="33" style="6" hidden="1" customWidth="1"/>
    <col min="7" max="8" width="11.5546875" style="6" bestFit="1" customWidth="1"/>
    <col min="9" max="10" width="16.6640625" style="5" customWidth="1"/>
    <col min="11" max="11" width="8.6640625" style="5"/>
    <col min="12" max="12" width="9" style="5" bestFit="1" customWidth="1"/>
    <col min="13" max="247" width="8.6640625" style="5"/>
    <col min="248" max="248" width="71.44140625" style="5" customWidth="1"/>
    <col min="249" max="253" width="0" style="5" hidden="1" customWidth="1"/>
    <col min="254" max="257" width="16.6640625" style="5" customWidth="1"/>
    <col min="258" max="258" width="50.6640625" style="5" customWidth="1"/>
    <col min="259" max="503" width="8.6640625" style="5"/>
    <col min="504" max="504" width="71.44140625" style="5" customWidth="1"/>
    <col min="505" max="509" width="0" style="5" hidden="1" customWidth="1"/>
    <col min="510" max="513" width="16.6640625" style="5" customWidth="1"/>
    <col min="514" max="514" width="50.6640625" style="5" customWidth="1"/>
    <col min="515" max="759" width="8.6640625" style="5"/>
    <col min="760" max="760" width="71.44140625" style="5" customWidth="1"/>
    <col min="761" max="765" width="0" style="5" hidden="1" customWidth="1"/>
    <col min="766" max="769" width="16.6640625" style="5" customWidth="1"/>
    <col min="770" max="770" width="50.6640625" style="5" customWidth="1"/>
    <col min="771" max="1015" width="8.6640625" style="5"/>
    <col min="1016" max="1016" width="71.44140625" style="5" customWidth="1"/>
    <col min="1017" max="1021" width="0" style="5" hidden="1" customWidth="1"/>
    <col min="1022" max="1025" width="16.6640625" style="5" customWidth="1"/>
    <col min="1026" max="1026" width="50.6640625" style="5" customWidth="1"/>
    <col min="1027" max="1271" width="8.6640625" style="5"/>
    <col min="1272" max="1272" width="71.44140625" style="5" customWidth="1"/>
    <col min="1273" max="1277" width="0" style="5" hidden="1" customWidth="1"/>
    <col min="1278" max="1281" width="16.6640625" style="5" customWidth="1"/>
    <col min="1282" max="1282" width="50.6640625" style="5" customWidth="1"/>
    <col min="1283" max="1527" width="8.6640625" style="5"/>
    <col min="1528" max="1528" width="71.44140625" style="5" customWidth="1"/>
    <col min="1529" max="1533" width="0" style="5" hidden="1" customWidth="1"/>
    <col min="1534" max="1537" width="16.6640625" style="5" customWidth="1"/>
    <col min="1538" max="1538" width="50.6640625" style="5" customWidth="1"/>
    <col min="1539" max="1783" width="8.6640625" style="5"/>
    <col min="1784" max="1784" width="71.44140625" style="5" customWidth="1"/>
    <col min="1785" max="1789" width="0" style="5" hidden="1" customWidth="1"/>
    <col min="1790" max="1793" width="16.6640625" style="5" customWidth="1"/>
    <col min="1794" max="1794" width="50.6640625" style="5" customWidth="1"/>
    <col min="1795" max="2039" width="8.6640625" style="5"/>
    <col min="2040" max="2040" width="71.44140625" style="5" customWidth="1"/>
    <col min="2041" max="2045" width="0" style="5" hidden="1" customWidth="1"/>
    <col min="2046" max="2049" width="16.6640625" style="5" customWidth="1"/>
    <col min="2050" max="2050" width="50.6640625" style="5" customWidth="1"/>
    <col min="2051" max="2295" width="8.6640625" style="5"/>
    <col min="2296" max="2296" width="71.44140625" style="5" customWidth="1"/>
    <col min="2297" max="2301" width="0" style="5" hidden="1" customWidth="1"/>
    <col min="2302" max="2305" width="16.6640625" style="5" customWidth="1"/>
    <col min="2306" max="2306" width="50.6640625" style="5" customWidth="1"/>
    <col min="2307" max="2551" width="8.6640625" style="5"/>
    <col min="2552" max="2552" width="71.44140625" style="5" customWidth="1"/>
    <col min="2553" max="2557" width="0" style="5" hidden="1" customWidth="1"/>
    <col min="2558" max="2561" width="16.6640625" style="5" customWidth="1"/>
    <col min="2562" max="2562" width="50.6640625" style="5" customWidth="1"/>
    <col min="2563" max="2807" width="8.6640625" style="5"/>
    <col min="2808" max="2808" width="71.44140625" style="5" customWidth="1"/>
    <col min="2809" max="2813" width="0" style="5" hidden="1" customWidth="1"/>
    <col min="2814" max="2817" width="16.6640625" style="5" customWidth="1"/>
    <col min="2818" max="2818" width="50.6640625" style="5" customWidth="1"/>
    <col min="2819" max="3063" width="8.6640625" style="5"/>
    <col min="3064" max="3064" width="71.44140625" style="5" customWidth="1"/>
    <col min="3065" max="3069" width="0" style="5" hidden="1" customWidth="1"/>
    <col min="3070" max="3073" width="16.6640625" style="5" customWidth="1"/>
    <col min="3074" max="3074" width="50.6640625" style="5" customWidth="1"/>
    <col min="3075" max="3319" width="8.6640625" style="5"/>
    <col min="3320" max="3320" width="71.44140625" style="5" customWidth="1"/>
    <col min="3321" max="3325" width="0" style="5" hidden="1" customWidth="1"/>
    <col min="3326" max="3329" width="16.6640625" style="5" customWidth="1"/>
    <col min="3330" max="3330" width="50.6640625" style="5" customWidth="1"/>
    <col min="3331" max="3575" width="8.6640625" style="5"/>
    <col min="3576" max="3576" width="71.44140625" style="5" customWidth="1"/>
    <col min="3577" max="3581" width="0" style="5" hidden="1" customWidth="1"/>
    <col min="3582" max="3585" width="16.6640625" style="5" customWidth="1"/>
    <col min="3586" max="3586" width="50.6640625" style="5" customWidth="1"/>
    <col min="3587" max="3831" width="8.6640625" style="5"/>
    <col min="3832" max="3832" width="71.44140625" style="5" customWidth="1"/>
    <col min="3833" max="3837" width="0" style="5" hidden="1" customWidth="1"/>
    <col min="3838" max="3841" width="16.6640625" style="5" customWidth="1"/>
    <col min="3842" max="3842" width="50.6640625" style="5" customWidth="1"/>
    <col min="3843" max="4087" width="8.6640625" style="5"/>
    <col min="4088" max="4088" width="71.44140625" style="5" customWidth="1"/>
    <col min="4089" max="4093" width="0" style="5" hidden="1" customWidth="1"/>
    <col min="4094" max="4097" width="16.6640625" style="5" customWidth="1"/>
    <col min="4098" max="4098" width="50.6640625" style="5" customWidth="1"/>
    <col min="4099" max="4343" width="8.6640625" style="5"/>
    <col min="4344" max="4344" width="71.44140625" style="5" customWidth="1"/>
    <col min="4345" max="4349" width="0" style="5" hidden="1" customWidth="1"/>
    <col min="4350" max="4353" width="16.6640625" style="5" customWidth="1"/>
    <col min="4354" max="4354" width="50.6640625" style="5" customWidth="1"/>
    <col min="4355" max="4599" width="8.6640625" style="5"/>
    <col min="4600" max="4600" width="71.44140625" style="5" customWidth="1"/>
    <col min="4601" max="4605" width="0" style="5" hidden="1" customWidth="1"/>
    <col min="4606" max="4609" width="16.6640625" style="5" customWidth="1"/>
    <col min="4610" max="4610" width="50.6640625" style="5" customWidth="1"/>
    <col min="4611" max="4855" width="8.6640625" style="5"/>
    <col min="4856" max="4856" width="71.44140625" style="5" customWidth="1"/>
    <col min="4857" max="4861" width="0" style="5" hidden="1" customWidth="1"/>
    <col min="4862" max="4865" width="16.6640625" style="5" customWidth="1"/>
    <col min="4866" max="4866" width="50.6640625" style="5" customWidth="1"/>
    <col min="4867" max="5111" width="8.6640625" style="5"/>
    <col min="5112" max="5112" width="71.44140625" style="5" customWidth="1"/>
    <col min="5113" max="5117" width="0" style="5" hidden="1" customWidth="1"/>
    <col min="5118" max="5121" width="16.6640625" style="5" customWidth="1"/>
    <col min="5122" max="5122" width="50.6640625" style="5" customWidth="1"/>
    <col min="5123" max="5367" width="8.6640625" style="5"/>
    <col min="5368" max="5368" width="71.44140625" style="5" customWidth="1"/>
    <col min="5369" max="5373" width="0" style="5" hidden="1" customWidth="1"/>
    <col min="5374" max="5377" width="16.6640625" style="5" customWidth="1"/>
    <col min="5378" max="5378" width="50.6640625" style="5" customWidth="1"/>
    <col min="5379" max="5623" width="8.6640625" style="5"/>
    <col min="5624" max="5624" width="71.44140625" style="5" customWidth="1"/>
    <col min="5625" max="5629" width="0" style="5" hidden="1" customWidth="1"/>
    <col min="5630" max="5633" width="16.6640625" style="5" customWidth="1"/>
    <col min="5634" max="5634" width="50.6640625" style="5" customWidth="1"/>
    <col min="5635" max="5879" width="8.6640625" style="5"/>
    <col min="5880" max="5880" width="71.44140625" style="5" customWidth="1"/>
    <col min="5881" max="5885" width="0" style="5" hidden="1" customWidth="1"/>
    <col min="5886" max="5889" width="16.6640625" style="5" customWidth="1"/>
    <col min="5890" max="5890" width="50.6640625" style="5" customWidth="1"/>
    <col min="5891" max="6135" width="8.6640625" style="5"/>
    <col min="6136" max="6136" width="71.44140625" style="5" customWidth="1"/>
    <col min="6137" max="6141" width="0" style="5" hidden="1" customWidth="1"/>
    <col min="6142" max="6145" width="16.6640625" style="5" customWidth="1"/>
    <col min="6146" max="6146" width="50.6640625" style="5" customWidth="1"/>
    <col min="6147" max="6391" width="8.6640625" style="5"/>
    <col min="6392" max="6392" width="71.44140625" style="5" customWidth="1"/>
    <col min="6393" max="6397" width="0" style="5" hidden="1" customWidth="1"/>
    <col min="6398" max="6401" width="16.6640625" style="5" customWidth="1"/>
    <col min="6402" max="6402" width="50.6640625" style="5" customWidth="1"/>
    <col min="6403" max="6647" width="8.6640625" style="5"/>
    <col min="6648" max="6648" width="71.44140625" style="5" customWidth="1"/>
    <col min="6649" max="6653" width="0" style="5" hidden="1" customWidth="1"/>
    <col min="6654" max="6657" width="16.6640625" style="5" customWidth="1"/>
    <col min="6658" max="6658" width="50.6640625" style="5" customWidth="1"/>
    <col min="6659" max="6903" width="8.6640625" style="5"/>
    <col min="6904" max="6904" width="71.44140625" style="5" customWidth="1"/>
    <col min="6905" max="6909" width="0" style="5" hidden="1" customWidth="1"/>
    <col min="6910" max="6913" width="16.6640625" style="5" customWidth="1"/>
    <col min="6914" max="6914" width="50.6640625" style="5" customWidth="1"/>
    <col min="6915" max="7159" width="8.6640625" style="5"/>
    <col min="7160" max="7160" width="71.44140625" style="5" customWidth="1"/>
    <col min="7161" max="7165" width="0" style="5" hidden="1" customWidth="1"/>
    <col min="7166" max="7169" width="16.6640625" style="5" customWidth="1"/>
    <col min="7170" max="7170" width="50.6640625" style="5" customWidth="1"/>
    <col min="7171" max="7415" width="8.6640625" style="5"/>
    <col min="7416" max="7416" width="71.44140625" style="5" customWidth="1"/>
    <col min="7417" max="7421" width="0" style="5" hidden="1" customWidth="1"/>
    <col min="7422" max="7425" width="16.6640625" style="5" customWidth="1"/>
    <col min="7426" max="7426" width="50.6640625" style="5" customWidth="1"/>
    <col min="7427" max="7671" width="8.6640625" style="5"/>
    <col min="7672" max="7672" width="71.44140625" style="5" customWidth="1"/>
    <col min="7673" max="7677" width="0" style="5" hidden="1" customWidth="1"/>
    <col min="7678" max="7681" width="16.6640625" style="5" customWidth="1"/>
    <col min="7682" max="7682" width="50.6640625" style="5" customWidth="1"/>
    <col min="7683" max="7927" width="8.6640625" style="5"/>
    <col min="7928" max="7928" width="71.44140625" style="5" customWidth="1"/>
    <col min="7929" max="7933" width="0" style="5" hidden="1" customWidth="1"/>
    <col min="7934" max="7937" width="16.6640625" style="5" customWidth="1"/>
    <col min="7938" max="7938" width="50.6640625" style="5" customWidth="1"/>
    <col min="7939" max="8183" width="8.6640625" style="5"/>
    <col min="8184" max="8184" width="71.44140625" style="5" customWidth="1"/>
    <col min="8185" max="8189" width="0" style="5" hidden="1" customWidth="1"/>
    <col min="8190" max="8193" width="16.6640625" style="5" customWidth="1"/>
    <col min="8194" max="8194" width="50.6640625" style="5" customWidth="1"/>
    <col min="8195" max="8439" width="8.6640625" style="5"/>
    <col min="8440" max="8440" width="71.44140625" style="5" customWidth="1"/>
    <col min="8441" max="8445" width="0" style="5" hidden="1" customWidth="1"/>
    <col min="8446" max="8449" width="16.6640625" style="5" customWidth="1"/>
    <col min="8450" max="8450" width="50.6640625" style="5" customWidth="1"/>
    <col min="8451" max="8695" width="8.6640625" style="5"/>
    <col min="8696" max="8696" width="71.44140625" style="5" customWidth="1"/>
    <col min="8697" max="8701" width="0" style="5" hidden="1" customWidth="1"/>
    <col min="8702" max="8705" width="16.6640625" style="5" customWidth="1"/>
    <col min="8706" max="8706" width="50.6640625" style="5" customWidth="1"/>
    <col min="8707" max="8951" width="8.6640625" style="5"/>
    <col min="8952" max="8952" width="71.44140625" style="5" customWidth="1"/>
    <col min="8953" max="8957" width="0" style="5" hidden="1" customWidth="1"/>
    <col min="8958" max="8961" width="16.6640625" style="5" customWidth="1"/>
    <col min="8962" max="8962" width="50.6640625" style="5" customWidth="1"/>
    <col min="8963" max="9207" width="8.6640625" style="5"/>
    <col min="9208" max="9208" width="71.44140625" style="5" customWidth="1"/>
    <col min="9209" max="9213" width="0" style="5" hidden="1" customWidth="1"/>
    <col min="9214" max="9217" width="16.6640625" style="5" customWidth="1"/>
    <col min="9218" max="9218" width="50.6640625" style="5" customWidth="1"/>
    <col min="9219" max="9463" width="8.6640625" style="5"/>
    <col min="9464" max="9464" width="71.44140625" style="5" customWidth="1"/>
    <col min="9465" max="9469" width="0" style="5" hidden="1" customWidth="1"/>
    <col min="9470" max="9473" width="16.6640625" style="5" customWidth="1"/>
    <col min="9474" max="9474" width="50.6640625" style="5" customWidth="1"/>
    <col min="9475" max="9719" width="8.6640625" style="5"/>
    <col min="9720" max="9720" width="71.44140625" style="5" customWidth="1"/>
    <col min="9721" max="9725" width="0" style="5" hidden="1" customWidth="1"/>
    <col min="9726" max="9729" width="16.6640625" style="5" customWidth="1"/>
    <col min="9730" max="9730" width="50.6640625" style="5" customWidth="1"/>
    <col min="9731" max="9975" width="8.6640625" style="5"/>
    <col min="9976" max="9976" width="71.44140625" style="5" customWidth="1"/>
    <col min="9977" max="9981" width="0" style="5" hidden="1" customWidth="1"/>
    <col min="9982" max="9985" width="16.6640625" style="5" customWidth="1"/>
    <col min="9986" max="9986" width="50.6640625" style="5" customWidth="1"/>
    <col min="9987" max="10231" width="8.6640625" style="5"/>
    <col min="10232" max="10232" width="71.44140625" style="5" customWidth="1"/>
    <col min="10233" max="10237" width="0" style="5" hidden="1" customWidth="1"/>
    <col min="10238" max="10241" width="16.6640625" style="5" customWidth="1"/>
    <col min="10242" max="10242" width="50.6640625" style="5" customWidth="1"/>
    <col min="10243" max="10487" width="8.6640625" style="5"/>
    <col min="10488" max="10488" width="71.44140625" style="5" customWidth="1"/>
    <col min="10489" max="10493" width="0" style="5" hidden="1" customWidth="1"/>
    <col min="10494" max="10497" width="16.6640625" style="5" customWidth="1"/>
    <col min="10498" max="10498" width="50.6640625" style="5" customWidth="1"/>
    <col min="10499" max="10743" width="8.6640625" style="5"/>
    <col min="10744" max="10744" width="71.44140625" style="5" customWidth="1"/>
    <col min="10745" max="10749" width="0" style="5" hidden="1" customWidth="1"/>
    <col min="10750" max="10753" width="16.6640625" style="5" customWidth="1"/>
    <col min="10754" max="10754" width="50.6640625" style="5" customWidth="1"/>
    <col min="10755" max="10999" width="8.6640625" style="5"/>
    <col min="11000" max="11000" width="71.44140625" style="5" customWidth="1"/>
    <col min="11001" max="11005" width="0" style="5" hidden="1" customWidth="1"/>
    <col min="11006" max="11009" width="16.6640625" style="5" customWidth="1"/>
    <col min="11010" max="11010" width="50.6640625" style="5" customWidth="1"/>
    <col min="11011" max="11255" width="8.6640625" style="5"/>
    <col min="11256" max="11256" width="71.44140625" style="5" customWidth="1"/>
    <col min="11257" max="11261" width="0" style="5" hidden="1" customWidth="1"/>
    <col min="11262" max="11265" width="16.6640625" style="5" customWidth="1"/>
    <col min="11266" max="11266" width="50.6640625" style="5" customWidth="1"/>
    <col min="11267" max="11511" width="8.6640625" style="5"/>
    <col min="11512" max="11512" width="71.44140625" style="5" customWidth="1"/>
    <col min="11513" max="11517" width="0" style="5" hidden="1" customWidth="1"/>
    <col min="11518" max="11521" width="16.6640625" style="5" customWidth="1"/>
    <col min="11522" max="11522" width="50.6640625" style="5" customWidth="1"/>
    <col min="11523" max="11767" width="8.6640625" style="5"/>
    <col min="11768" max="11768" width="71.44140625" style="5" customWidth="1"/>
    <col min="11769" max="11773" width="0" style="5" hidden="1" customWidth="1"/>
    <col min="11774" max="11777" width="16.6640625" style="5" customWidth="1"/>
    <col min="11778" max="11778" width="50.6640625" style="5" customWidth="1"/>
    <col min="11779" max="12023" width="8.6640625" style="5"/>
    <col min="12024" max="12024" width="71.44140625" style="5" customWidth="1"/>
    <col min="12025" max="12029" width="0" style="5" hidden="1" customWidth="1"/>
    <col min="12030" max="12033" width="16.6640625" style="5" customWidth="1"/>
    <col min="12034" max="12034" width="50.6640625" style="5" customWidth="1"/>
    <col min="12035" max="12279" width="8.6640625" style="5"/>
    <col min="12280" max="12280" width="71.44140625" style="5" customWidth="1"/>
    <col min="12281" max="12285" width="0" style="5" hidden="1" customWidth="1"/>
    <col min="12286" max="12289" width="16.6640625" style="5" customWidth="1"/>
    <col min="12290" max="12290" width="50.6640625" style="5" customWidth="1"/>
    <col min="12291" max="12535" width="8.6640625" style="5"/>
    <col min="12536" max="12536" width="71.44140625" style="5" customWidth="1"/>
    <col min="12537" max="12541" width="0" style="5" hidden="1" customWidth="1"/>
    <col min="12542" max="12545" width="16.6640625" style="5" customWidth="1"/>
    <col min="12546" max="12546" width="50.6640625" style="5" customWidth="1"/>
    <col min="12547" max="12791" width="8.6640625" style="5"/>
    <col min="12792" max="12792" width="71.44140625" style="5" customWidth="1"/>
    <col min="12793" max="12797" width="0" style="5" hidden="1" customWidth="1"/>
    <col min="12798" max="12801" width="16.6640625" style="5" customWidth="1"/>
    <col min="12802" max="12802" width="50.6640625" style="5" customWidth="1"/>
    <col min="12803" max="13047" width="8.6640625" style="5"/>
    <col min="13048" max="13048" width="71.44140625" style="5" customWidth="1"/>
    <col min="13049" max="13053" width="0" style="5" hidden="1" customWidth="1"/>
    <col min="13054" max="13057" width="16.6640625" style="5" customWidth="1"/>
    <col min="13058" max="13058" width="50.6640625" style="5" customWidth="1"/>
    <col min="13059" max="13303" width="8.6640625" style="5"/>
    <col min="13304" max="13304" width="71.44140625" style="5" customWidth="1"/>
    <col min="13305" max="13309" width="0" style="5" hidden="1" customWidth="1"/>
    <col min="13310" max="13313" width="16.6640625" style="5" customWidth="1"/>
    <col min="13314" max="13314" width="50.6640625" style="5" customWidth="1"/>
    <col min="13315" max="13559" width="8.6640625" style="5"/>
    <col min="13560" max="13560" width="71.44140625" style="5" customWidth="1"/>
    <col min="13561" max="13565" width="0" style="5" hidden="1" customWidth="1"/>
    <col min="13566" max="13569" width="16.6640625" style="5" customWidth="1"/>
    <col min="13570" max="13570" width="50.6640625" style="5" customWidth="1"/>
    <col min="13571" max="13815" width="8.6640625" style="5"/>
    <col min="13816" max="13816" width="71.44140625" style="5" customWidth="1"/>
    <col min="13817" max="13821" width="0" style="5" hidden="1" customWidth="1"/>
    <col min="13822" max="13825" width="16.6640625" style="5" customWidth="1"/>
    <col min="13826" max="13826" width="50.6640625" style="5" customWidth="1"/>
    <col min="13827" max="14071" width="8.6640625" style="5"/>
    <col min="14072" max="14072" width="71.44140625" style="5" customWidth="1"/>
    <col min="14073" max="14077" width="0" style="5" hidden="1" customWidth="1"/>
    <col min="14078" max="14081" width="16.6640625" style="5" customWidth="1"/>
    <col min="14082" max="14082" width="50.6640625" style="5" customWidth="1"/>
    <col min="14083" max="14327" width="8.6640625" style="5"/>
    <col min="14328" max="14328" width="71.44140625" style="5" customWidth="1"/>
    <col min="14329" max="14333" width="0" style="5" hidden="1" customWidth="1"/>
    <col min="14334" max="14337" width="16.6640625" style="5" customWidth="1"/>
    <col min="14338" max="14338" width="50.6640625" style="5" customWidth="1"/>
    <col min="14339" max="14583" width="8.6640625" style="5"/>
    <col min="14584" max="14584" width="71.44140625" style="5" customWidth="1"/>
    <col min="14585" max="14589" width="0" style="5" hidden="1" customWidth="1"/>
    <col min="14590" max="14593" width="16.6640625" style="5" customWidth="1"/>
    <col min="14594" max="14594" width="50.6640625" style="5" customWidth="1"/>
    <col min="14595" max="14839" width="8.6640625" style="5"/>
    <col min="14840" max="14840" width="71.44140625" style="5" customWidth="1"/>
    <col min="14841" max="14845" width="0" style="5" hidden="1" customWidth="1"/>
    <col min="14846" max="14849" width="16.6640625" style="5" customWidth="1"/>
    <col min="14850" max="14850" width="50.6640625" style="5" customWidth="1"/>
    <col min="14851" max="15095" width="8.6640625" style="5"/>
    <col min="15096" max="15096" width="71.44140625" style="5" customWidth="1"/>
    <col min="15097" max="15101" width="0" style="5" hidden="1" customWidth="1"/>
    <col min="15102" max="15105" width="16.6640625" style="5" customWidth="1"/>
    <col min="15106" max="15106" width="50.6640625" style="5" customWidth="1"/>
    <col min="15107" max="15351" width="8.6640625" style="5"/>
    <col min="15352" max="15352" width="71.44140625" style="5" customWidth="1"/>
    <col min="15353" max="15357" width="0" style="5" hidden="1" customWidth="1"/>
    <col min="15358" max="15361" width="16.6640625" style="5" customWidth="1"/>
    <col min="15362" max="15362" width="50.6640625" style="5" customWidth="1"/>
    <col min="15363" max="15607" width="8.6640625" style="5"/>
    <col min="15608" max="15608" width="71.44140625" style="5" customWidth="1"/>
    <col min="15609" max="15613" width="0" style="5" hidden="1" customWidth="1"/>
    <col min="15614" max="15617" width="16.6640625" style="5" customWidth="1"/>
    <col min="15618" max="15618" width="50.6640625" style="5" customWidth="1"/>
    <col min="15619" max="15863" width="8.6640625" style="5"/>
    <col min="15864" max="15864" width="71.44140625" style="5" customWidth="1"/>
    <col min="15865" max="15869" width="0" style="5" hidden="1" customWidth="1"/>
    <col min="15870" max="15873" width="16.6640625" style="5" customWidth="1"/>
    <col min="15874" max="15874" width="50.6640625" style="5" customWidth="1"/>
    <col min="15875" max="16119" width="8.6640625" style="5"/>
    <col min="16120" max="16120" width="71.44140625" style="5" customWidth="1"/>
    <col min="16121" max="16125" width="0" style="5" hidden="1" customWidth="1"/>
    <col min="16126" max="16129" width="16.6640625" style="5" customWidth="1"/>
    <col min="16130" max="16130" width="50.6640625" style="5" customWidth="1"/>
    <col min="16131" max="16384" width="8.6640625" style="5"/>
  </cols>
  <sheetData>
    <row r="1" spans="1:11" ht="13.2" hidden="1" customHeight="1" x14ac:dyDescent="0.3">
      <c r="A1" s="7" t="s">
        <v>64</v>
      </c>
      <c r="B1" s="7" t="s">
        <v>65</v>
      </c>
      <c r="C1" s="6" t="s">
        <v>66</v>
      </c>
      <c r="D1" s="6" t="s">
        <v>67</v>
      </c>
      <c r="E1" s="6" t="s">
        <v>68</v>
      </c>
      <c r="F1" s="8" t="s">
        <v>69</v>
      </c>
      <c r="G1" s="8"/>
      <c r="H1" s="8"/>
      <c r="I1" s="6" t="s">
        <v>70</v>
      </c>
      <c r="J1" s="6" t="s">
        <v>71</v>
      </c>
    </row>
    <row r="2" spans="1:11" ht="13.2" hidden="1" customHeight="1" x14ac:dyDescent="0.3">
      <c r="A2" s="1" t="s">
        <v>72</v>
      </c>
      <c r="B2" s="1" t="s">
        <v>73</v>
      </c>
      <c r="C2" s="6">
        <v>6</v>
      </c>
      <c r="D2" s="6">
        <v>224</v>
      </c>
      <c r="E2" s="6" t="s">
        <v>74</v>
      </c>
      <c r="F2" s="5" t="s">
        <v>75</v>
      </c>
      <c r="G2" s="5"/>
      <c r="H2" s="5"/>
      <c r="I2" s="6">
        <v>6</v>
      </c>
      <c r="J2" s="6" t="s">
        <v>76</v>
      </c>
    </row>
    <row r="3" spans="1:11" ht="18" customHeight="1" x14ac:dyDescent="0.3">
      <c r="A3" s="9" t="s">
        <v>77</v>
      </c>
      <c r="I3" s="10"/>
      <c r="J3" s="10"/>
    </row>
    <row r="4" spans="1:11" ht="23.25" customHeight="1" x14ac:dyDescent="0.3">
      <c r="A4" s="11" t="s">
        <v>78</v>
      </c>
      <c r="F4" s="12"/>
      <c r="G4" s="105">
        <f>+H4-1</f>
        <v>2014</v>
      </c>
      <c r="H4" s="105">
        <f>+I4-1</f>
        <v>2015</v>
      </c>
      <c r="I4" s="105">
        <f>+Menu!C4-1</f>
        <v>2016</v>
      </c>
      <c r="J4" s="105">
        <f>+Menu!C4</f>
        <v>2017</v>
      </c>
    </row>
    <row r="5" spans="1:11" s="1" customFormat="1" x14ac:dyDescent="0.3">
      <c r="A5" s="14"/>
      <c r="B5" s="1" t="s">
        <v>79</v>
      </c>
      <c r="C5" s="15" t="s">
        <v>80</v>
      </c>
      <c r="D5" s="1" t="s">
        <v>81</v>
      </c>
      <c r="E5" s="1" t="s">
        <v>82</v>
      </c>
      <c r="F5" s="1" t="s">
        <v>68</v>
      </c>
      <c r="G5" s="105" t="str">
        <f t="shared" ref="G5:H5" si="0">+IF(G4="","","input")</f>
        <v>input</v>
      </c>
      <c r="H5" s="105" t="str">
        <f t="shared" si="0"/>
        <v>input</v>
      </c>
      <c r="I5" s="105" t="str">
        <f>+IF(I4="","","input")</f>
        <v>input</v>
      </c>
      <c r="J5" s="105" t="str">
        <f t="shared" ref="J5" si="1">+IF(J4="","","input")</f>
        <v>input</v>
      </c>
      <c r="K5" s="5"/>
    </row>
    <row r="6" spans="1:11" ht="18" customHeight="1" x14ac:dyDescent="0.3">
      <c r="A6" s="16" t="s">
        <v>83</v>
      </c>
      <c r="D6" s="5">
        <v>0</v>
      </c>
      <c r="E6" s="16" t="s">
        <v>84</v>
      </c>
      <c r="F6" s="6" t="s">
        <v>85</v>
      </c>
      <c r="I6" s="17" t="s">
        <v>86</v>
      </c>
      <c r="J6" s="17" t="s">
        <v>86</v>
      </c>
    </row>
    <row r="7" spans="1:11" ht="18" customHeight="1" x14ac:dyDescent="0.3">
      <c r="A7" s="18" t="s">
        <v>87</v>
      </c>
      <c r="D7" s="5">
        <v>1</v>
      </c>
      <c r="E7" s="19" t="s">
        <v>88</v>
      </c>
      <c r="F7" s="6" t="s">
        <v>87</v>
      </c>
      <c r="I7" s="17" t="s">
        <v>86</v>
      </c>
      <c r="J7" s="17" t="s">
        <v>86</v>
      </c>
    </row>
    <row r="8" spans="1:11" ht="18" customHeight="1" x14ac:dyDescent="0.3">
      <c r="A8" s="20" t="s">
        <v>89</v>
      </c>
      <c r="D8" s="5">
        <v>2</v>
      </c>
      <c r="E8" s="21" t="s">
        <v>90</v>
      </c>
      <c r="F8" s="6" t="s">
        <v>91</v>
      </c>
      <c r="I8" s="17" t="s">
        <v>86</v>
      </c>
      <c r="J8" s="17" t="s">
        <v>86</v>
      </c>
    </row>
    <row r="9" spans="1:11" x14ac:dyDescent="0.3">
      <c r="A9" s="22" t="s">
        <v>92</v>
      </c>
      <c r="B9" s="5">
        <v>23</v>
      </c>
      <c r="D9" s="5">
        <v>3</v>
      </c>
      <c r="E9" s="23" t="s">
        <v>93</v>
      </c>
      <c r="F9" s="6" t="s">
        <v>94</v>
      </c>
      <c r="G9" s="101">
        <v>0</v>
      </c>
      <c r="H9" s="101">
        <v>0</v>
      </c>
      <c r="I9" s="101">
        <v>0</v>
      </c>
      <c r="J9" s="102">
        <v>0</v>
      </c>
    </row>
    <row r="10" spans="1:11" x14ac:dyDescent="0.3">
      <c r="A10" s="22" t="s">
        <v>95</v>
      </c>
      <c r="B10" s="5">
        <v>33</v>
      </c>
      <c r="D10" s="5">
        <v>3</v>
      </c>
      <c r="E10" s="23" t="s">
        <v>96</v>
      </c>
      <c r="F10" s="6" t="s">
        <v>97</v>
      </c>
      <c r="G10" s="103">
        <v>0</v>
      </c>
      <c r="H10" s="103">
        <v>0</v>
      </c>
      <c r="I10" s="103">
        <v>0</v>
      </c>
      <c r="J10" s="104">
        <v>0</v>
      </c>
    </row>
    <row r="11" spans="1:11" x14ac:dyDescent="0.3">
      <c r="A11" s="24" t="s">
        <v>98</v>
      </c>
      <c r="B11" s="5">
        <v>56</v>
      </c>
      <c r="D11" s="5">
        <v>3</v>
      </c>
      <c r="E11" s="25" t="s">
        <v>99</v>
      </c>
      <c r="F11" s="6" t="s">
        <v>100</v>
      </c>
      <c r="G11" s="26">
        <f t="shared" ref="G11:H11" si="2">+IF(G$4="","",SUM(G9:G10))</f>
        <v>0</v>
      </c>
      <c r="H11" s="26">
        <f t="shared" si="2"/>
        <v>0</v>
      </c>
      <c r="I11" s="26">
        <f>+IF(I$4="","",SUM(I9:I10))</f>
        <v>0</v>
      </c>
      <c r="J11" s="26">
        <f t="shared" ref="J11" si="3">+IF(J4="","",SUM(J9:J10))</f>
        <v>0</v>
      </c>
    </row>
    <row r="12" spans="1:11" ht="18" customHeight="1" x14ac:dyDescent="0.3">
      <c r="A12" s="20" t="s">
        <v>101</v>
      </c>
      <c r="D12" s="5">
        <v>2</v>
      </c>
      <c r="E12" s="21" t="s">
        <v>102</v>
      </c>
      <c r="F12" s="6" t="s">
        <v>103</v>
      </c>
      <c r="G12" s="17" t="s">
        <v>86</v>
      </c>
      <c r="H12" s="17" t="s">
        <v>86</v>
      </c>
      <c r="I12" s="17" t="s">
        <v>86</v>
      </c>
      <c r="J12" s="17" t="s">
        <v>86</v>
      </c>
    </row>
    <row r="13" spans="1:11" ht="18" customHeight="1" x14ac:dyDescent="0.3">
      <c r="A13" s="27" t="s">
        <v>104</v>
      </c>
      <c r="D13" s="5">
        <v>3</v>
      </c>
      <c r="E13" s="27" t="s">
        <v>105</v>
      </c>
      <c r="F13" s="6" t="s">
        <v>106</v>
      </c>
      <c r="G13" s="28" t="s">
        <v>86</v>
      </c>
      <c r="H13" s="28" t="s">
        <v>86</v>
      </c>
      <c r="I13" s="28" t="s">
        <v>86</v>
      </c>
      <c r="J13" s="28" t="s">
        <v>86</v>
      </c>
    </row>
    <row r="14" spans="1:11" x14ac:dyDescent="0.3">
      <c r="A14" s="29" t="s">
        <v>107</v>
      </c>
      <c r="B14" s="5">
        <v>5</v>
      </c>
      <c r="D14" s="5">
        <v>4</v>
      </c>
      <c r="E14" s="30" t="s">
        <v>108</v>
      </c>
      <c r="F14" s="6" t="s">
        <v>109</v>
      </c>
      <c r="G14" s="101">
        <v>0</v>
      </c>
      <c r="H14" s="101">
        <v>0</v>
      </c>
      <c r="I14" s="101">
        <v>0</v>
      </c>
      <c r="J14" s="101">
        <v>0</v>
      </c>
    </row>
    <row r="15" spans="1:11" x14ac:dyDescent="0.3">
      <c r="A15" s="71" t="s">
        <v>110</v>
      </c>
      <c r="B15" s="5">
        <v>5</v>
      </c>
      <c r="D15" s="5">
        <v>4</v>
      </c>
      <c r="E15" s="30" t="s">
        <v>111</v>
      </c>
      <c r="F15" s="6" t="s">
        <v>112</v>
      </c>
      <c r="G15" s="101">
        <v>0</v>
      </c>
      <c r="H15" s="101">
        <v>0</v>
      </c>
      <c r="I15" s="101">
        <v>0</v>
      </c>
      <c r="J15" s="101">
        <v>0</v>
      </c>
    </row>
    <row r="16" spans="1:11" x14ac:dyDescent="0.3">
      <c r="A16" s="29" t="s">
        <v>113</v>
      </c>
      <c r="B16" s="5">
        <v>5</v>
      </c>
      <c r="D16" s="5">
        <v>4</v>
      </c>
      <c r="E16" s="30" t="s">
        <v>114</v>
      </c>
      <c r="F16" s="6" t="s">
        <v>115</v>
      </c>
      <c r="G16" s="101">
        <v>0</v>
      </c>
      <c r="H16" s="101">
        <v>0</v>
      </c>
      <c r="I16" s="101">
        <v>0</v>
      </c>
      <c r="J16" s="101">
        <v>0</v>
      </c>
    </row>
    <row r="17" spans="1:11" x14ac:dyDescent="0.3">
      <c r="A17" s="29" t="s">
        <v>116</v>
      </c>
      <c r="B17" s="5">
        <v>5</v>
      </c>
      <c r="D17" s="5">
        <v>4</v>
      </c>
      <c r="E17" s="30" t="s">
        <v>117</v>
      </c>
      <c r="F17" s="6" t="s">
        <v>118</v>
      </c>
      <c r="G17" s="101"/>
      <c r="H17" s="101"/>
      <c r="I17" s="101"/>
      <c r="J17" s="101">
        <v>0</v>
      </c>
    </row>
    <row r="18" spans="1:11" x14ac:dyDescent="0.3">
      <c r="A18" s="29" t="s">
        <v>119</v>
      </c>
      <c r="B18" s="5">
        <v>5</v>
      </c>
      <c r="D18" s="5">
        <v>4</v>
      </c>
      <c r="E18" s="30" t="s">
        <v>120</v>
      </c>
      <c r="F18" s="6" t="s">
        <v>121</v>
      </c>
      <c r="G18" s="101">
        <v>0</v>
      </c>
      <c r="H18" s="101">
        <v>0</v>
      </c>
      <c r="I18" s="101">
        <v>0</v>
      </c>
      <c r="J18" s="101">
        <v>192960</v>
      </c>
      <c r="K18" s="148"/>
    </row>
    <row r="19" spans="1:11" x14ac:dyDescent="0.3">
      <c r="A19" s="29" t="s">
        <v>122</v>
      </c>
      <c r="B19" s="5">
        <v>5</v>
      </c>
      <c r="D19" s="5">
        <v>4</v>
      </c>
      <c r="E19" s="30" t="s">
        <v>123</v>
      </c>
      <c r="F19" s="6" t="s">
        <v>124</v>
      </c>
      <c r="G19" s="101">
        <v>0</v>
      </c>
      <c r="H19" s="101">
        <v>0</v>
      </c>
      <c r="I19" s="101">
        <v>0</v>
      </c>
      <c r="J19" s="101">
        <v>0</v>
      </c>
    </row>
    <row r="20" spans="1:11" x14ac:dyDescent="0.3">
      <c r="A20" s="29" t="s">
        <v>125</v>
      </c>
      <c r="B20" s="5">
        <v>5</v>
      </c>
      <c r="D20" s="5">
        <v>4</v>
      </c>
      <c r="E20" s="30" t="s">
        <v>126</v>
      </c>
      <c r="F20" s="6" t="s">
        <v>127</v>
      </c>
      <c r="G20" s="101">
        <v>0</v>
      </c>
      <c r="H20" s="101">
        <v>0</v>
      </c>
      <c r="I20" s="101">
        <v>0</v>
      </c>
      <c r="J20" s="101">
        <v>131.13999999999999</v>
      </c>
    </row>
    <row r="21" spans="1:11" x14ac:dyDescent="0.3">
      <c r="A21" s="31" t="s">
        <v>128</v>
      </c>
      <c r="B21" s="32">
        <v>35</v>
      </c>
      <c r="C21" s="32"/>
      <c r="D21" s="32">
        <v>4</v>
      </c>
      <c r="E21" s="30" t="s">
        <v>129</v>
      </c>
      <c r="F21" s="6" t="s">
        <v>130</v>
      </c>
      <c r="G21" s="26">
        <f t="shared" ref="G21:H21" si="4">+IF(G$4="","",SUM(G14:G20))</f>
        <v>0</v>
      </c>
      <c r="H21" s="26">
        <f t="shared" si="4"/>
        <v>0</v>
      </c>
      <c r="I21" s="26">
        <f>+IF(I$4="","",SUM(I14:I20))</f>
        <v>0</v>
      </c>
      <c r="J21" s="26">
        <f t="shared" ref="J21" si="5">+IF(J$4="","",SUM(J14:J20))</f>
        <v>193091.14</v>
      </c>
    </row>
    <row r="22" spans="1:11" ht="18" customHeight="1" x14ac:dyDescent="0.3">
      <c r="A22" s="27" t="s">
        <v>131</v>
      </c>
      <c r="D22" s="5">
        <v>3</v>
      </c>
      <c r="E22" s="27" t="s">
        <v>132</v>
      </c>
      <c r="F22" s="6" t="s">
        <v>133</v>
      </c>
      <c r="G22" s="28"/>
      <c r="H22" s="28"/>
      <c r="I22" s="28"/>
      <c r="J22" s="28"/>
    </row>
    <row r="23" spans="1:11" x14ac:dyDescent="0.3">
      <c r="A23" s="29" t="s">
        <v>134</v>
      </c>
      <c r="B23" s="5">
        <v>12</v>
      </c>
      <c r="D23" s="5">
        <v>4</v>
      </c>
      <c r="E23" s="30" t="s">
        <v>135</v>
      </c>
      <c r="F23" s="6" t="s">
        <v>136</v>
      </c>
      <c r="G23" s="101"/>
      <c r="H23" s="101"/>
      <c r="I23" s="101"/>
      <c r="J23" s="101"/>
    </row>
    <row r="24" spans="1:11" x14ac:dyDescent="0.3">
      <c r="A24" s="29" t="s">
        <v>137</v>
      </c>
      <c r="B24" s="5">
        <v>12</v>
      </c>
      <c r="D24" s="5">
        <v>4</v>
      </c>
      <c r="E24" s="30" t="s">
        <v>138</v>
      </c>
      <c r="F24" s="6" t="s">
        <v>139</v>
      </c>
      <c r="G24" s="101"/>
      <c r="H24" s="101"/>
      <c r="I24" s="101"/>
      <c r="J24" s="101">
        <f>8667.45-8667.45+2166.67-5466.67+38634.14-34974.64+2900-1815+6128.16-2712.44</f>
        <v>4860.2199999999993</v>
      </c>
    </row>
    <row r="25" spans="1:11" x14ac:dyDescent="0.3">
      <c r="A25" s="29" t="s">
        <v>140</v>
      </c>
      <c r="B25" s="5">
        <v>12</v>
      </c>
      <c r="D25" s="5">
        <v>4</v>
      </c>
      <c r="E25" s="30" t="s">
        <v>141</v>
      </c>
      <c r="F25" s="6" t="s">
        <v>142</v>
      </c>
      <c r="G25" s="101"/>
      <c r="H25" s="101"/>
      <c r="I25" s="101"/>
      <c r="J25" s="101">
        <f>8065.3-3851.9-8915.3+850+3851.9</f>
        <v>0</v>
      </c>
    </row>
    <row r="26" spans="1:11" x14ac:dyDescent="0.3">
      <c r="A26" s="29" t="s">
        <v>143</v>
      </c>
      <c r="B26" s="5">
        <v>12</v>
      </c>
      <c r="D26" s="5">
        <v>4</v>
      </c>
      <c r="E26" s="30" t="s">
        <v>144</v>
      </c>
      <c r="F26" s="6" t="s">
        <v>145</v>
      </c>
      <c r="G26" s="101"/>
      <c r="H26" s="101"/>
      <c r="I26" s="101"/>
      <c r="J26" s="101">
        <f>13150-5056.25+1250-22376.72+21887.02+53213.21-49505.71+5181.46-5181.46</f>
        <v>12561.549999999996</v>
      </c>
    </row>
    <row r="27" spans="1:11" x14ac:dyDescent="0.3">
      <c r="A27" s="29" t="s">
        <v>146</v>
      </c>
      <c r="B27" s="5">
        <v>12</v>
      </c>
      <c r="D27" s="5">
        <v>4</v>
      </c>
      <c r="E27" s="30" t="s">
        <v>147</v>
      </c>
      <c r="F27" s="6" t="s">
        <v>148</v>
      </c>
      <c r="G27" s="101">
        <v>0</v>
      </c>
      <c r="H27" s="101">
        <v>0</v>
      </c>
      <c r="I27" s="101">
        <v>0</v>
      </c>
      <c r="J27" s="101">
        <v>0</v>
      </c>
    </row>
    <row r="28" spans="1:11" x14ac:dyDescent="0.3">
      <c r="A28" s="31" t="s">
        <v>149</v>
      </c>
      <c r="B28" s="5">
        <v>60</v>
      </c>
      <c r="D28" s="5">
        <v>4</v>
      </c>
      <c r="E28" s="33" t="s">
        <v>150</v>
      </c>
      <c r="F28" s="6" t="s">
        <v>151</v>
      </c>
      <c r="G28" s="26">
        <f t="shared" ref="G28:H28" si="6">+IF(G$4="","",SUM(G23:G27))</f>
        <v>0</v>
      </c>
      <c r="H28" s="26">
        <f t="shared" si="6"/>
        <v>0</v>
      </c>
      <c r="I28" s="26">
        <f>+IF(I$4="","",SUM(I23:I27))</f>
        <v>0</v>
      </c>
      <c r="J28" s="26">
        <f t="shared" ref="J28" si="7">+IF(J$4="","",SUM(J23:J27))</f>
        <v>17421.769999999997</v>
      </c>
    </row>
    <row r="29" spans="1:11" ht="18" customHeight="1" x14ac:dyDescent="0.3">
      <c r="A29" s="27" t="s">
        <v>152</v>
      </c>
      <c r="D29" s="5">
        <v>3</v>
      </c>
      <c r="E29" s="27" t="s">
        <v>153</v>
      </c>
      <c r="F29" s="6" t="s">
        <v>154</v>
      </c>
      <c r="G29" s="28" t="s">
        <v>86</v>
      </c>
      <c r="H29" s="28" t="s">
        <v>86</v>
      </c>
      <c r="I29" s="28" t="s">
        <v>86</v>
      </c>
      <c r="J29" s="28" t="s">
        <v>86</v>
      </c>
    </row>
    <row r="30" spans="1:11" ht="12.75" customHeight="1" x14ac:dyDescent="0.3">
      <c r="A30" s="29" t="s">
        <v>155</v>
      </c>
      <c r="D30" s="5">
        <v>4</v>
      </c>
      <c r="E30" s="30" t="s">
        <v>156</v>
      </c>
      <c r="F30" s="6" t="s">
        <v>157</v>
      </c>
      <c r="G30" s="28" t="s">
        <v>86</v>
      </c>
      <c r="H30" s="28" t="s">
        <v>86</v>
      </c>
      <c r="I30" s="28" t="s">
        <v>86</v>
      </c>
      <c r="J30" s="28" t="s">
        <v>86</v>
      </c>
    </row>
    <row r="31" spans="1:11" x14ac:dyDescent="0.3">
      <c r="A31" s="34" t="s">
        <v>158</v>
      </c>
      <c r="B31" s="5">
        <v>1</v>
      </c>
      <c r="D31" s="5">
        <v>5</v>
      </c>
      <c r="E31" s="35" t="s">
        <v>159</v>
      </c>
      <c r="F31" s="6" t="s">
        <v>160</v>
      </c>
      <c r="G31" s="101">
        <v>0</v>
      </c>
      <c r="H31" s="101">
        <v>0</v>
      </c>
      <c r="I31" s="101">
        <v>0</v>
      </c>
      <c r="J31" s="101">
        <v>0</v>
      </c>
    </row>
    <row r="32" spans="1:11" x14ac:dyDescent="0.3">
      <c r="A32" s="34" t="s">
        <v>161</v>
      </c>
      <c r="B32" s="5">
        <v>1</v>
      </c>
      <c r="D32" s="5">
        <v>5</v>
      </c>
      <c r="E32" s="35" t="s">
        <v>162</v>
      </c>
      <c r="F32" s="6" t="s">
        <v>163</v>
      </c>
      <c r="G32" s="101">
        <v>0</v>
      </c>
      <c r="H32" s="101">
        <v>0</v>
      </c>
      <c r="I32" s="101">
        <v>0</v>
      </c>
      <c r="J32" s="101">
        <v>0</v>
      </c>
    </row>
    <row r="33" spans="1:10" x14ac:dyDescent="0.3">
      <c r="A33" s="34" t="s">
        <v>164</v>
      </c>
      <c r="B33" s="5">
        <v>1</v>
      </c>
      <c r="D33" s="5">
        <v>5</v>
      </c>
      <c r="E33" s="35" t="s">
        <v>165</v>
      </c>
      <c r="F33" s="6" t="s">
        <v>166</v>
      </c>
      <c r="G33" s="101">
        <v>0</v>
      </c>
      <c r="H33" s="101">
        <v>0</v>
      </c>
      <c r="I33" s="101">
        <v>0</v>
      </c>
      <c r="J33" s="101">
        <v>0</v>
      </c>
    </row>
    <row r="34" spans="1:10" x14ac:dyDescent="0.3">
      <c r="A34" s="34" t="s">
        <v>167</v>
      </c>
      <c r="E34" s="35"/>
      <c r="G34" s="101">
        <v>0</v>
      </c>
      <c r="H34" s="101">
        <v>0</v>
      </c>
      <c r="I34" s="101">
        <v>0</v>
      </c>
      <c r="J34" s="101">
        <v>0</v>
      </c>
    </row>
    <row r="35" spans="1:10" x14ac:dyDescent="0.3">
      <c r="A35" s="72" t="s">
        <v>168</v>
      </c>
      <c r="B35" s="5">
        <v>1</v>
      </c>
      <c r="D35" s="5">
        <v>5</v>
      </c>
      <c r="E35" s="35" t="s">
        <v>169</v>
      </c>
      <c r="F35" s="6" t="s">
        <v>170</v>
      </c>
      <c r="G35" s="101"/>
      <c r="H35" s="101"/>
      <c r="I35" s="101"/>
      <c r="J35" s="101">
        <v>27750</v>
      </c>
    </row>
    <row r="36" spans="1:10" x14ac:dyDescent="0.3">
      <c r="A36" s="31" t="s">
        <v>171</v>
      </c>
      <c r="B36" s="5">
        <v>4</v>
      </c>
      <c r="D36" s="5">
        <v>5</v>
      </c>
      <c r="E36" s="35" t="s">
        <v>172</v>
      </c>
      <c r="F36" s="6" t="s">
        <v>173</v>
      </c>
      <c r="G36" s="26">
        <f t="shared" ref="G36:H36" si="8">+IF(G$4="","",SUM(G31:G35))</f>
        <v>0</v>
      </c>
      <c r="H36" s="26">
        <f t="shared" si="8"/>
        <v>0</v>
      </c>
      <c r="I36" s="26">
        <f>+IF(I$4="","",SUM(I31:I35))</f>
        <v>0</v>
      </c>
      <c r="J36" s="26">
        <f t="shared" ref="J36" si="9">+IF(J$4="","",SUM(J31:J35))</f>
        <v>27750</v>
      </c>
    </row>
    <row r="37" spans="1:10" ht="18" customHeight="1" x14ac:dyDescent="0.3">
      <c r="A37" s="29" t="s">
        <v>174</v>
      </c>
      <c r="D37" s="5">
        <v>4</v>
      </c>
      <c r="E37" s="30" t="s">
        <v>175</v>
      </c>
      <c r="F37" s="6" t="s">
        <v>176</v>
      </c>
      <c r="G37" s="28" t="s">
        <v>86</v>
      </c>
      <c r="H37" s="28" t="s">
        <v>86</v>
      </c>
      <c r="I37" s="28" t="s">
        <v>86</v>
      </c>
      <c r="J37" s="28" t="s">
        <v>86</v>
      </c>
    </row>
    <row r="38" spans="1:10" x14ac:dyDescent="0.3">
      <c r="A38" s="34" t="s">
        <v>177</v>
      </c>
      <c r="D38" s="5">
        <v>5</v>
      </c>
      <c r="E38" s="35" t="s">
        <v>159</v>
      </c>
      <c r="F38" s="6" t="s">
        <v>178</v>
      </c>
      <c r="G38" s="28" t="s">
        <v>86</v>
      </c>
      <c r="H38" s="28" t="s">
        <v>86</v>
      </c>
      <c r="I38" s="28" t="s">
        <v>86</v>
      </c>
      <c r="J38" s="28" t="s">
        <v>86</v>
      </c>
    </row>
    <row r="39" spans="1:10" x14ac:dyDescent="0.3">
      <c r="A39" s="36" t="s">
        <v>179</v>
      </c>
      <c r="B39" s="5">
        <v>1</v>
      </c>
      <c r="D39" s="5">
        <v>6</v>
      </c>
      <c r="E39" s="37" t="s">
        <v>180</v>
      </c>
      <c r="F39" s="6" t="s">
        <v>181</v>
      </c>
      <c r="G39" s="101">
        <v>0</v>
      </c>
      <c r="H39" s="101">
        <v>0</v>
      </c>
      <c r="I39" s="101">
        <v>0</v>
      </c>
      <c r="J39" s="101">
        <v>0</v>
      </c>
    </row>
    <row r="40" spans="1:10" x14ac:dyDescent="0.3">
      <c r="A40" s="36" t="s">
        <v>182</v>
      </c>
      <c r="B40" s="5">
        <v>1</v>
      </c>
      <c r="D40" s="5">
        <v>6</v>
      </c>
      <c r="E40" s="37" t="s">
        <v>183</v>
      </c>
      <c r="F40" s="6" t="s">
        <v>184</v>
      </c>
      <c r="G40" s="101">
        <v>0</v>
      </c>
      <c r="H40" s="101">
        <v>0</v>
      </c>
      <c r="I40" s="101">
        <v>0</v>
      </c>
      <c r="J40" s="101">
        <v>0</v>
      </c>
    </row>
    <row r="41" spans="1:10" x14ac:dyDescent="0.3">
      <c r="A41" s="31" t="s">
        <v>185</v>
      </c>
      <c r="B41" s="5">
        <v>2</v>
      </c>
      <c r="D41" s="5">
        <v>6</v>
      </c>
      <c r="E41" s="37" t="s">
        <v>186</v>
      </c>
      <c r="F41" s="6" t="s">
        <v>187</v>
      </c>
      <c r="G41" s="26">
        <f t="shared" ref="G41:H41" si="10">+IF(G$4="","",SUM(G39:G40))</f>
        <v>0</v>
      </c>
      <c r="H41" s="26">
        <f t="shared" si="10"/>
        <v>0</v>
      </c>
      <c r="I41" s="26">
        <f>+IF(I$4="","",SUM(I39:I40))</f>
        <v>0</v>
      </c>
      <c r="J41" s="26">
        <f t="shared" ref="J41" si="11">+IF(J$4="","",SUM(J39:J40))</f>
        <v>0</v>
      </c>
    </row>
    <row r="42" spans="1:10" x14ac:dyDescent="0.3">
      <c r="A42" s="34" t="s">
        <v>188</v>
      </c>
      <c r="D42" s="5">
        <v>5</v>
      </c>
      <c r="E42" s="35" t="s">
        <v>162</v>
      </c>
      <c r="F42" s="6" t="s">
        <v>189</v>
      </c>
      <c r="G42" s="28" t="s">
        <v>86</v>
      </c>
      <c r="H42" s="28" t="s">
        <v>86</v>
      </c>
      <c r="I42" s="28" t="s">
        <v>86</v>
      </c>
      <c r="J42" s="28" t="s">
        <v>86</v>
      </c>
    </row>
    <row r="43" spans="1:10" x14ac:dyDescent="0.3">
      <c r="A43" s="36" t="s">
        <v>179</v>
      </c>
      <c r="B43" s="5">
        <v>1</v>
      </c>
      <c r="D43" s="5">
        <v>6</v>
      </c>
      <c r="E43" s="37" t="s">
        <v>180</v>
      </c>
      <c r="F43" s="6" t="s">
        <v>190</v>
      </c>
      <c r="G43" s="101">
        <v>0</v>
      </c>
      <c r="H43" s="101">
        <v>0</v>
      </c>
      <c r="I43" s="101">
        <v>0</v>
      </c>
      <c r="J43" s="101">
        <v>0</v>
      </c>
    </row>
    <row r="44" spans="1:10" x14ac:dyDescent="0.3">
      <c r="A44" s="36" t="s">
        <v>182</v>
      </c>
      <c r="B44" s="5">
        <v>1</v>
      </c>
      <c r="D44" s="5">
        <v>6</v>
      </c>
      <c r="E44" s="37" t="s">
        <v>183</v>
      </c>
      <c r="F44" s="6" t="s">
        <v>191</v>
      </c>
      <c r="G44" s="101">
        <v>0</v>
      </c>
      <c r="H44" s="101">
        <v>0</v>
      </c>
      <c r="I44" s="101">
        <v>0</v>
      </c>
      <c r="J44" s="101">
        <v>0</v>
      </c>
    </row>
    <row r="45" spans="1:10" x14ac:dyDescent="0.3">
      <c r="A45" s="31" t="s">
        <v>192</v>
      </c>
      <c r="B45" s="5">
        <v>2</v>
      </c>
      <c r="D45" s="5">
        <v>6</v>
      </c>
      <c r="E45" s="37" t="s">
        <v>193</v>
      </c>
      <c r="F45" s="6" t="s">
        <v>194</v>
      </c>
      <c r="G45" s="26">
        <f t="shared" ref="G45:H45" si="12">+IF(G$4="","",SUM(G43:G44))</f>
        <v>0</v>
      </c>
      <c r="H45" s="26">
        <f t="shared" si="12"/>
        <v>0</v>
      </c>
      <c r="I45" s="26">
        <f>+IF(I$4="","",SUM(I43:I44))</f>
        <v>0</v>
      </c>
      <c r="J45" s="26">
        <f t="shared" ref="J45" si="13">+IF(J$4="","",SUM(J43:J44))</f>
        <v>0</v>
      </c>
    </row>
    <row r="46" spans="1:10" x14ac:dyDescent="0.3">
      <c r="A46" s="34" t="s">
        <v>195</v>
      </c>
      <c r="D46" s="5">
        <v>5</v>
      </c>
      <c r="E46" s="35" t="s">
        <v>165</v>
      </c>
      <c r="F46" s="6" t="s">
        <v>196</v>
      </c>
      <c r="G46" s="28" t="s">
        <v>86</v>
      </c>
      <c r="H46" s="28" t="s">
        <v>86</v>
      </c>
      <c r="I46" s="28" t="s">
        <v>86</v>
      </c>
      <c r="J46" s="28" t="s">
        <v>86</v>
      </c>
    </row>
    <row r="47" spans="1:10" x14ac:dyDescent="0.3">
      <c r="A47" s="36" t="s">
        <v>179</v>
      </c>
      <c r="B47" s="5">
        <v>1</v>
      </c>
      <c r="D47" s="5">
        <v>6</v>
      </c>
      <c r="E47" s="37" t="s">
        <v>180</v>
      </c>
      <c r="F47" s="6" t="s">
        <v>197</v>
      </c>
      <c r="G47" s="101">
        <v>0</v>
      </c>
      <c r="H47" s="101">
        <v>0</v>
      </c>
      <c r="I47" s="101">
        <v>0</v>
      </c>
      <c r="J47" s="101">
        <v>0</v>
      </c>
    </row>
    <row r="48" spans="1:10" x14ac:dyDescent="0.3">
      <c r="A48" s="36" t="s">
        <v>182</v>
      </c>
      <c r="B48" s="5">
        <v>1</v>
      </c>
      <c r="D48" s="5">
        <v>6</v>
      </c>
      <c r="E48" s="37" t="s">
        <v>183</v>
      </c>
      <c r="F48" s="6" t="s">
        <v>198</v>
      </c>
      <c r="G48" s="101">
        <v>0</v>
      </c>
      <c r="H48" s="101">
        <v>0</v>
      </c>
      <c r="I48" s="101">
        <v>0</v>
      </c>
      <c r="J48" s="101">
        <v>0</v>
      </c>
    </row>
    <row r="49" spans="1:10" x14ac:dyDescent="0.3">
      <c r="A49" s="31" t="s">
        <v>199</v>
      </c>
      <c r="B49" s="5">
        <v>2</v>
      </c>
      <c r="D49" s="5">
        <v>6</v>
      </c>
      <c r="E49" s="37" t="s">
        <v>200</v>
      </c>
      <c r="F49" s="6" t="s">
        <v>201</v>
      </c>
      <c r="G49" s="26">
        <f t="shared" ref="G49:H49" si="14">+IF(G$4="","",SUM(G47:G48))</f>
        <v>0</v>
      </c>
      <c r="H49" s="26">
        <f t="shared" si="14"/>
        <v>0</v>
      </c>
      <c r="I49" s="26">
        <f>+IF(I$4="","",SUM(I47:I48))</f>
        <v>0</v>
      </c>
      <c r="J49" s="26">
        <f t="shared" ref="J49" si="15">+IF(J$4="","",SUM(J47:J48))</f>
        <v>0</v>
      </c>
    </row>
    <row r="50" spans="1:10" x14ac:dyDescent="0.3">
      <c r="A50" s="34" t="s">
        <v>167</v>
      </c>
      <c r="D50" s="5">
        <v>5</v>
      </c>
      <c r="E50" s="35" t="s">
        <v>169</v>
      </c>
      <c r="F50" s="6" t="s">
        <v>202</v>
      </c>
      <c r="G50" s="28" t="s">
        <v>86</v>
      </c>
      <c r="H50" s="28" t="s">
        <v>86</v>
      </c>
      <c r="I50" s="28" t="s">
        <v>86</v>
      </c>
      <c r="J50" s="28" t="s">
        <v>86</v>
      </c>
    </row>
    <row r="51" spans="1:10" x14ac:dyDescent="0.3">
      <c r="A51" s="36" t="s">
        <v>179</v>
      </c>
      <c r="B51" s="5">
        <v>1</v>
      </c>
      <c r="D51" s="5">
        <v>6</v>
      </c>
      <c r="E51" s="37" t="s">
        <v>180</v>
      </c>
      <c r="F51" s="6" t="s">
        <v>203</v>
      </c>
      <c r="G51" s="101">
        <v>0</v>
      </c>
      <c r="H51" s="101">
        <v>0</v>
      </c>
      <c r="I51" s="101">
        <v>0</v>
      </c>
      <c r="J51" s="101">
        <v>0</v>
      </c>
    </row>
    <row r="52" spans="1:10" x14ac:dyDescent="0.3">
      <c r="A52" s="36" t="s">
        <v>182</v>
      </c>
      <c r="B52" s="5">
        <v>1</v>
      </c>
      <c r="D52" s="5">
        <v>6</v>
      </c>
      <c r="E52" s="37" t="s">
        <v>183</v>
      </c>
      <c r="F52" s="6" t="s">
        <v>204</v>
      </c>
      <c r="G52" s="101">
        <v>0</v>
      </c>
      <c r="H52" s="101">
        <v>0</v>
      </c>
      <c r="I52" s="101">
        <v>0</v>
      </c>
      <c r="J52" s="101">
        <v>0</v>
      </c>
    </row>
    <row r="53" spans="1:10" x14ac:dyDescent="0.3">
      <c r="A53" s="73" t="s">
        <v>205</v>
      </c>
      <c r="B53" s="5">
        <v>2</v>
      </c>
      <c r="D53" s="5">
        <v>6</v>
      </c>
      <c r="E53" s="37" t="s">
        <v>206</v>
      </c>
      <c r="F53" s="6" t="s">
        <v>207</v>
      </c>
      <c r="G53" s="26">
        <f t="shared" ref="G53:H53" si="16">+IF(G$4="","",SUM(G51:G52))</f>
        <v>0</v>
      </c>
      <c r="H53" s="26">
        <f t="shared" si="16"/>
        <v>0</v>
      </c>
      <c r="I53" s="26">
        <f t="shared" ref="I53:J53" si="17">+IF(I$4="","",SUM(I51:I52))</f>
        <v>0</v>
      </c>
      <c r="J53" s="26">
        <f t="shared" si="17"/>
        <v>0</v>
      </c>
    </row>
    <row r="54" spans="1:10" x14ac:dyDescent="0.3">
      <c r="A54" s="34" t="s">
        <v>208</v>
      </c>
      <c r="E54" s="37"/>
      <c r="G54" s="26"/>
      <c r="H54" s="26"/>
      <c r="I54" s="26"/>
      <c r="J54" s="26"/>
    </row>
    <row r="55" spans="1:10" x14ac:dyDescent="0.3">
      <c r="A55" s="36" t="s">
        <v>179</v>
      </c>
      <c r="B55" s="5">
        <v>1</v>
      </c>
      <c r="D55" s="5">
        <v>6</v>
      </c>
      <c r="E55" s="37" t="s">
        <v>180</v>
      </c>
      <c r="F55" s="6" t="s">
        <v>203</v>
      </c>
      <c r="G55" s="101">
        <v>0</v>
      </c>
      <c r="H55" s="101">
        <v>0</v>
      </c>
      <c r="I55" s="101">
        <v>0</v>
      </c>
      <c r="J55" s="101">
        <v>0</v>
      </c>
    </row>
    <row r="56" spans="1:10" x14ac:dyDescent="0.3">
      <c r="A56" s="36" t="s">
        <v>182</v>
      </c>
      <c r="B56" s="5">
        <v>1</v>
      </c>
      <c r="D56" s="5">
        <v>6</v>
      </c>
      <c r="E56" s="37" t="s">
        <v>183</v>
      </c>
      <c r="F56" s="6" t="s">
        <v>204</v>
      </c>
      <c r="G56" s="101">
        <v>0</v>
      </c>
      <c r="H56" s="101">
        <v>0</v>
      </c>
      <c r="I56" s="101">
        <v>0</v>
      </c>
      <c r="J56" s="101">
        <v>0</v>
      </c>
    </row>
    <row r="57" spans="1:10" x14ac:dyDescent="0.3">
      <c r="A57" s="73" t="s">
        <v>209</v>
      </c>
      <c r="B57" s="5">
        <v>2</v>
      </c>
      <c r="D57" s="5">
        <v>6</v>
      </c>
      <c r="E57" s="37" t="s">
        <v>206</v>
      </c>
      <c r="F57" s="6" t="s">
        <v>207</v>
      </c>
      <c r="G57" s="26">
        <f t="shared" ref="G57:H57" si="18">+IF(G$4="","",SUM(G55:G56))</f>
        <v>0</v>
      </c>
      <c r="H57" s="26">
        <f t="shared" si="18"/>
        <v>0</v>
      </c>
      <c r="I57" s="26">
        <f t="shared" ref="I57:J57" si="19">+IF(I$4="","",SUM(I55:I56))</f>
        <v>0</v>
      </c>
      <c r="J57" s="26">
        <f t="shared" si="19"/>
        <v>0</v>
      </c>
    </row>
    <row r="58" spans="1:10" x14ac:dyDescent="0.3">
      <c r="A58" s="31" t="s">
        <v>210</v>
      </c>
      <c r="B58" s="5">
        <v>8</v>
      </c>
      <c r="D58" s="5">
        <v>5</v>
      </c>
      <c r="E58" s="35" t="s">
        <v>211</v>
      </c>
      <c r="F58" s="6" t="s">
        <v>212</v>
      </c>
      <c r="G58" s="38">
        <f t="shared" ref="G58:I58" si="20">+IF(G4="","",(+G53+G49+G45+G41+G57))</f>
        <v>0</v>
      </c>
      <c r="H58" s="38">
        <f t="shared" si="20"/>
        <v>0</v>
      </c>
      <c r="I58" s="38">
        <f t="shared" si="20"/>
        <v>0</v>
      </c>
      <c r="J58" s="38">
        <f t="shared" ref="J58" si="21">+IF(J4="","",(+J53+J49+J45+J41+J57))</f>
        <v>0</v>
      </c>
    </row>
    <row r="59" spans="1:10" ht="18" customHeight="1" x14ac:dyDescent="0.3">
      <c r="A59" s="29" t="s">
        <v>213</v>
      </c>
      <c r="B59" s="5">
        <v>12</v>
      </c>
      <c r="D59" s="5">
        <v>4</v>
      </c>
      <c r="E59" s="30" t="s">
        <v>214</v>
      </c>
      <c r="F59" s="6" t="s">
        <v>215</v>
      </c>
      <c r="G59" s="101">
        <v>0</v>
      </c>
      <c r="H59" s="101">
        <v>0</v>
      </c>
      <c r="I59" s="101">
        <v>0</v>
      </c>
      <c r="J59" s="101">
        <v>0</v>
      </c>
    </row>
    <row r="60" spans="1:10" ht="18" customHeight="1" x14ac:dyDescent="0.3">
      <c r="A60" s="29" t="s">
        <v>216</v>
      </c>
      <c r="B60" s="5">
        <v>25</v>
      </c>
      <c r="D60" s="5">
        <v>4</v>
      </c>
      <c r="E60" s="30" t="s">
        <v>217</v>
      </c>
      <c r="F60" s="6" t="s">
        <v>218</v>
      </c>
      <c r="G60" s="101">
        <v>0</v>
      </c>
      <c r="H60" s="101">
        <v>0</v>
      </c>
      <c r="I60" s="101">
        <v>0</v>
      </c>
      <c r="J60" s="101">
        <v>0</v>
      </c>
    </row>
    <row r="61" spans="1:10" x14ac:dyDescent="0.3">
      <c r="A61" s="31" t="s">
        <v>219</v>
      </c>
      <c r="B61" s="5">
        <v>49</v>
      </c>
      <c r="D61" s="5">
        <v>4</v>
      </c>
      <c r="E61" s="33" t="s">
        <v>220</v>
      </c>
      <c r="F61" s="6" t="s">
        <v>221</v>
      </c>
      <c r="G61" s="26">
        <f t="shared" ref="G61:H61" si="22">+IF(G$4="","",G60+G59+G58+G36)</f>
        <v>0</v>
      </c>
      <c r="H61" s="26">
        <f t="shared" si="22"/>
        <v>0</v>
      </c>
      <c r="I61" s="26">
        <f t="shared" ref="I61:J61" si="23">+IF(I$4="","",I60+I59+I58+I36)</f>
        <v>0</v>
      </c>
      <c r="J61" s="26">
        <f t="shared" si="23"/>
        <v>27750</v>
      </c>
    </row>
    <row r="62" spans="1:10" x14ac:dyDescent="0.3">
      <c r="A62" s="24" t="s">
        <v>222</v>
      </c>
      <c r="B62" s="5">
        <v>144</v>
      </c>
      <c r="D62" s="5">
        <v>3</v>
      </c>
      <c r="E62" s="25" t="s">
        <v>223</v>
      </c>
      <c r="F62" s="6" t="s">
        <v>224</v>
      </c>
      <c r="G62" s="26">
        <f t="shared" ref="G62:H62" si="24">+G61+G28+G21</f>
        <v>0</v>
      </c>
      <c r="H62" s="26">
        <f t="shared" si="24"/>
        <v>0</v>
      </c>
      <c r="I62" s="26">
        <f t="shared" ref="I62:J62" si="25">+I61+I28+I21</f>
        <v>0</v>
      </c>
      <c r="J62" s="26">
        <f t="shared" si="25"/>
        <v>238262.91</v>
      </c>
    </row>
    <row r="63" spans="1:10" ht="18" customHeight="1" x14ac:dyDescent="0.3">
      <c r="A63" s="20" t="s">
        <v>225</v>
      </c>
      <c r="D63" s="5">
        <v>2</v>
      </c>
      <c r="E63" s="21" t="s">
        <v>226</v>
      </c>
      <c r="F63" s="6" t="s">
        <v>227</v>
      </c>
      <c r="G63" s="28" t="s">
        <v>86</v>
      </c>
      <c r="H63" s="28" t="s">
        <v>86</v>
      </c>
      <c r="I63" s="28" t="s">
        <v>86</v>
      </c>
      <c r="J63" s="28" t="s">
        <v>86</v>
      </c>
    </row>
    <row r="64" spans="1:10" ht="18" customHeight="1" x14ac:dyDescent="0.3">
      <c r="A64" s="27" t="s">
        <v>228</v>
      </c>
      <c r="D64" s="5">
        <v>3</v>
      </c>
      <c r="E64" s="27" t="s">
        <v>229</v>
      </c>
      <c r="F64" s="6" t="s">
        <v>230</v>
      </c>
      <c r="G64" s="28" t="s">
        <v>86</v>
      </c>
      <c r="H64" s="28" t="s">
        <v>86</v>
      </c>
      <c r="I64" s="28" t="s">
        <v>86</v>
      </c>
      <c r="J64" s="28" t="s">
        <v>86</v>
      </c>
    </row>
    <row r="65" spans="1:12" x14ac:dyDescent="0.3">
      <c r="A65" s="29" t="s">
        <v>231</v>
      </c>
      <c r="B65" s="5">
        <v>8</v>
      </c>
      <c r="D65" s="5">
        <v>4</v>
      </c>
      <c r="E65" s="30" t="s">
        <v>232</v>
      </c>
      <c r="F65" s="6" t="s">
        <v>233</v>
      </c>
      <c r="G65" s="101">
        <v>0</v>
      </c>
      <c r="H65" s="101">
        <v>0</v>
      </c>
      <c r="I65" s="101">
        <v>0</v>
      </c>
      <c r="J65" s="101">
        <v>0</v>
      </c>
    </row>
    <row r="66" spans="1:12" x14ac:dyDescent="0.3">
      <c r="A66" s="29" t="s">
        <v>234</v>
      </c>
      <c r="B66" s="5">
        <v>8</v>
      </c>
      <c r="D66" s="5">
        <v>4</v>
      </c>
      <c r="E66" s="30" t="s">
        <v>235</v>
      </c>
      <c r="F66" s="6" t="s">
        <v>236</v>
      </c>
      <c r="G66" s="101">
        <v>0</v>
      </c>
      <c r="H66" s="101">
        <v>0</v>
      </c>
      <c r="I66" s="101">
        <v>0</v>
      </c>
      <c r="J66" s="101">
        <v>0</v>
      </c>
    </row>
    <row r="67" spans="1:12" x14ac:dyDescent="0.3">
      <c r="A67" s="29" t="s">
        <v>237</v>
      </c>
      <c r="B67" s="5">
        <v>8</v>
      </c>
      <c r="D67" s="5">
        <v>4</v>
      </c>
      <c r="E67" s="30" t="s">
        <v>238</v>
      </c>
      <c r="F67" s="6" t="s">
        <v>239</v>
      </c>
      <c r="G67" s="101">
        <v>0</v>
      </c>
      <c r="H67" s="101">
        <v>0</v>
      </c>
      <c r="I67" s="101">
        <v>0</v>
      </c>
      <c r="J67" s="101">
        <v>0</v>
      </c>
    </row>
    <row r="68" spans="1:12" x14ac:dyDescent="0.3">
      <c r="A68" s="29" t="s">
        <v>240</v>
      </c>
      <c r="B68" s="5">
        <v>8</v>
      </c>
      <c r="D68" s="5">
        <v>4</v>
      </c>
      <c r="E68" s="30" t="s">
        <v>241</v>
      </c>
      <c r="F68" s="6" t="s">
        <v>242</v>
      </c>
      <c r="G68" s="101"/>
      <c r="H68" s="101"/>
      <c r="I68" s="101">
        <v>126617</v>
      </c>
      <c r="J68" s="101">
        <v>128977</v>
      </c>
      <c r="K68" s="145"/>
      <c r="L68" s="145"/>
    </row>
    <row r="69" spans="1:12" x14ac:dyDescent="0.3">
      <c r="A69" s="29" t="s">
        <v>243</v>
      </c>
      <c r="B69" s="5">
        <v>8</v>
      </c>
      <c r="D69" s="5">
        <v>4</v>
      </c>
      <c r="E69" s="30" t="s">
        <v>244</v>
      </c>
      <c r="F69" s="6" t="s">
        <v>245</v>
      </c>
      <c r="G69" s="101">
        <v>0</v>
      </c>
      <c r="H69" s="101">
        <v>0</v>
      </c>
      <c r="I69" s="101">
        <v>0</v>
      </c>
      <c r="J69" s="101">
        <v>0</v>
      </c>
    </row>
    <row r="70" spans="1:12" x14ac:dyDescent="0.3">
      <c r="A70" s="31" t="s">
        <v>246</v>
      </c>
      <c r="B70" s="5">
        <v>40</v>
      </c>
      <c r="D70" s="5">
        <v>4</v>
      </c>
      <c r="E70" s="33" t="s">
        <v>247</v>
      </c>
      <c r="F70" s="6" t="s">
        <v>248</v>
      </c>
      <c r="G70" s="26">
        <f t="shared" ref="G70:H70" si="26">SUM(G65:G69)</f>
        <v>0</v>
      </c>
      <c r="H70" s="26">
        <f t="shared" si="26"/>
        <v>0</v>
      </c>
      <c r="I70" s="26">
        <f>SUM(I65:I69)</f>
        <v>126617</v>
      </c>
      <c r="J70" s="26">
        <f>SUM(J65:J69)</f>
        <v>128977</v>
      </c>
    </row>
    <row r="71" spans="1:12" ht="18" customHeight="1" x14ac:dyDescent="0.3">
      <c r="A71" s="27" t="s">
        <v>249</v>
      </c>
      <c r="D71" s="5">
        <v>3</v>
      </c>
      <c r="E71" s="27" t="s">
        <v>250</v>
      </c>
      <c r="F71" s="6" t="s">
        <v>251</v>
      </c>
      <c r="G71" s="28" t="s">
        <v>86</v>
      </c>
      <c r="H71" s="28" t="s">
        <v>86</v>
      </c>
      <c r="I71" s="28" t="s">
        <v>86</v>
      </c>
      <c r="J71" s="28" t="s">
        <v>86</v>
      </c>
    </row>
    <row r="72" spans="1:12" ht="18" customHeight="1" x14ac:dyDescent="0.3">
      <c r="A72" s="29" t="s">
        <v>252</v>
      </c>
      <c r="D72" s="5">
        <v>4</v>
      </c>
      <c r="E72" s="30" t="s">
        <v>253</v>
      </c>
      <c r="F72" s="6" t="s">
        <v>254</v>
      </c>
      <c r="G72" s="28"/>
      <c r="H72" s="28"/>
      <c r="I72" s="28"/>
      <c r="J72" s="28" t="s">
        <v>86</v>
      </c>
    </row>
    <row r="73" spans="1:12" x14ac:dyDescent="0.3">
      <c r="A73" s="39" t="s">
        <v>179</v>
      </c>
      <c r="B73" s="5">
        <v>2</v>
      </c>
      <c r="D73" s="5">
        <v>5</v>
      </c>
      <c r="E73" s="35" t="s">
        <v>180</v>
      </c>
      <c r="F73" s="6" t="s">
        <v>255</v>
      </c>
      <c r="G73" s="101"/>
      <c r="H73" s="101"/>
      <c r="I73" s="101"/>
      <c r="J73" s="101">
        <f>28756.86+1800</f>
        <v>30556.86</v>
      </c>
    </row>
    <row r="74" spans="1:12" x14ac:dyDescent="0.3">
      <c r="A74" s="39" t="s">
        <v>182</v>
      </c>
      <c r="B74" s="5">
        <v>3</v>
      </c>
      <c r="D74" s="5">
        <v>5</v>
      </c>
      <c r="E74" s="35" t="s">
        <v>183</v>
      </c>
      <c r="F74" s="6" t="s">
        <v>256</v>
      </c>
      <c r="G74" s="101">
        <v>0</v>
      </c>
      <c r="H74" s="101">
        <v>0</v>
      </c>
      <c r="I74" s="101">
        <v>0</v>
      </c>
      <c r="J74" s="101">
        <v>0</v>
      </c>
      <c r="K74" s="45"/>
    </row>
    <row r="75" spans="1:12" x14ac:dyDescent="0.3">
      <c r="A75" s="31" t="s">
        <v>257</v>
      </c>
      <c r="B75" s="5">
        <v>5</v>
      </c>
      <c r="D75" s="5">
        <v>5</v>
      </c>
      <c r="E75" s="35" t="s">
        <v>258</v>
      </c>
      <c r="F75" s="6" t="s">
        <v>259</v>
      </c>
      <c r="G75" s="26">
        <f t="shared" ref="G75:H75" si="27">SUM(G73:G74)</f>
        <v>0</v>
      </c>
      <c r="H75" s="26">
        <f t="shared" si="27"/>
        <v>0</v>
      </c>
      <c r="I75" s="26">
        <f>SUM(I73:I74)</f>
        <v>0</v>
      </c>
      <c r="J75" s="26">
        <f>SUM(J73:J74)</f>
        <v>30556.86</v>
      </c>
    </row>
    <row r="76" spans="1:12" ht="18" customHeight="1" x14ac:dyDescent="0.3">
      <c r="A76" s="29" t="s">
        <v>260</v>
      </c>
      <c r="D76" s="5">
        <v>4</v>
      </c>
      <c r="E76" s="30" t="s">
        <v>261</v>
      </c>
      <c r="F76" s="6" t="s">
        <v>262</v>
      </c>
      <c r="G76" s="28" t="s">
        <v>86</v>
      </c>
      <c r="H76" s="28" t="s">
        <v>86</v>
      </c>
      <c r="I76" s="28" t="s">
        <v>86</v>
      </c>
      <c r="J76" s="28" t="s">
        <v>86</v>
      </c>
    </row>
    <row r="77" spans="1:12" x14ac:dyDescent="0.3">
      <c r="A77" s="39" t="s">
        <v>179</v>
      </c>
      <c r="B77" s="5">
        <v>2</v>
      </c>
      <c r="D77" s="5">
        <v>5</v>
      </c>
      <c r="E77" s="35" t="s">
        <v>180</v>
      </c>
      <c r="F77" s="6" t="s">
        <v>263</v>
      </c>
      <c r="G77" s="101">
        <v>0</v>
      </c>
      <c r="H77" s="101">
        <v>0</v>
      </c>
      <c r="I77" s="101">
        <v>0</v>
      </c>
      <c r="J77" s="101">
        <v>0</v>
      </c>
    </row>
    <row r="78" spans="1:12" x14ac:dyDescent="0.3">
      <c r="A78" s="39" t="s">
        <v>182</v>
      </c>
      <c r="B78" s="5">
        <v>3</v>
      </c>
      <c r="D78" s="5">
        <v>5</v>
      </c>
      <c r="E78" s="35" t="s">
        <v>183</v>
      </c>
      <c r="F78" s="6" t="s">
        <v>264</v>
      </c>
      <c r="G78" s="101"/>
      <c r="H78" s="101"/>
      <c r="I78" s="101"/>
      <c r="J78" s="101"/>
    </row>
    <row r="79" spans="1:12" x14ac:dyDescent="0.3">
      <c r="A79" s="31" t="s">
        <v>185</v>
      </c>
      <c r="B79" s="5">
        <v>5</v>
      </c>
      <c r="D79" s="5">
        <v>5</v>
      </c>
      <c r="E79" s="35" t="s">
        <v>186</v>
      </c>
      <c r="F79" s="6" t="s">
        <v>265</v>
      </c>
      <c r="G79" s="26">
        <f t="shared" ref="G79:H79" si="28">SUM(G77:G78)</f>
        <v>0</v>
      </c>
      <c r="H79" s="26">
        <f t="shared" si="28"/>
        <v>0</v>
      </c>
      <c r="I79" s="26">
        <f>SUM(I77:I78)</f>
        <v>0</v>
      </c>
      <c r="J79" s="26">
        <f>SUM(J77:J78)</f>
        <v>0</v>
      </c>
    </row>
    <row r="80" spans="1:12" ht="18" customHeight="1" x14ac:dyDescent="0.3">
      <c r="A80" s="29" t="s">
        <v>266</v>
      </c>
      <c r="D80" s="5">
        <v>4</v>
      </c>
      <c r="E80" s="30" t="s">
        <v>267</v>
      </c>
      <c r="F80" s="6" t="s">
        <v>268</v>
      </c>
      <c r="G80" s="28" t="s">
        <v>86</v>
      </c>
      <c r="H80" s="28" t="s">
        <v>86</v>
      </c>
      <c r="I80" s="28" t="s">
        <v>86</v>
      </c>
      <c r="J80" s="28" t="s">
        <v>86</v>
      </c>
    </row>
    <row r="81" spans="1:10" x14ac:dyDescent="0.3">
      <c r="A81" s="39" t="s">
        <v>179</v>
      </c>
      <c r="B81" s="5">
        <v>2</v>
      </c>
      <c r="D81" s="5">
        <v>5</v>
      </c>
      <c r="E81" s="35" t="s">
        <v>180</v>
      </c>
      <c r="F81" s="6" t="s">
        <v>269</v>
      </c>
      <c r="G81" s="101">
        <v>0</v>
      </c>
      <c r="H81" s="101">
        <v>0</v>
      </c>
      <c r="I81" s="101">
        <v>0</v>
      </c>
      <c r="J81" s="101">
        <v>0</v>
      </c>
    </row>
    <row r="82" spans="1:10" x14ac:dyDescent="0.3">
      <c r="A82" s="39" t="s">
        <v>182</v>
      </c>
      <c r="B82" s="5">
        <v>3</v>
      </c>
      <c r="D82" s="5">
        <v>5</v>
      </c>
      <c r="E82" s="35" t="s">
        <v>183</v>
      </c>
      <c r="F82" s="6" t="s">
        <v>270</v>
      </c>
      <c r="G82" s="101">
        <v>0</v>
      </c>
      <c r="H82" s="101">
        <v>0</v>
      </c>
      <c r="I82" s="101">
        <v>0</v>
      </c>
      <c r="J82" s="101">
        <v>0</v>
      </c>
    </row>
    <row r="83" spans="1:10" x14ac:dyDescent="0.3">
      <c r="A83" s="31" t="s">
        <v>192</v>
      </c>
      <c r="B83" s="5">
        <v>5</v>
      </c>
      <c r="D83" s="5">
        <v>5</v>
      </c>
      <c r="E83" s="35" t="s">
        <v>193</v>
      </c>
      <c r="F83" s="6" t="s">
        <v>271</v>
      </c>
      <c r="G83" s="26">
        <f t="shared" ref="G83:H83" si="29">SUM(G81:G82)</f>
        <v>0</v>
      </c>
      <c r="H83" s="26">
        <f t="shared" si="29"/>
        <v>0</v>
      </c>
      <c r="I83" s="26">
        <f>SUM(I81:I82)</f>
        <v>0</v>
      </c>
      <c r="J83" s="26">
        <f>SUM(J81:J82)</f>
        <v>0</v>
      </c>
    </row>
    <row r="84" spans="1:10" ht="18" customHeight="1" x14ac:dyDescent="0.3">
      <c r="A84" s="29" t="s">
        <v>272</v>
      </c>
      <c r="D84" s="5">
        <v>4</v>
      </c>
      <c r="E84" s="30" t="s">
        <v>273</v>
      </c>
      <c r="F84" s="6" t="s">
        <v>274</v>
      </c>
      <c r="G84" s="28" t="s">
        <v>86</v>
      </c>
      <c r="H84" s="28" t="s">
        <v>86</v>
      </c>
      <c r="I84" s="28" t="s">
        <v>86</v>
      </c>
      <c r="J84" s="28" t="s">
        <v>86</v>
      </c>
    </row>
    <row r="85" spans="1:10" x14ac:dyDescent="0.3">
      <c r="A85" s="39" t="s">
        <v>179</v>
      </c>
      <c r="B85" s="5">
        <v>2</v>
      </c>
      <c r="D85" s="5">
        <v>5</v>
      </c>
      <c r="E85" s="35" t="s">
        <v>180</v>
      </c>
      <c r="F85" s="6" t="s">
        <v>275</v>
      </c>
      <c r="G85" s="101">
        <v>0</v>
      </c>
      <c r="H85" s="101">
        <v>0</v>
      </c>
      <c r="I85" s="101">
        <v>0</v>
      </c>
      <c r="J85" s="101">
        <v>0</v>
      </c>
    </row>
    <row r="86" spans="1:10" x14ac:dyDescent="0.3">
      <c r="A86" s="39" t="s">
        <v>182</v>
      </c>
      <c r="B86" s="5">
        <v>3</v>
      </c>
      <c r="D86" s="5">
        <v>5</v>
      </c>
      <c r="E86" s="35" t="s">
        <v>183</v>
      </c>
      <c r="F86" s="6" t="s">
        <v>276</v>
      </c>
      <c r="G86" s="101">
        <v>0</v>
      </c>
      <c r="H86" s="101">
        <v>0</v>
      </c>
      <c r="I86" s="101">
        <v>0</v>
      </c>
      <c r="J86" s="101">
        <v>0</v>
      </c>
    </row>
    <row r="87" spans="1:10" x14ac:dyDescent="0.3">
      <c r="A87" s="31" t="s">
        <v>199</v>
      </c>
      <c r="B87" s="5">
        <v>5</v>
      </c>
      <c r="D87" s="5">
        <v>5</v>
      </c>
      <c r="E87" s="35" t="s">
        <v>200</v>
      </c>
      <c r="F87" s="6" t="s">
        <v>277</v>
      </c>
      <c r="G87" s="26">
        <f t="shared" ref="G87:H87" si="30">SUM(G85:G86)</f>
        <v>0</v>
      </c>
      <c r="H87" s="26">
        <f t="shared" si="30"/>
        <v>0</v>
      </c>
      <c r="I87" s="26">
        <f>SUM(I85:I86)</f>
        <v>0</v>
      </c>
      <c r="J87" s="26">
        <f>SUM(J85:J86)</f>
        <v>0</v>
      </c>
    </row>
    <row r="88" spans="1:10" x14ac:dyDescent="0.3">
      <c r="A88" s="71" t="s">
        <v>278</v>
      </c>
      <c r="D88" s="5">
        <v>4</v>
      </c>
      <c r="E88" s="30" t="s">
        <v>273</v>
      </c>
      <c r="F88" s="6" t="s">
        <v>274</v>
      </c>
      <c r="G88" s="28" t="s">
        <v>86</v>
      </c>
      <c r="H88" s="28" t="s">
        <v>86</v>
      </c>
      <c r="I88" s="28" t="s">
        <v>86</v>
      </c>
      <c r="J88" s="28" t="s">
        <v>86</v>
      </c>
    </row>
    <row r="89" spans="1:10" x14ac:dyDescent="0.3">
      <c r="A89" s="39" t="s">
        <v>179</v>
      </c>
      <c r="B89" s="5">
        <v>2</v>
      </c>
      <c r="D89" s="5">
        <v>5</v>
      </c>
      <c r="E89" s="35" t="s">
        <v>180</v>
      </c>
      <c r="F89" s="6" t="s">
        <v>275</v>
      </c>
      <c r="G89" s="101">
        <v>0</v>
      </c>
      <c r="H89" s="101">
        <v>0</v>
      </c>
      <c r="I89" s="101">
        <v>0</v>
      </c>
      <c r="J89" s="101">
        <v>0</v>
      </c>
    </row>
    <row r="90" spans="1:10" x14ac:dyDescent="0.3">
      <c r="A90" s="39" t="s">
        <v>182</v>
      </c>
      <c r="B90" s="5">
        <v>3</v>
      </c>
      <c r="D90" s="5">
        <v>5</v>
      </c>
      <c r="E90" s="35" t="s">
        <v>183</v>
      </c>
      <c r="F90" s="6" t="s">
        <v>276</v>
      </c>
      <c r="G90" s="101">
        <v>0</v>
      </c>
      <c r="H90" s="101">
        <v>0</v>
      </c>
      <c r="I90" s="101">
        <v>0</v>
      </c>
      <c r="J90" s="101">
        <v>0</v>
      </c>
    </row>
    <row r="91" spans="1:10" x14ac:dyDescent="0.3">
      <c r="A91" s="73" t="s">
        <v>205</v>
      </c>
      <c r="B91" s="5">
        <v>5</v>
      </c>
      <c r="D91" s="5">
        <v>5</v>
      </c>
      <c r="E91" s="35" t="s">
        <v>200</v>
      </c>
      <c r="F91" s="6" t="s">
        <v>277</v>
      </c>
      <c r="G91" s="26">
        <f t="shared" ref="G91:H91" si="31">SUM(G89:G90)</f>
        <v>0</v>
      </c>
      <c r="H91" s="26">
        <f t="shared" si="31"/>
        <v>0</v>
      </c>
      <c r="I91" s="26">
        <f>SUM(I89:I90)</f>
        <v>0</v>
      </c>
      <c r="J91" s="26">
        <f>SUM(J89:J90)</f>
        <v>0</v>
      </c>
    </row>
    <row r="92" spans="1:10" ht="18" customHeight="1" x14ac:dyDescent="0.3">
      <c r="A92" s="29" t="s">
        <v>279</v>
      </c>
      <c r="D92" s="5">
        <v>4</v>
      </c>
      <c r="E92" s="30" t="s">
        <v>280</v>
      </c>
      <c r="F92" s="6" t="s">
        <v>281</v>
      </c>
      <c r="G92" s="28" t="s">
        <v>86</v>
      </c>
      <c r="H92" s="28" t="s">
        <v>86</v>
      </c>
      <c r="I92" s="28" t="s">
        <v>86</v>
      </c>
      <c r="J92" s="28" t="s">
        <v>86</v>
      </c>
    </row>
    <row r="93" spans="1:10" x14ac:dyDescent="0.3">
      <c r="A93" s="39" t="s">
        <v>179</v>
      </c>
      <c r="B93" s="5">
        <v>2</v>
      </c>
      <c r="D93" s="5">
        <v>5</v>
      </c>
      <c r="E93" s="35" t="s">
        <v>180</v>
      </c>
      <c r="F93" s="6" t="s">
        <v>282</v>
      </c>
      <c r="G93" s="101"/>
      <c r="H93" s="101"/>
      <c r="I93" s="101"/>
      <c r="J93" s="101">
        <v>1403.8</v>
      </c>
    </row>
    <row r="94" spans="1:10" x14ac:dyDescent="0.3">
      <c r="A94" s="39" t="s">
        <v>182</v>
      </c>
      <c r="B94" s="5">
        <v>3</v>
      </c>
      <c r="D94" s="5">
        <v>5</v>
      </c>
      <c r="E94" s="35" t="s">
        <v>183</v>
      </c>
      <c r="F94" s="6" t="s">
        <v>283</v>
      </c>
      <c r="G94" s="101">
        <v>0</v>
      </c>
      <c r="H94" s="101">
        <v>0</v>
      </c>
      <c r="I94" s="101">
        <v>0</v>
      </c>
      <c r="J94" s="101">
        <v>0</v>
      </c>
    </row>
    <row r="95" spans="1:10" x14ac:dyDescent="0.3">
      <c r="A95" s="31" t="s">
        <v>284</v>
      </c>
      <c r="B95" s="5">
        <v>5</v>
      </c>
      <c r="D95" s="5">
        <v>5</v>
      </c>
      <c r="E95" s="35" t="s">
        <v>285</v>
      </c>
      <c r="F95" s="6" t="s">
        <v>286</v>
      </c>
      <c r="G95" s="26">
        <f t="shared" ref="G95:H95" si="32">SUM(G93:G94)</f>
        <v>0</v>
      </c>
      <c r="H95" s="26">
        <f t="shared" si="32"/>
        <v>0</v>
      </c>
      <c r="I95" s="26">
        <f>SUM(I93:I94)</f>
        <v>0</v>
      </c>
      <c r="J95" s="26">
        <f>SUM(J93:J94)</f>
        <v>1403.8</v>
      </c>
    </row>
    <row r="96" spans="1:10" ht="18" customHeight="1" x14ac:dyDescent="0.3">
      <c r="A96" s="29" t="s">
        <v>287</v>
      </c>
      <c r="D96" s="5">
        <v>4</v>
      </c>
      <c r="E96" s="30" t="s">
        <v>288</v>
      </c>
      <c r="F96" s="6" t="s">
        <v>289</v>
      </c>
      <c r="G96" s="28" t="s">
        <v>86</v>
      </c>
      <c r="H96" s="28" t="s">
        <v>86</v>
      </c>
      <c r="I96" s="28" t="s">
        <v>86</v>
      </c>
      <c r="J96" s="28" t="s">
        <v>86</v>
      </c>
    </row>
    <row r="97" spans="1:14" x14ac:dyDescent="0.3">
      <c r="A97" s="39" t="s">
        <v>179</v>
      </c>
      <c r="B97" s="5">
        <v>2</v>
      </c>
      <c r="D97" s="5">
        <v>5</v>
      </c>
      <c r="E97" s="35" t="s">
        <v>180</v>
      </c>
      <c r="F97" s="6" t="s">
        <v>290</v>
      </c>
      <c r="G97" s="101"/>
      <c r="H97" s="101"/>
      <c r="I97" s="101"/>
      <c r="J97" s="101"/>
    </row>
    <row r="98" spans="1:14" x14ac:dyDescent="0.3">
      <c r="A98" s="39" t="s">
        <v>182</v>
      </c>
      <c r="B98" s="5">
        <v>3</v>
      </c>
      <c r="D98" s="5">
        <v>5</v>
      </c>
      <c r="E98" s="35" t="s">
        <v>183</v>
      </c>
      <c r="F98" s="6" t="s">
        <v>291</v>
      </c>
      <c r="G98" s="101">
        <v>0</v>
      </c>
      <c r="H98" s="101">
        <v>0</v>
      </c>
      <c r="I98" s="101">
        <v>0</v>
      </c>
      <c r="J98" s="101">
        <v>0</v>
      </c>
    </row>
    <row r="99" spans="1:14" x14ac:dyDescent="0.3">
      <c r="A99" s="31" t="s">
        <v>292</v>
      </c>
      <c r="B99" s="5">
        <v>5</v>
      </c>
      <c r="D99" s="5">
        <v>5</v>
      </c>
      <c r="E99" s="35" t="s">
        <v>293</v>
      </c>
      <c r="F99" s="6" t="s">
        <v>294</v>
      </c>
      <c r="G99" s="26">
        <f t="shared" ref="G99:H99" si="33">SUM(G97:G98)</f>
        <v>0</v>
      </c>
      <c r="H99" s="26">
        <f t="shared" si="33"/>
        <v>0</v>
      </c>
      <c r="I99" s="26">
        <f>SUM(I97:I98)</f>
        <v>0</v>
      </c>
      <c r="J99" s="26">
        <f>SUM(J97:J98)</f>
        <v>0</v>
      </c>
      <c r="K99" s="160"/>
      <c r="L99" s="160"/>
      <c r="M99" s="160"/>
      <c r="N99" s="160"/>
    </row>
    <row r="100" spans="1:14" ht="18.75" customHeight="1" x14ac:dyDescent="0.3">
      <c r="A100" s="29" t="s">
        <v>295</v>
      </c>
      <c r="D100" s="5">
        <v>4</v>
      </c>
      <c r="E100" s="30" t="s">
        <v>296</v>
      </c>
      <c r="F100" s="6" t="s">
        <v>297</v>
      </c>
      <c r="G100" s="28" t="s">
        <v>86</v>
      </c>
      <c r="H100" s="28" t="s">
        <v>86</v>
      </c>
      <c r="I100" s="28" t="s">
        <v>86</v>
      </c>
      <c r="J100" s="28" t="s">
        <v>86</v>
      </c>
      <c r="K100" s="160"/>
      <c r="L100" s="160"/>
      <c r="M100" s="160"/>
      <c r="N100" s="160"/>
    </row>
    <row r="101" spans="1:14" x14ac:dyDescent="0.3">
      <c r="A101" s="39" t="s">
        <v>179</v>
      </c>
      <c r="B101" s="5">
        <v>2</v>
      </c>
      <c r="D101" s="5">
        <v>5</v>
      </c>
      <c r="E101" s="35" t="s">
        <v>180</v>
      </c>
      <c r="F101" s="6" t="s">
        <v>298</v>
      </c>
      <c r="G101" s="101"/>
      <c r="H101" s="101"/>
      <c r="I101" s="101"/>
      <c r="J101" s="101">
        <f>9199.53+65584.42+4.05</f>
        <v>74788</v>
      </c>
      <c r="K101" s="160"/>
      <c r="L101" s="160"/>
      <c r="M101" s="160"/>
      <c r="N101" s="160"/>
    </row>
    <row r="102" spans="1:14" x14ac:dyDescent="0.3">
      <c r="A102" s="39" t="s">
        <v>182</v>
      </c>
      <c r="B102" s="5">
        <v>3</v>
      </c>
      <c r="D102" s="5">
        <v>5</v>
      </c>
      <c r="E102" s="35" t="s">
        <v>183</v>
      </c>
      <c r="F102" s="6" t="s">
        <v>299</v>
      </c>
      <c r="G102" s="101">
        <v>0</v>
      </c>
      <c r="H102" s="101">
        <v>0</v>
      </c>
      <c r="I102" s="101">
        <v>0</v>
      </c>
      <c r="J102" s="101">
        <f>751996.79+13915.6</f>
        <v>765912.39</v>
      </c>
      <c r="K102" s="160" t="s">
        <v>1080</v>
      </c>
      <c r="L102" s="160"/>
      <c r="M102" s="160"/>
      <c r="N102" s="160"/>
    </row>
    <row r="103" spans="1:14" x14ac:dyDescent="0.3">
      <c r="A103" s="31" t="s">
        <v>209</v>
      </c>
      <c r="B103" s="5">
        <v>5</v>
      </c>
      <c r="D103" s="5">
        <v>5</v>
      </c>
      <c r="E103" s="35" t="s">
        <v>206</v>
      </c>
      <c r="F103" s="6" t="s">
        <v>300</v>
      </c>
      <c r="G103" s="26">
        <f t="shared" ref="G103:H103" si="34">SUM(G101:G102)</f>
        <v>0</v>
      </c>
      <c r="H103" s="26">
        <f t="shared" si="34"/>
        <v>0</v>
      </c>
      <c r="I103" s="26">
        <f>SUM(I101:I102)</f>
        <v>0</v>
      </c>
      <c r="J103" s="26">
        <f>SUM(J101:J102)</f>
        <v>840700.39</v>
      </c>
      <c r="K103" s="160"/>
      <c r="L103" s="160"/>
      <c r="M103" s="160"/>
      <c r="N103" s="160"/>
    </row>
    <row r="104" spans="1:14" x14ac:dyDescent="0.3">
      <c r="A104" s="31" t="s">
        <v>210</v>
      </c>
      <c r="B104" s="5">
        <v>35</v>
      </c>
      <c r="D104" s="5">
        <v>4</v>
      </c>
      <c r="E104" s="33" t="s">
        <v>211</v>
      </c>
      <c r="F104" s="6" t="s">
        <v>301</v>
      </c>
      <c r="G104" s="26">
        <f t="shared" ref="G104:H104" si="35">+G103+G99+G95+G87+G83+G79+G75+G91</f>
        <v>0</v>
      </c>
      <c r="H104" s="26">
        <f t="shared" si="35"/>
        <v>0</v>
      </c>
      <c r="I104" s="26">
        <f>+I103+I99+I95+I87+I83+I79+I75+I91</f>
        <v>0</v>
      </c>
      <c r="J104" s="26">
        <f t="shared" ref="J104" si="36">+J103+J99+J95+J87+J83+J79+J75+J91</f>
        <v>872661.05</v>
      </c>
    </row>
    <row r="105" spans="1:14" ht="18" customHeight="1" x14ac:dyDescent="0.3">
      <c r="A105" s="27" t="s">
        <v>302</v>
      </c>
      <c r="D105" s="5">
        <v>3</v>
      </c>
      <c r="E105" s="27" t="s">
        <v>303</v>
      </c>
      <c r="F105" s="6" t="s">
        <v>304</v>
      </c>
      <c r="G105" s="28"/>
      <c r="H105" s="28"/>
      <c r="I105" s="28"/>
      <c r="J105" s="28" t="s">
        <v>86</v>
      </c>
    </row>
    <row r="106" spans="1:14" x14ac:dyDescent="0.3">
      <c r="A106" s="29" t="s">
        <v>305</v>
      </c>
      <c r="B106" s="5">
        <v>3</v>
      </c>
      <c r="D106" s="5">
        <v>4</v>
      </c>
      <c r="E106" s="30" t="s">
        <v>306</v>
      </c>
      <c r="F106" s="6" t="s">
        <v>307</v>
      </c>
      <c r="G106" s="101">
        <v>0</v>
      </c>
      <c r="H106" s="101">
        <v>0</v>
      </c>
      <c r="I106" s="101">
        <v>0</v>
      </c>
      <c r="J106" s="101">
        <v>0</v>
      </c>
    </row>
    <row r="107" spans="1:14" x14ac:dyDescent="0.3">
      <c r="A107" s="29" t="s">
        <v>308</v>
      </c>
      <c r="B107" s="5">
        <v>3</v>
      </c>
      <c r="D107" s="5">
        <v>4</v>
      </c>
      <c r="E107" s="30" t="s">
        <v>309</v>
      </c>
      <c r="F107" s="6" t="s">
        <v>310</v>
      </c>
      <c r="G107" s="101">
        <v>0</v>
      </c>
      <c r="H107" s="101">
        <v>0</v>
      </c>
      <c r="I107" s="101">
        <v>0</v>
      </c>
      <c r="J107" s="101">
        <v>0</v>
      </c>
    </row>
    <row r="108" spans="1:14" x14ac:dyDescent="0.3">
      <c r="A108" s="29" t="s">
        <v>311</v>
      </c>
      <c r="B108" s="5">
        <v>3</v>
      </c>
      <c r="D108" s="5">
        <v>4</v>
      </c>
      <c r="E108" s="30" t="s">
        <v>312</v>
      </c>
      <c r="F108" s="6" t="s">
        <v>313</v>
      </c>
      <c r="G108" s="101">
        <v>0</v>
      </c>
      <c r="H108" s="101">
        <v>0</v>
      </c>
      <c r="I108" s="101">
        <v>0</v>
      </c>
      <c r="J108" s="101">
        <v>0</v>
      </c>
    </row>
    <row r="109" spans="1:14" x14ac:dyDescent="0.3">
      <c r="A109" s="71" t="s">
        <v>314</v>
      </c>
      <c r="E109" s="30"/>
      <c r="G109" s="101">
        <v>0</v>
      </c>
      <c r="H109" s="101">
        <v>0</v>
      </c>
      <c r="I109" s="101">
        <v>0</v>
      </c>
      <c r="J109" s="101">
        <v>0</v>
      </c>
    </row>
    <row r="110" spans="1:14" x14ac:dyDescent="0.3">
      <c r="A110" s="29" t="s">
        <v>315</v>
      </c>
      <c r="B110" s="5">
        <v>3</v>
      </c>
      <c r="D110" s="5">
        <v>4</v>
      </c>
      <c r="E110" s="30" t="s">
        <v>316</v>
      </c>
      <c r="F110" s="6" t="s">
        <v>317</v>
      </c>
      <c r="G110" s="101">
        <v>0</v>
      </c>
      <c r="H110" s="101">
        <v>0</v>
      </c>
      <c r="I110" s="101">
        <v>0</v>
      </c>
      <c r="J110" s="101">
        <v>0</v>
      </c>
    </row>
    <row r="111" spans="1:14" x14ac:dyDescent="0.3">
      <c r="A111" s="29" t="s">
        <v>318</v>
      </c>
      <c r="B111" s="5">
        <v>5</v>
      </c>
      <c r="D111" s="5">
        <v>4</v>
      </c>
      <c r="E111" s="30" t="s">
        <v>319</v>
      </c>
      <c r="F111" s="6" t="s">
        <v>320</v>
      </c>
      <c r="G111" s="101">
        <v>0</v>
      </c>
      <c r="H111" s="101">
        <v>0</v>
      </c>
      <c r="I111" s="101">
        <v>0</v>
      </c>
      <c r="J111" s="101">
        <v>0</v>
      </c>
    </row>
    <row r="112" spans="1:14" x14ac:dyDescent="0.3">
      <c r="A112" s="29" t="s">
        <v>321</v>
      </c>
      <c r="B112" s="5">
        <v>3</v>
      </c>
      <c r="D112" s="5">
        <v>4</v>
      </c>
      <c r="E112" s="30" t="s">
        <v>322</v>
      </c>
      <c r="F112" s="6" t="s">
        <v>323</v>
      </c>
      <c r="G112" s="101">
        <v>0</v>
      </c>
      <c r="H112" s="101">
        <v>0</v>
      </c>
      <c r="I112" s="101">
        <v>0</v>
      </c>
      <c r="J112" s="101">
        <v>0</v>
      </c>
    </row>
    <row r="113" spans="1:12" x14ac:dyDescent="0.3">
      <c r="A113" s="31" t="s">
        <v>324</v>
      </c>
      <c r="B113" s="5">
        <v>24</v>
      </c>
      <c r="D113" s="5">
        <v>4</v>
      </c>
      <c r="E113" s="33" t="s">
        <v>325</v>
      </c>
      <c r="F113" s="6" t="s">
        <v>326</v>
      </c>
      <c r="G113" s="26">
        <f t="shared" ref="G113:H113" si="37">SUM(G106:G112)</f>
        <v>0</v>
      </c>
      <c r="H113" s="26">
        <f t="shared" si="37"/>
        <v>0</v>
      </c>
      <c r="I113" s="26">
        <f>SUM(I106:I112)</f>
        <v>0</v>
      </c>
      <c r="J113" s="26">
        <f>SUM(J106:J112)</f>
        <v>0</v>
      </c>
    </row>
    <row r="114" spans="1:12" ht="18" customHeight="1" x14ac:dyDescent="0.3">
      <c r="A114" s="27" t="s">
        <v>327</v>
      </c>
      <c r="D114" s="5">
        <v>3</v>
      </c>
      <c r="E114" s="27" t="s">
        <v>328</v>
      </c>
      <c r="F114" s="6" t="s">
        <v>329</v>
      </c>
      <c r="G114" s="28" t="s">
        <v>86</v>
      </c>
      <c r="H114" s="28" t="s">
        <v>86</v>
      </c>
      <c r="I114" s="28" t="s">
        <v>86</v>
      </c>
      <c r="J114" s="28" t="s">
        <v>86</v>
      </c>
    </row>
    <row r="115" spans="1:12" x14ac:dyDescent="0.3">
      <c r="A115" s="29" t="s">
        <v>330</v>
      </c>
      <c r="B115" s="5">
        <v>4</v>
      </c>
      <c r="D115" s="5">
        <v>4</v>
      </c>
      <c r="E115" s="30" t="s">
        <v>331</v>
      </c>
      <c r="F115" s="6" t="s">
        <v>332</v>
      </c>
      <c r="G115" s="101"/>
      <c r="H115" s="101"/>
      <c r="I115" s="101"/>
      <c r="J115" s="101">
        <v>204437.96</v>
      </c>
    </row>
    <row r="116" spans="1:12" x14ac:dyDescent="0.3">
      <c r="A116" s="29" t="s">
        <v>333</v>
      </c>
      <c r="B116" s="5">
        <v>4</v>
      </c>
      <c r="D116" s="5">
        <v>4</v>
      </c>
      <c r="E116" s="30" t="s">
        <v>334</v>
      </c>
      <c r="F116" s="6" t="s">
        <v>335</v>
      </c>
      <c r="G116" s="101"/>
      <c r="H116" s="101"/>
      <c r="I116" s="101"/>
      <c r="J116" s="101"/>
    </row>
    <row r="117" spans="1:12" x14ac:dyDescent="0.3">
      <c r="A117" s="29" t="s">
        <v>336</v>
      </c>
      <c r="B117" s="5">
        <v>4</v>
      </c>
      <c r="D117" s="5">
        <v>4</v>
      </c>
      <c r="E117" s="30" t="s">
        <v>337</v>
      </c>
      <c r="F117" s="6" t="s">
        <v>338</v>
      </c>
      <c r="G117" s="101"/>
      <c r="H117" s="101"/>
      <c r="I117" s="101"/>
      <c r="J117" s="101">
        <v>8925.6299999999992</v>
      </c>
    </row>
    <row r="118" spans="1:12" x14ac:dyDescent="0.3">
      <c r="A118" s="31" t="s">
        <v>339</v>
      </c>
      <c r="B118" s="5">
        <v>12</v>
      </c>
      <c r="D118" s="5">
        <v>4</v>
      </c>
      <c r="E118" s="33" t="s">
        <v>340</v>
      </c>
      <c r="F118" s="6" t="s">
        <v>341</v>
      </c>
      <c r="G118" s="26">
        <f t="shared" ref="G118:H118" si="38">SUM(G115:G117)</f>
        <v>0</v>
      </c>
      <c r="H118" s="26">
        <f t="shared" si="38"/>
        <v>0</v>
      </c>
      <c r="I118" s="26">
        <f>SUM(I115:I117)</f>
        <v>0</v>
      </c>
      <c r="J118" s="26">
        <f>SUM(J115:J117)</f>
        <v>213363.59</v>
      </c>
    </row>
    <row r="119" spans="1:12" x14ac:dyDescent="0.3">
      <c r="A119" s="24" t="s">
        <v>342</v>
      </c>
      <c r="B119" s="5">
        <v>111</v>
      </c>
      <c r="D119" s="5">
        <v>3</v>
      </c>
      <c r="E119" s="25" t="s">
        <v>343</v>
      </c>
      <c r="F119" s="6" t="s">
        <v>344</v>
      </c>
      <c r="G119" s="38">
        <f t="shared" ref="G119:H119" si="39">+G118+G113+G104+G70</f>
        <v>0</v>
      </c>
      <c r="H119" s="38">
        <f t="shared" si="39"/>
        <v>0</v>
      </c>
      <c r="I119" s="38">
        <f>+I118+I113+I104+I70</f>
        <v>126617</v>
      </c>
      <c r="J119" s="38">
        <f>+J118+J113+J104+J70</f>
        <v>1215001.6400000001</v>
      </c>
    </row>
    <row r="120" spans="1:12" ht="18" customHeight="1" x14ac:dyDescent="0.3">
      <c r="A120" s="20" t="s">
        <v>345</v>
      </c>
      <c r="D120" s="5">
        <v>2</v>
      </c>
      <c r="E120" s="21" t="s">
        <v>346</v>
      </c>
      <c r="F120" s="6" t="s">
        <v>347</v>
      </c>
      <c r="G120" s="28" t="s">
        <v>86</v>
      </c>
      <c r="H120" s="28" t="s">
        <v>86</v>
      </c>
      <c r="I120" s="28" t="s">
        <v>86</v>
      </c>
      <c r="J120" s="28" t="s">
        <v>86</v>
      </c>
    </row>
    <row r="121" spans="1:12" ht="18" customHeight="1" x14ac:dyDescent="0.3">
      <c r="A121" s="22" t="s">
        <v>348</v>
      </c>
      <c r="B121" s="5">
        <v>43</v>
      </c>
      <c r="D121" s="5">
        <v>3</v>
      </c>
      <c r="E121" s="23" t="s">
        <v>349</v>
      </c>
      <c r="F121" s="6" t="s">
        <v>350</v>
      </c>
      <c r="G121" s="101"/>
      <c r="H121" s="101"/>
      <c r="I121" s="101"/>
      <c r="J121" s="101">
        <v>355.07</v>
      </c>
    </row>
    <row r="122" spans="1:12" x14ac:dyDescent="0.3">
      <c r="A122" s="22" t="s">
        <v>351</v>
      </c>
      <c r="B122" s="5">
        <v>65</v>
      </c>
      <c r="D122" s="5">
        <v>3</v>
      </c>
      <c r="E122" s="23" t="s">
        <v>352</v>
      </c>
      <c r="F122" s="6" t="s">
        <v>353</v>
      </c>
      <c r="G122" s="101">
        <v>0</v>
      </c>
      <c r="H122" s="101">
        <v>0</v>
      </c>
      <c r="I122" s="101">
        <v>0</v>
      </c>
      <c r="J122" s="101">
        <v>0</v>
      </c>
    </row>
    <row r="123" spans="1:12" x14ac:dyDescent="0.3">
      <c r="A123" s="24" t="s">
        <v>354</v>
      </c>
      <c r="B123" s="5">
        <v>108</v>
      </c>
      <c r="D123" s="5">
        <v>3</v>
      </c>
      <c r="E123" s="25" t="s">
        <v>355</v>
      </c>
      <c r="F123" s="6" t="s">
        <v>356</v>
      </c>
      <c r="G123" s="38">
        <f t="shared" ref="G123:H123" si="40">SUM(G121:G122)</f>
        <v>0</v>
      </c>
      <c r="H123" s="38">
        <f t="shared" si="40"/>
        <v>0</v>
      </c>
      <c r="I123" s="38">
        <f>SUM(I121:I122)</f>
        <v>0</v>
      </c>
      <c r="J123" s="38">
        <f>SUM(J121:J122)</f>
        <v>355.07</v>
      </c>
      <c r="L123" s="45">
        <f>+J123+J101+J97+J93+J85+J81+J77+J73-I73-I77-I81-I85-I93-I97-I101-I123</f>
        <v>107103.73000000001</v>
      </c>
    </row>
    <row r="124" spans="1:12" ht="18" customHeight="1" x14ac:dyDescent="0.3">
      <c r="A124" s="19" t="s">
        <v>357</v>
      </c>
      <c r="B124" s="40">
        <v>419</v>
      </c>
      <c r="C124" s="40"/>
      <c r="D124" s="40">
        <v>2</v>
      </c>
      <c r="E124" s="41" t="s">
        <v>358</v>
      </c>
      <c r="F124" s="40" t="s">
        <v>359</v>
      </c>
      <c r="G124" s="42">
        <f t="shared" ref="G124:H124" si="41">+G123+G119+G62+G11</f>
        <v>0</v>
      </c>
      <c r="H124" s="42">
        <f t="shared" si="41"/>
        <v>0</v>
      </c>
      <c r="I124" s="42">
        <f>+I123+I119+I62+I11</f>
        <v>126617</v>
      </c>
      <c r="J124" s="42">
        <f>+J123+J119+J62+J11</f>
        <v>1453619.62</v>
      </c>
    </row>
    <row r="125" spans="1:12" ht="18" customHeight="1" x14ac:dyDescent="0.3">
      <c r="A125" s="18" t="s">
        <v>360</v>
      </c>
      <c r="D125" s="5">
        <v>1</v>
      </c>
      <c r="E125" s="19" t="s">
        <v>361</v>
      </c>
      <c r="F125" s="6" t="s">
        <v>360</v>
      </c>
      <c r="G125" s="28" t="s">
        <v>86</v>
      </c>
      <c r="H125" s="28" t="s">
        <v>86</v>
      </c>
      <c r="I125" s="28" t="s">
        <v>86</v>
      </c>
      <c r="J125" s="28" t="s">
        <v>86</v>
      </c>
    </row>
    <row r="126" spans="1:12" ht="18" customHeight="1" x14ac:dyDescent="0.3">
      <c r="A126" s="20" t="s">
        <v>362</v>
      </c>
      <c r="D126" s="5">
        <v>2</v>
      </c>
      <c r="E126" s="21" t="s">
        <v>363</v>
      </c>
      <c r="F126" s="6" t="s">
        <v>364</v>
      </c>
      <c r="G126" s="28" t="s">
        <v>86</v>
      </c>
      <c r="H126" s="28" t="s">
        <v>86</v>
      </c>
      <c r="I126" s="28" t="s">
        <v>86</v>
      </c>
      <c r="J126" s="28" t="s">
        <v>86</v>
      </c>
    </row>
    <row r="127" spans="1:12" ht="18" customHeight="1" x14ac:dyDescent="0.3">
      <c r="A127" s="23" t="s">
        <v>365</v>
      </c>
      <c r="B127" s="5">
        <v>12</v>
      </c>
      <c r="D127" s="5">
        <v>3</v>
      </c>
      <c r="E127" s="23" t="s">
        <v>366</v>
      </c>
      <c r="F127" s="6" t="s">
        <v>367</v>
      </c>
      <c r="G127" s="101"/>
      <c r="H127" s="101"/>
      <c r="I127" s="101"/>
      <c r="J127" s="101">
        <v>100000</v>
      </c>
    </row>
    <row r="128" spans="1:12" x14ac:dyDescent="0.3">
      <c r="A128" s="23" t="s">
        <v>368</v>
      </c>
      <c r="B128" s="5">
        <v>21</v>
      </c>
      <c r="D128" s="5">
        <v>3</v>
      </c>
      <c r="E128" s="23" t="s">
        <v>369</v>
      </c>
      <c r="F128" s="6" t="s">
        <v>370</v>
      </c>
      <c r="G128" s="101"/>
      <c r="H128" s="101"/>
      <c r="I128" s="101"/>
      <c r="J128" s="101"/>
      <c r="L128" s="45" t="e">
        <f>+J128+J129+J130+J131+#REF!+J155+J156+J159+J160-I160-I159-I156-I155-#REF!-I131-I130-I129-I128-I158</f>
        <v>#REF!</v>
      </c>
    </row>
    <row r="129" spans="1:10" x14ac:dyDescent="0.3">
      <c r="A129" s="23" t="s">
        <v>371</v>
      </c>
      <c r="B129" s="5">
        <v>32</v>
      </c>
      <c r="D129" s="5">
        <v>3</v>
      </c>
      <c r="E129" s="23" t="s">
        <v>372</v>
      </c>
      <c r="F129" s="6" t="s">
        <v>373</v>
      </c>
      <c r="G129" s="101"/>
      <c r="H129" s="101"/>
      <c r="I129" s="101"/>
      <c r="J129" s="101"/>
    </row>
    <row r="130" spans="1:10" x14ac:dyDescent="0.3">
      <c r="A130" s="23" t="s">
        <v>374</v>
      </c>
      <c r="B130" s="5">
        <v>43</v>
      </c>
      <c r="D130" s="5">
        <v>3</v>
      </c>
      <c r="E130" s="23" t="s">
        <v>375</v>
      </c>
      <c r="F130" s="6" t="s">
        <v>376</v>
      </c>
      <c r="G130" s="101"/>
      <c r="H130" s="101"/>
      <c r="I130" s="101"/>
      <c r="J130" s="101"/>
    </row>
    <row r="131" spans="1:10" x14ac:dyDescent="0.3">
      <c r="A131" s="23" t="s">
        <v>377</v>
      </c>
      <c r="B131" s="5">
        <v>45</v>
      </c>
      <c r="D131" s="5">
        <v>3</v>
      </c>
      <c r="E131" s="23" t="s">
        <v>378</v>
      </c>
      <c r="F131" s="6" t="s">
        <v>379</v>
      </c>
      <c r="G131" s="101">
        <v>0</v>
      </c>
      <c r="H131" s="101">
        <v>0</v>
      </c>
      <c r="I131" s="101">
        <v>0</v>
      </c>
      <c r="J131" s="101">
        <v>0</v>
      </c>
    </row>
    <row r="132" spans="1:10" ht="18" customHeight="1" x14ac:dyDescent="0.3">
      <c r="A132" s="23" t="s">
        <v>380</v>
      </c>
      <c r="D132" s="5">
        <v>3</v>
      </c>
      <c r="E132" s="23" t="s">
        <v>381</v>
      </c>
      <c r="F132" s="6" t="s">
        <v>382</v>
      </c>
      <c r="G132" s="42">
        <f t="shared" ref="G132:H132" si="42">SUM(G133:G147)</f>
        <v>0</v>
      </c>
      <c r="H132" s="42">
        <f t="shared" si="42"/>
        <v>0</v>
      </c>
      <c r="I132" s="42">
        <f>SUM(I133:I147)</f>
        <v>0</v>
      </c>
      <c r="J132" s="42">
        <f>SUM(J133:J147)</f>
        <v>0</v>
      </c>
    </row>
    <row r="133" spans="1:10" x14ac:dyDescent="0.3">
      <c r="A133" s="43" t="s">
        <v>383</v>
      </c>
      <c r="B133" s="5">
        <v>1</v>
      </c>
      <c r="D133" s="5">
        <v>4</v>
      </c>
      <c r="E133" s="30" t="s">
        <v>384</v>
      </c>
      <c r="F133" s="6" t="s">
        <v>385</v>
      </c>
      <c r="G133" s="101"/>
      <c r="H133" s="101"/>
      <c r="I133" s="101"/>
      <c r="J133" s="101"/>
    </row>
    <row r="134" spans="1:10" x14ac:dyDescent="0.3">
      <c r="A134" s="43" t="s">
        <v>386</v>
      </c>
      <c r="B134" s="5">
        <v>1</v>
      </c>
      <c r="D134" s="5">
        <v>4</v>
      </c>
      <c r="E134" s="30" t="s">
        <v>387</v>
      </c>
      <c r="F134" s="6" t="s">
        <v>388</v>
      </c>
      <c r="G134" s="101">
        <v>0</v>
      </c>
      <c r="H134" s="101">
        <v>0</v>
      </c>
      <c r="I134" s="101">
        <v>0</v>
      </c>
      <c r="J134" s="101">
        <v>0</v>
      </c>
    </row>
    <row r="135" spans="1:10" x14ac:dyDescent="0.3">
      <c r="A135" s="43" t="s">
        <v>389</v>
      </c>
      <c r="B135" s="5">
        <v>1</v>
      </c>
      <c r="D135" s="5">
        <v>4</v>
      </c>
      <c r="E135" s="30" t="s">
        <v>390</v>
      </c>
      <c r="F135" s="6" t="s">
        <v>391</v>
      </c>
      <c r="G135" s="101">
        <v>0</v>
      </c>
      <c r="H135" s="101">
        <v>0</v>
      </c>
      <c r="I135" s="101">
        <v>0</v>
      </c>
      <c r="J135" s="101">
        <v>0</v>
      </c>
    </row>
    <row r="136" spans="1:10" x14ac:dyDescent="0.3">
      <c r="A136" s="43" t="s">
        <v>392</v>
      </c>
      <c r="B136" s="5">
        <v>1</v>
      </c>
      <c r="D136" s="5">
        <v>4</v>
      </c>
      <c r="E136" s="30" t="s">
        <v>393</v>
      </c>
      <c r="F136" s="6" t="s">
        <v>394</v>
      </c>
      <c r="G136" s="101">
        <v>0</v>
      </c>
      <c r="H136" s="101">
        <v>0</v>
      </c>
      <c r="I136" s="101">
        <v>0</v>
      </c>
      <c r="J136" s="101">
        <v>0</v>
      </c>
    </row>
    <row r="137" spans="1:10" x14ac:dyDescent="0.3">
      <c r="A137" s="43" t="s">
        <v>395</v>
      </c>
      <c r="B137" s="5">
        <v>1</v>
      </c>
      <c r="D137" s="5">
        <v>4</v>
      </c>
      <c r="E137" s="30" t="s">
        <v>396</v>
      </c>
      <c r="F137" s="6" t="s">
        <v>397</v>
      </c>
      <c r="G137" s="101">
        <v>0</v>
      </c>
      <c r="H137" s="101">
        <v>0</v>
      </c>
      <c r="I137" s="101">
        <v>0</v>
      </c>
      <c r="J137" s="101">
        <v>0</v>
      </c>
    </row>
    <row r="138" spans="1:10" x14ac:dyDescent="0.3">
      <c r="A138" s="43" t="s">
        <v>398</v>
      </c>
      <c r="B138" s="5">
        <v>1</v>
      </c>
      <c r="D138" s="5">
        <v>4</v>
      </c>
      <c r="E138" s="30" t="s">
        <v>399</v>
      </c>
      <c r="F138" s="6" t="s">
        <v>400</v>
      </c>
      <c r="G138" s="101">
        <v>0</v>
      </c>
      <c r="H138" s="101">
        <v>0</v>
      </c>
      <c r="I138" s="101">
        <v>0</v>
      </c>
      <c r="J138" s="101">
        <v>0</v>
      </c>
    </row>
    <row r="139" spans="1:10" x14ac:dyDescent="0.3">
      <c r="A139" s="43" t="s">
        <v>401</v>
      </c>
      <c r="B139" s="5">
        <v>1</v>
      </c>
      <c r="D139" s="5">
        <v>4</v>
      </c>
      <c r="E139" s="30" t="s">
        <v>402</v>
      </c>
      <c r="F139" s="6" t="s">
        <v>403</v>
      </c>
      <c r="G139" s="101">
        <v>0</v>
      </c>
      <c r="H139" s="101">
        <v>0</v>
      </c>
      <c r="I139" s="101">
        <v>0</v>
      </c>
      <c r="J139" s="101">
        <v>0</v>
      </c>
    </row>
    <row r="140" spans="1:10" x14ac:dyDescent="0.3">
      <c r="A140" s="43" t="s">
        <v>404</v>
      </c>
      <c r="B140" s="5">
        <v>1</v>
      </c>
      <c r="D140" s="5">
        <v>4</v>
      </c>
      <c r="E140" s="30" t="s">
        <v>405</v>
      </c>
      <c r="F140" s="6" t="s">
        <v>406</v>
      </c>
      <c r="G140" s="101">
        <v>0</v>
      </c>
      <c r="H140" s="101">
        <v>0</v>
      </c>
      <c r="I140" s="101">
        <v>0</v>
      </c>
      <c r="J140" s="101">
        <v>0</v>
      </c>
    </row>
    <row r="141" spans="1:10" x14ac:dyDescent="0.3">
      <c r="A141" s="43" t="s">
        <v>407</v>
      </c>
      <c r="B141" s="5">
        <v>1</v>
      </c>
      <c r="D141" s="5">
        <v>4</v>
      </c>
      <c r="E141" s="30" t="s">
        <v>408</v>
      </c>
      <c r="F141" s="6" t="s">
        <v>409</v>
      </c>
      <c r="G141" s="101">
        <v>0</v>
      </c>
      <c r="H141" s="101">
        <v>0</v>
      </c>
      <c r="I141" s="101">
        <v>0</v>
      </c>
      <c r="J141" s="101">
        <v>0</v>
      </c>
    </row>
    <row r="142" spans="1:10" x14ac:dyDescent="0.3">
      <c r="A142" s="43" t="s">
        <v>410</v>
      </c>
      <c r="B142" s="5">
        <v>1</v>
      </c>
      <c r="D142" s="5">
        <v>4</v>
      </c>
      <c r="E142" s="30"/>
      <c r="F142" s="6" t="s">
        <v>411</v>
      </c>
      <c r="G142" s="101">
        <v>0</v>
      </c>
      <c r="H142" s="101">
        <v>0</v>
      </c>
      <c r="I142" s="101">
        <v>0</v>
      </c>
      <c r="J142" s="101">
        <v>0</v>
      </c>
    </row>
    <row r="143" spans="1:10" x14ac:dyDescent="0.3">
      <c r="A143" s="43" t="s">
        <v>412</v>
      </c>
      <c r="B143" s="5">
        <v>1</v>
      </c>
      <c r="D143" s="5">
        <v>4</v>
      </c>
      <c r="E143" s="30"/>
      <c r="F143" s="6" t="s">
        <v>413</v>
      </c>
      <c r="G143" s="101">
        <v>0</v>
      </c>
      <c r="H143" s="101">
        <v>0</v>
      </c>
      <c r="I143" s="101">
        <v>0</v>
      </c>
      <c r="J143" s="101">
        <v>0</v>
      </c>
    </row>
    <row r="144" spans="1:10" x14ac:dyDescent="0.3">
      <c r="A144" s="43" t="s">
        <v>414</v>
      </c>
      <c r="B144" s="5">
        <v>1</v>
      </c>
      <c r="D144" s="5">
        <v>4</v>
      </c>
      <c r="E144" s="30" t="s">
        <v>415</v>
      </c>
      <c r="F144" s="6" t="s">
        <v>416</v>
      </c>
      <c r="G144" s="101">
        <v>0</v>
      </c>
      <c r="H144" s="101">
        <v>0</v>
      </c>
      <c r="I144" s="101">
        <v>0</v>
      </c>
      <c r="J144" s="101">
        <v>0</v>
      </c>
    </row>
    <row r="145" spans="1:10" x14ac:dyDescent="0.3">
      <c r="A145" s="43" t="s">
        <v>417</v>
      </c>
      <c r="B145" s="5">
        <v>1</v>
      </c>
      <c r="D145" s="5">
        <v>4</v>
      </c>
      <c r="E145" s="30" t="s">
        <v>418</v>
      </c>
      <c r="F145" s="6" t="s">
        <v>419</v>
      </c>
      <c r="G145" s="101">
        <v>0</v>
      </c>
      <c r="H145" s="101">
        <v>0</v>
      </c>
      <c r="I145" s="101">
        <v>0</v>
      </c>
      <c r="J145" s="101">
        <v>0</v>
      </c>
    </row>
    <row r="146" spans="1:10" x14ac:dyDescent="0.3">
      <c r="A146" s="43" t="s">
        <v>420</v>
      </c>
      <c r="B146" s="5">
        <v>1</v>
      </c>
      <c r="D146" s="5">
        <v>4</v>
      </c>
      <c r="E146" s="30" t="s">
        <v>421</v>
      </c>
      <c r="F146" s="6" t="s">
        <v>422</v>
      </c>
      <c r="G146" s="101">
        <v>0</v>
      </c>
      <c r="H146" s="101">
        <v>0</v>
      </c>
      <c r="I146" s="101">
        <v>0</v>
      </c>
      <c r="J146" s="101">
        <v>0</v>
      </c>
    </row>
    <row r="147" spans="1:10" x14ac:dyDescent="0.3">
      <c r="A147" s="43" t="s">
        <v>989</v>
      </c>
      <c r="B147" s="5">
        <v>1</v>
      </c>
      <c r="D147" s="5">
        <v>4</v>
      </c>
      <c r="E147" s="30" t="s">
        <v>423</v>
      </c>
      <c r="F147" s="6" t="s">
        <v>424</v>
      </c>
      <c r="G147" s="101"/>
      <c r="H147" s="101"/>
      <c r="I147" s="101"/>
      <c r="J147" s="101"/>
    </row>
    <row r="148" spans="1:10" ht="18" customHeight="1" x14ac:dyDescent="0.3">
      <c r="A148" s="43" t="s">
        <v>425</v>
      </c>
      <c r="D148" s="5">
        <v>4</v>
      </c>
      <c r="E148" s="30" t="s">
        <v>426</v>
      </c>
      <c r="F148" s="6" t="s">
        <v>427</v>
      </c>
      <c r="G148" s="28"/>
      <c r="H148" s="28"/>
      <c r="I148" s="28"/>
      <c r="J148" s="28"/>
    </row>
    <row r="149" spans="1:10" x14ac:dyDescent="0.3">
      <c r="A149" s="34" t="s">
        <v>428</v>
      </c>
      <c r="B149" s="5">
        <v>1</v>
      </c>
      <c r="D149" s="5">
        <v>5</v>
      </c>
      <c r="E149" s="35" t="s">
        <v>429</v>
      </c>
      <c r="F149" s="6" t="s">
        <v>430</v>
      </c>
      <c r="G149" s="101">
        <v>0</v>
      </c>
      <c r="H149" s="101">
        <v>0</v>
      </c>
      <c r="I149" s="101">
        <v>0</v>
      </c>
      <c r="J149" s="101">
        <v>0</v>
      </c>
    </row>
    <row r="150" spans="1:10" x14ac:dyDescent="0.3">
      <c r="A150" s="34" t="s">
        <v>431</v>
      </c>
      <c r="B150" s="5">
        <v>1</v>
      </c>
      <c r="D150" s="5">
        <v>5</v>
      </c>
      <c r="E150" s="35" t="s">
        <v>432</v>
      </c>
      <c r="F150" s="6" t="s">
        <v>433</v>
      </c>
      <c r="G150" s="101">
        <v>0</v>
      </c>
      <c r="H150" s="101">
        <v>0</v>
      </c>
      <c r="I150" s="101">
        <v>0</v>
      </c>
      <c r="J150" s="101">
        <v>0</v>
      </c>
    </row>
    <row r="151" spans="1:10" x14ac:dyDescent="0.3">
      <c r="A151" s="34" t="s">
        <v>434</v>
      </c>
      <c r="B151" s="5">
        <v>1</v>
      </c>
      <c r="D151" s="5">
        <v>5</v>
      </c>
      <c r="E151" s="35" t="s">
        <v>435</v>
      </c>
      <c r="F151" s="6" t="s">
        <v>436</v>
      </c>
      <c r="G151" s="101">
        <v>0</v>
      </c>
      <c r="H151" s="101">
        <v>0</v>
      </c>
      <c r="I151" s="101">
        <v>0</v>
      </c>
      <c r="J151" s="101">
        <v>0</v>
      </c>
    </row>
    <row r="152" spans="1:10" x14ac:dyDescent="0.3">
      <c r="A152" s="34" t="s">
        <v>437</v>
      </c>
      <c r="B152" s="5">
        <v>1</v>
      </c>
      <c r="D152" s="5">
        <v>5</v>
      </c>
      <c r="E152" s="35"/>
      <c r="F152" s="6" t="s">
        <v>438</v>
      </c>
      <c r="G152" s="101">
        <v>0</v>
      </c>
      <c r="H152" s="101">
        <v>0</v>
      </c>
      <c r="I152" s="101">
        <v>0</v>
      </c>
      <c r="J152" s="101">
        <v>0</v>
      </c>
    </row>
    <row r="153" spans="1:10" x14ac:dyDescent="0.3">
      <c r="A153" s="31" t="s">
        <v>439</v>
      </c>
      <c r="B153" s="5">
        <v>4</v>
      </c>
      <c r="D153" s="5">
        <v>5</v>
      </c>
      <c r="E153" s="35" t="s">
        <v>440</v>
      </c>
      <c r="F153" s="6" t="s">
        <v>441</v>
      </c>
      <c r="G153" s="42">
        <f t="shared" ref="G153:H153" si="43">SUM(G149:G152)</f>
        <v>0</v>
      </c>
      <c r="H153" s="42">
        <f t="shared" si="43"/>
        <v>0</v>
      </c>
      <c r="I153" s="42">
        <f>SUM(I149:I152)</f>
        <v>0</v>
      </c>
      <c r="J153" s="42">
        <f>SUM(J149:J152)</f>
        <v>0</v>
      </c>
    </row>
    <row r="154" spans="1:10" ht="12.75" customHeight="1" x14ac:dyDescent="0.3">
      <c r="A154" s="74" t="s">
        <v>442</v>
      </c>
      <c r="B154" s="5">
        <v>1</v>
      </c>
      <c r="D154" s="5">
        <v>4</v>
      </c>
      <c r="E154" s="30" t="s">
        <v>443</v>
      </c>
      <c r="F154" s="6" t="s">
        <v>444</v>
      </c>
      <c r="G154" s="11">
        <v>0</v>
      </c>
      <c r="H154" s="11">
        <v>0</v>
      </c>
      <c r="I154" s="11">
        <v>0</v>
      </c>
      <c r="J154" s="11">
        <v>0</v>
      </c>
    </row>
    <row r="155" spans="1:10" x14ac:dyDescent="0.3">
      <c r="A155" s="31" t="s">
        <v>445</v>
      </c>
      <c r="B155" s="5">
        <v>20</v>
      </c>
      <c r="D155" s="5">
        <v>4</v>
      </c>
      <c r="E155" s="30" t="s">
        <v>446</v>
      </c>
      <c r="F155" s="6" t="s">
        <v>447</v>
      </c>
      <c r="G155" s="42">
        <f t="shared" ref="G155:H155" si="44">+G153+G132+G154</f>
        <v>0</v>
      </c>
      <c r="H155" s="42">
        <f t="shared" si="44"/>
        <v>0</v>
      </c>
      <c r="I155" s="42">
        <f>+I153+I132+I154</f>
        <v>0</v>
      </c>
      <c r="J155" s="42">
        <f t="shared" ref="J155" si="45">+J153+J132+J154</f>
        <v>0</v>
      </c>
    </row>
    <row r="156" spans="1:10" ht="18" customHeight="1" x14ac:dyDescent="0.3">
      <c r="A156" s="23" t="s">
        <v>448</v>
      </c>
      <c r="B156" s="5">
        <v>23</v>
      </c>
      <c r="D156" s="5">
        <v>3</v>
      </c>
      <c r="E156" s="23" t="s">
        <v>449</v>
      </c>
      <c r="F156" s="6" t="s">
        <v>450</v>
      </c>
      <c r="G156" s="101">
        <v>0</v>
      </c>
      <c r="H156" s="101">
        <v>0</v>
      </c>
      <c r="I156" s="101">
        <v>0</v>
      </c>
      <c r="J156" s="101">
        <v>-60634.45</v>
      </c>
    </row>
    <row r="157" spans="1:10" ht="18" customHeight="1" x14ac:dyDescent="0.3">
      <c r="A157" s="23" t="s">
        <v>451</v>
      </c>
      <c r="D157" s="5">
        <v>3</v>
      </c>
      <c r="E157" s="23" t="s">
        <v>452</v>
      </c>
      <c r="F157" s="6" t="s">
        <v>453</v>
      </c>
      <c r="G157" s="42"/>
      <c r="H157" s="42"/>
      <c r="I157" s="42"/>
      <c r="J157" s="42"/>
    </row>
    <row r="158" spans="1:10" x14ac:dyDescent="0.3">
      <c r="A158" s="43" t="s">
        <v>454</v>
      </c>
      <c r="B158" s="5">
        <v>10</v>
      </c>
      <c r="D158" s="5">
        <v>4</v>
      </c>
      <c r="E158" s="30" t="s">
        <v>455</v>
      </c>
      <c r="F158" s="6" t="s">
        <v>456</v>
      </c>
      <c r="G158" s="101"/>
      <c r="H158" s="101"/>
      <c r="I158" s="101"/>
      <c r="J158" s="101">
        <v>-8479.2000000000007</v>
      </c>
    </row>
    <row r="159" spans="1:10" x14ac:dyDescent="0.3">
      <c r="A159" s="43" t="s">
        <v>457</v>
      </c>
      <c r="B159" s="5">
        <v>3</v>
      </c>
      <c r="D159" s="5">
        <v>4</v>
      </c>
      <c r="E159" s="30" t="s">
        <v>458</v>
      </c>
      <c r="F159" s="6" t="s">
        <v>459</v>
      </c>
      <c r="G159" s="101">
        <v>0</v>
      </c>
      <c r="H159" s="101">
        <v>0</v>
      </c>
      <c r="I159" s="101">
        <v>0</v>
      </c>
      <c r="J159" s="101">
        <v>0</v>
      </c>
    </row>
    <row r="160" spans="1:10" x14ac:dyDescent="0.3">
      <c r="A160" s="43" t="s">
        <v>460</v>
      </c>
      <c r="B160" s="5">
        <v>6</v>
      </c>
      <c r="D160" s="5">
        <v>4</v>
      </c>
      <c r="E160" s="30" t="s">
        <v>461</v>
      </c>
      <c r="F160" s="6" t="s">
        <v>462</v>
      </c>
      <c r="G160" s="101">
        <v>0</v>
      </c>
      <c r="H160" s="101">
        <v>0</v>
      </c>
      <c r="I160" s="101">
        <v>0</v>
      </c>
      <c r="J160" s="101">
        <v>0</v>
      </c>
    </row>
    <row r="161" spans="1:10" x14ac:dyDescent="0.3">
      <c r="A161" s="31" t="s">
        <v>463</v>
      </c>
      <c r="B161" s="5">
        <v>13</v>
      </c>
      <c r="D161" s="5">
        <v>4</v>
      </c>
      <c r="E161" s="30" t="s">
        <v>464</v>
      </c>
      <c r="F161" s="6" t="s">
        <v>465</v>
      </c>
      <c r="G161" s="42">
        <f t="shared" ref="G161:H161" si="46">SUM(G158:G160)</f>
        <v>0</v>
      </c>
      <c r="H161" s="42">
        <f t="shared" si="46"/>
        <v>0</v>
      </c>
      <c r="I161" s="42">
        <f>SUM(I158:I160)</f>
        <v>0</v>
      </c>
      <c r="J161" s="42">
        <f>SUM(J158:J160)</f>
        <v>-8479.2000000000007</v>
      </c>
    </row>
    <row r="162" spans="1:10" x14ac:dyDescent="0.3">
      <c r="A162" s="74" t="s">
        <v>466</v>
      </c>
      <c r="E162" s="30"/>
      <c r="G162" s="101">
        <v>0</v>
      </c>
      <c r="H162" s="101">
        <v>0</v>
      </c>
      <c r="I162" s="101">
        <v>0</v>
      </c>
      <c r="J162" s="101">
        <v>0</v>
      </c>
    </row>
    <row r="163" spans="1:10" ht="18" customHeight="1" x14ac:dyDescent="0.3">
      <c r="A163" s="24" t="s">
        <v>467</v>
      </c>
      <c r="B163" s="5">
        <v>242</v>
      </c>
      <c r="D163" s="5">
        <v>3</v>
      </c>
      <c r="E163" s="25" t="s">
        <v>468</v>
      </c>
      <c r="F163" s="6" t="s">
        <v>469</v>
      </c>
      <c r="G163" s="38">
        <f t="shared" ref="G163:H163" si="47">+G161+G156+G155+G131+G130+G129+G128+G127+G162</f>
        <v>0</v>
      </c>
      <c r="H163" s="38">
        <f t="shared" si="47"/>
        <v>0</v>
      </c>
      <c r="I163" s="38">
        <f>+I161+I156+I155+I131+I130+I129+I128+I127+I162</f>
        <v>0</v>
      </c>
      <c r="J163" s="38">
        <f t="shared" ref="J163" si="48">+J161+J156+J155+J131+J130+J129+J128+J127+J162</f>
        <v>30886.350000000006</v>
      </c>
    </row>
    <row r="164" spans="1:10" ht="18" customHeight="1" x14ac:dyDescent="0.3">
      <c r="A164" s="20" t="s">
        <v>470</v>
      </c>
      <c r="D164" s="5">
        <v>2</v>
      </c>
      <c r="E164" s="21" t="s">
        <v>471</v>
      </c>
      <c r="F164" s="6" t="s">
        <v>472</v>
      </c>
      <c r="G164" s="28" t="s">
        <v>86</v>
      </c>
      <c r="H164" s="28" t="s">
        <v>86</v>
      </c>
      <c r="I164" s="28" t="s">
        <v>86</v>
      </c>
      <c r="J164" s="28" t="s">
        <v>86</v>
      </c>
    </row>
    <row r="165" spans="1:10" x14ac:dyDescent="0.3">
      <c r="A165" s="23" t="s">
        <v>473</v>
      </c>
      <c r="B165" s="5">
        <v>1</v>
      </c>
      <c r="D165" s="5">
        <v>3</v>
      </c>
      <c r="E165" s="23" t="s">
        <v>474</v>
      </c>
      <c r="F165" s="6" t="s">
        <v>475</v>
      </c>
      <c r="G165" s="101">
        <v>0</v>
      </c>
      <c r="H165" s="101">
        <v>0</v>
      </c>
      <c r="I165" s="101">
        <v>0</v>
      </c>
      <c r="J165" s="101">
        <v>0</v>
      </c>
    </row>
    <row r="166" spans="1:10" x14ac:dyDescent="0.3">
      <c r="A166" s="23" t="s">
        <v>476</v>
      </c>
      <c r="B166" s="5">
        <v>1</v>
      </c>
      <c r="D166" s="5">
        <v>3</v>
      </c>
      <c r="E166" s="23" t="s">
        <v>477</v>
      </c>
      <c r="F166" s="6" t="s">
        <v>478</v>
      </c>
      <c r="G166" s="101"/>
      <c r="H166" s="101"/>
      <c r="I166" s="101"/>
      <c r="J166" s="101">
        <v>0</v>
      </c>
    </row>
    <row r="167" spans="1:10" x14ac:dyDescent="0.3">
      <c r="A167" s="74" t="s">
        <v>479</v>
      </c>
      <c r="E167" s="23"/>
      <c r="G167" s="101"/>
      <c r="H167" s="101"/>
      <c r="I167" s="101"/>
      <c r="J167" s="101">
        <v>0</v>
      </c>
    </row>
    <row r="168" spans="1:10" x14ac:dyDescent="0.3">
      <c r="A168" s="23" t="s">
        <v>480</v>
      </c>
      <c r="B168" s="5">
        <v>1</v>
      </c>
      <c r="D168" s="5">
        <v>3</v>
      </c>
      <c r="E168" s="23" t="s">
        <v>481</v>
      </c>
      <c r="F168" s="6" t="s">
        <v>482</v>
      </c>
      <c r="G168" s="101"/>
      <c r="H168" s="101"/>
      <c r="I168" s="101"/>
      <c r="J168" s="101">
        <v>0</v>
      </c>
    </row>
    <row r="169" spans="1:10" x14ac:dyDescent="0.3">
      <c r="A169" s="24" t="s">
        <v>483</v>
      </c>
      <c r="B169" s="5">
        <v>3</v>
      </c>
      <c r="D169" s="5">
        <v>3</v>
      </c>
      <c r="E169" s="25" t="s">
        <v>484</v>
      </c>
      <c r="F169" s="6" t="s">
        <v>485</v>
      </c>
      <c r="G169" s="42">
        <f t="shared" ref="G169:H169" si="49">SUM(G165:G168)</f>
        <v>0</v>
      </c>
      <c r="H169" s="42">
        <f t="shared" si="49"/>
        <v>0</v>
      </c>
      <c r="I169" s="42">
        <f>SUM(I165:I168)</f>
        <v>0</v>
      </c>
      <c r="J169" s="42">
        <f>SUM(J165:J168)</f>
        <v>0</v>
      </c>
    </row>
    <row r="170" spans="1:10" ht="18" customHeight="1" x14ac:dyDescent="0.3">
      <c r="A170" s="20" t="s">
        <v>486</v>
      </c>
      <c r="B170" s="5">
        <v>34</v>
      </c>
      <c r="D170" s="5">
        <v>2</v>
      </c>
      <c r="E170" s="21" t="s">
        <v>487</v>
      </c>
      <c r="F170" s="6" t="s">
        <v>488</v>
      </c>
      <c r="G170" s="101"/>
      <c r="H170" s="101"/>
      <c r="I170" s="101"/>
      <c r="J170" s="101">
        <v>15296.07</v>
      </c>
    </row>
    <row r="171" spans="1:10" ht="18" customHeight="1" x14ac:dyDescent="0.3">
      <c r="A171" s="20" t="s">
        <v>489</v>
      </c>
      <c r="D171" s="5">
        <v>2</v>
      </c>
      <c r="E171" s="21" t="s">
        <v>490</v>
      </c>
      <c r="F171" s="6" t="s">
        <v>491</v>
      </c>
      <c r="G171" s="28"/>
      <c r="H171" s="28"/>
      <c r="I171" s="28"/>
      <c r="J171" s="28" t="s">
        <v>86</v>
      </c>
    </row>
    <row r="172" spans="1:10" ht="18" customHeight="1" x14ac:dyDescent="0.3">
      <c r="A172" s="23" t="s">
        <v>492</v>
      </c>
      <c r="D172" s="5">
        <v>3</v>
      </c>
      <c r="E172" s="23" t="s">
        <v>493</v>
      </c>
      <c r="F172" s="6" t="s">
        <v>494</v>
      </c>
      <c r="G172" s="28" t="s">
        <v>86</v>
      </c>
      <c r="H172" s="28" t="s">
        <v>86</v>
      </c>
      <c r="I172" s="28" t="s">
        <v>86</v>
      </c>
      <c r="J172" s="28" t="s">
        <v>86</v>
      </c>
    </row>
    <row r="173" spans="1:10" x14ac:dyDescent="0.3">
      <c r="A173" s="29" t="s">
        <v>179</v>
      </c>
      <c r="B173" s="5">
        <v>1</v>
      </c>
      <c r="D173" s="5">
        <v>4</v>
      </c>
      <c r="E173" s="30" t="s">
        <v>180</v>
      </c>
      <c r="F173" s="6" t="s">
        <v>495</v>
      </c>
      <c r="G173" s="101">
        <v>0</v>
      </c>
      <c r="H173" s="101">
        <v>0</v>
      </c>
      <c r="I173" s="101">
        <v>0</v>
      </c>
      <c r="J173" s="101">
        <v>0</v>
      </c>
    </row>
    <row r="174" spans="1:10" x14ac:dyDescent="0.3">
      <c r="A174" s="29" t="s">
        <v>182</v>
      </c>
      <c r="B174" s="5">
        <v>1</v>
      </c>
      <c r="D174" s="5">
        <v>4</v>
      </c>
      <c r="E174" s="30" t="s">
        <v>183</v>
      </c>
      <c r="F174" s="6" t="s">
        <v>496</v>
      </c>
      <c r="G174" s="101">
        <v>0</v>
      </c>
      <c r="H174" s="101">
        <v>0</v>
      </c>
      <c r="I174" s="101">
        <v>0</v>
      </c>
      <c r="J174" s="101">
        <v>0</v>
      </c>
    </row>
    <row r="175" spans="1:10" x14ac:dyDescent="0.3">
      <c r="A175" s="31" t="s">
        <v>497</v>
      </c>
      <c r="B175" s="5">
        <v>2</v>
      </c>
      <c r="D175" s="5">
        <v>4</v>
      </c>
      <c r="E175" s="30" t="s">
        <v>498</v>
      </c>
      <c r="F175" s="6" t="s">
        <v>499</v>
      </c>
      <c r="G175" s="42">
        <f t="shared" ref="G175:H175" si="50">SUM(G173:G174)</f>
        <v>0</v>
      </c>
      <c r="H175" s="42">
        <f t="shared" si="50"/>
        <v>0</v>
      </c>
      <c r="I175" s="42">
        <f>SUM(I173:I174)</f>
        <v>0</v>
      </c>
      <c r="J175" s="42">
        <f>SUM(J173:J174)</f>
        <v>0</v>
      </c>
    </row>
    <row r="176" spans="1:10" ht="17.25" customHeight="1" x14ac:dyDescent="0.3">
      <c r="A176" s="23" t="s">
        <v>500</v>
      </c>
      <c r="D176" s="5">
        <v>3</v>
      </c>
      <c r="E176" s="23" t="s">
        <v>501</v>
      </c>
      <c r="F176" s="6" t="s">
        <v>502</v>
      </c>
      <c r="G176" s="28" t="s">
        <v>86</v>
      </c>
      <c r="H176" s="28" t="s">
        <v>86</v>
      </c>
      <c r="I176" s="28" t="s">
        <v>86</v>
      </c>
      <c r="J176" s="28" t="s">
        <v>86</v>
      </c>
    </row>
    <row r="177" spans="1:10" x14ac:dyDescent="0.3">
      <c r="A177" s="29" t="s">
        <v>179</v>
      </c>
      <c r="B177" s="5">
        <v>1</v>
      </c>
      <c r="D177" s="5">
        <v>4</v>
      </c>
      <c r="E177" s="30" t="s">
        <v>180</v>
      </c>
      <c r="F177" s="6" t="s">
        <v>503</v>
      </c>
      <c r="G177" s="101">
        <v>0</v>
      </c>
      <c r="H177" s="101">
        <v>0</v>
      </c>
      <c r="I177" s="101">
        <v>0</v>
      </c>
      <c r="J177" s="101">
        <v>0</v>
      </c>
    </row>
    <row r="178" spans="1:10" x14ac:dyDescent="0.3">
      <c r="A178" s="29" t="s">
        <v>182</v>
      </c>
      <c r="B178" s="5">
        <v>1</v>
      </c>
      <c r="D178" s="5">
        <v>4</v>
      </c>
      <c r="E178" s="30" t="s">
        <v>183</v>
      </c>
      <c r="F178" s="6" t="s">
        <v>504</v>
      </c>
      <c r="G178" s="101">
        <v>0</v>
      </c>
      <c r="H178" s="101">
        <v>0</v>
      </c>
      <c r="I178" s="101">
        <v>0</v>
      </c>
      <c r="J178" s="101">
        <v>0</v>
      </c>
    </row>
    <row r="179" spans="1:10" x14ac:dyDescent="0.3">
      <c r="A179" s="31" t="s">
        <v>505</v>
      </c>
      <c r="B179" s="5">
        <v>2</v>
      </c>
      <c r="D179" s="5">
        <v>4</v>
      </c>
      <c r="E179" s="30" t="s">
        <v>506</v>
      </c>
      <c r="F179" s="6" t="s">
        <v>507</v>
      </c>
      <c r="G179" s="42">
        <f t="shared" ref="G179:H179" si="51">SUM(G177:G178)</f>
        <v>0</v>
      </c>
      <c r="H179" s="42">
        <f t="shared" si="51"/>
        <v>0</v>
      </c>
      <c r="I179" s="42">
        <f>SUM(I177:I178)</f>
        <v>0</v>
      </c>
      <c r="J179" s="42">
        <f>SUM(J177:J178)</f>
        <v>0</v>
      </c>
    </row>
    <row r="180" spans="1:10" ht="18" customHeight="1" x14ac:dyDescent="0.3">
      <c r="A180" s="23" t="s">
        <v>508</v>
      </c>
      <c r="D180" s="5">
        <v>3</v>
      </c>
      <c r="E180" s="23" t="s">
        <v>509</v>
      </c>
      <c r="F180" s="6" t="s">
        <v>510</v>
      </c>
      <c r="G180" s="28" t="s">
        <v>86</v>
      </c>
      <c r="H180" s="28" t="s">
        <v>86</v>
      </c>
      <c r="I180" s="28" t="s">
        <v>86</v>
      </c>
      <c r="J180" s="28" t="s">
        <v>86</v>
      </c>
    </row>
    <row r="181" spans="1:10" x14ac:dyDescent="0.3">
      <c r="A181" s="29" t="s">
        <v>179</v>
      </c>
      <c r="B181" s="5">
        <v>1</v>
      </c>
      <c r="D181" s="5">
        <v>4</v>
      </c>
      <c r="E181" s="30" t="s">
        <v>180</v>
      </c>
      <c r="F181" s="6" t="s">
        <v>511</v>
      </c>
      <c r="G181" s="101"/>
      <c r="H181" s="101"/>
      <c r="I181" s="101"/>
      <c r="J181" s="101"/>
    </row>
    <row r="182" spans="1:10" x14ac:dyDescent="0.3">
      <c r="A182" s="29" t="s">
        <v>182</v>
      </c>
      <c r="B182" s="5">
        <v>1</v>
      </c>
      <c r="D182" s="5">
        <v>4</v>
      </c>
      <c r="E182" s="30" t="s">
        <v>183</v>
      </c>
      <c r="F182" s="6" t="s">
        <v>512</v>
      </c>
      <c r="G182" s="101">
        <v>0</v>
      </c>
      <c r="H182" s="101">
        <v>0</v>
      </c>
      <c r="I182" s="101">
        <v>0</v>
      </c>
      <c r="J182" s="101">
        <v>0</v>
      </c>
    </row>
    <row r="183" spans="1:10" x14ac:dyDescent="0.3">
      <c r="A183" s="31" t="s">
        <v>513</v>
      </c>
      <c r="B183" s="5">
        <v>2</v>
      </c>
      <c r="D183" s="5">
        <v>4</v>
      </c>
      <c r="E183" s="30" t="s">
        <v>514</v>
      </c>
      <c r="F183" s="6" t="s">
        <v>515</v>
      </c>
      <c r="G183" s="42">
        <f t="shared" ref="G183:H183" si="52">SUM(G181:G182)</f>
        <v>0</v>
      </c>
      <c r="H183" s="42">
        <f t="shared" si="52"/>
        <v>0</v>
      </c>
      <c r="I183" s="42">
        <f>SUM(I181:I182)</f>
        <v>0</v>
      </c>
      <c r="J183" s="42">
        <f>SUM(J181:J182)</f>
        <v>0</v>
      </c>
    </row>
    <row r="184" spans="1:10" ht="18" customHeight="1" x14ac:dyDescent="0.3">
      <c r="A184" s="23" t="s">
        <v>516</v>
      </c>
      <c r="D184" s="5">
        <v>3</v>
      </c>
      <c r="E184" s="23" t="s">
        <v>517</v>
      </c>
      <c r="F184" s="6" t="s">
        <v>518</v>
      </c>
      <c r="G184" s="28" t="s">
        <v>86</v>
      </c>
      <c r="H184" s="28" t="s">
        <v>86</v>
      </c>
      <c r="I184" s="28" t="s">
        <v>86</v>
      </c>
      <c r="J184" s="28" t="s">
        <v>86</v>
      </c>
    </row>
    <row r="185" spans="1:10" x14ac:dyDescent="0.3">
      <c r="A185" s="29" t="s">
        <v>179</v>
      </c>
      <c r="B185" s="5">
        <v>1</v>
      </c>
      <c r="D185" s="5">
        <v>4</v>
      </c>
      <c r="E185" s="30" t="s">
        <v>180</v>
      </c>
      <c r="F185" s="6" t="s">
        <v>519</v>
      </c>
      <c r="G185" s="101"/>
      <c r="H185" s="101"/>
      <c r="I185" s="101"/>
      <c r="J185" s="101">
        <v>529.32000000000005</v>
      </c>
    </row>
    <row r="186" spans="1:10" x14ac:dyDescent="0.3">
      <c r="A186" s="29" t="s">
        <v>182</v>
      </c>
      <c r="B186" s="5">
        <v>1</v>
      </c>
      <c r="D186" s="5">
        <v>4</v>
      </c>
      <c r="E186" s="30" t="s">
        <v>183</v>
      </c>
      <c r="F186" s="6" t="s">
        <v>520</v>
      </c>
      <c r="G186" s="101"/>
      <c r="H186" s="101"/>
      <c r="I186" s="101"/>
      <c r="J186" s="101"/>
    </row>
    <row r="187" spans="1:10" x14ac:dyDescent="0.3">
      <c r="A187" s="31" t="s">
        <v>521</v>
      </c>
      <c r="B187" s="5">
        <v>2</v>
      </c>
      <c r="D187" s="5">
        <v>4</v>
      </c>
      <c r="E187" s="30" t="s">
        <v>522</v>
      </c>
      <c r="F187" s="6" t="s">
        <v>523</v>
      </c>
      <c r="G187" s="42">
        <f t="shared" ref="G187:H187" si="53">SUM(G185:G186)</f>
        <v>0</v>
      </c>
      <c r="H187" s="42">
        <f t="shared" si="53"/>
        <v>0</v>
      </c>
      <c r="I187" s="42">
        <f>SUM(I185:I186)</f>
        <v>0</v>
      </c>
      <c r="J187" s="42">
        <f>SUM(J185:J186)</f>
        <v>529.32000000000005</v>
      </c>
    </row>
    <row r="188" spans="1:10" ht="18" customHeight="1" x14ac:dyDescent="0.3">
      <c r="A188" s="23" t="s">
        <v>524</v>
      </c>
      <c r="D188" s="5">
        <v>3</v>
      </c>
      <c r="E188" s="23" t="s">
        <v>525</v>
      </c>
      <c r="F188" s="6" t="s">
        <v>526</v>
      </c>
      <c r="G188" s="28" t="s">
        <v>86</v>
      </c>
      <c r="H188" s="28" t="s">
        <v>86</v>
      </c>
      <c r="I188" s="28" t="s">
        <v>86</v>
      </c>
      <c r="J188" s="28" t="s">
        <v>86</v>
      </c>
    </row>
    <row r="189" spans="1:10" x14ac:dyDescent="0.3">
      <c r="A189" s="29" t="s">
        <v>179</v>
      </c>
      <c r="B189" s="5">
        <v>1</v>
      </c>
      <c r="D189" s="5">
        <v>4</v>
      </c>
      <c r="E189" s="30" t="s">
        <v>180</v>
      </c>
      <c r="F189" s="6" t="s">
        <v>527</v>
      </c>
      <c r="G189" s="101">
        <v>0</v>
      </c>
      <c r="H189" s="101">
        <v>0</v>
      </c>
      <c r="I189" s="101">
        <v>0</v>
      </c>
      <c r="J189" s="101">
        <v>0</v>
      </c>
    </row>
    <row r="190" spans="1:10" x14ac:dyDescent="0.3">
      <c r="A190" s="29" t="s">
        <v>182</v>
      </c>
      <c r="B190" s="5">
        <v>1</v>
      </c>
      <c r="D190" s="5">
        <v>4</v>
      </c>
      <c r="E190" s="30" t="s">
        <v>183</v>
      </c>
      <c r="F190" s="6" t="s">
        <v>528</v>
      </c>
      <c r="G190" s="101">
        <v>0</v>
      </c>
      <c r="H190" s="101">
        <v>0</v>
      </c>
      <c r="I190" s="101">
        <v>0</v>
      </c>
      <c r="J190" s="101">
        <v>0</v>
      </c>
    </row>
    <row r="191" spans="1:10" x14ac:dyDescent="0.3">
      <c r="A191" s="31" t="s">
        <v>529</v>
      </c>
      <c r="B191" s="5">
        <v>2</v>
      </c>
      <c r="D191" s="5">
        <v>4</v>
      </c>
      <c r="E191" s="30" t="s">
        <v>530</v>
      </c>
      <c r="F191" s="6" t="s">
        <v>531</v>
      </c>
      <c r="G191" s="42">
        <f t="shared" ref="G191:H191" si="54">SUM(G189:G190)</f>
        <v>0</v>
      </c>
      <c r="H191" s="42">
        <f t="shared" si="54"/>
        <v>0</v>
      </c>
      <c r="I191" s="42">
        <f>SUM(I189:I190)</f>
        <v>0</v>
      </c>
      <c r="J191" s="42">
        <f>SUM(J189:J190)</f>
        <v>0</v>
      </c>
    </row>
    <row r="192" spans="1:10" ht="18" customHeight="1" x14ac:dyDescent="0.3">
      <c r="A192" s="23" t="s">
        <v>532</v>
      </c>
      <c r="D192" s="5">
        <v>3</v>
      </c>
      <c r="E192" s="23" t="s">
        <v>533</v>
      </c>
      <c r="F192" s="6" t="s">
        <v>534</v>
      </c>
      <c r="G192" s="28" t="s">
        <v>86</v>
      </c>
      <c r="H192" s="28" t="s">
        <v>86</v>
      </c>
      <c r="I192" s="28" t="s">
        <v>86</v>
      </c>
      <c r="J192" s="28" t="s">
        <v>86</v>
      </c>
    </row>
    <row r="193" spans="1:10" x14ac:dyDescent="0.3">
      <c r="A193" s="29" t="s">
        <v>179</v>
      </c>
      <c r="B193" s="5">
        <v>1</v>
      </c>
      <c r="D193" s="5">
        <v>4</v>
      </c>
      <c r="E193" s="30" t="s">
        <v>180</v>
      </c>
      <c r="F193" s="6" t="s">
        <v>535</v>
      </c>
      <c r="G193" s="101">
        <v>0</v>
      </c>
      <c r="H193" s="101">
        <v>0</v>
      </c>
      <c r="I193" s="101">
        <v>0</v>
      </c>
      <c r="J193" s="101"/>
    </row>
    <row r="194" spans="1:10" x14ac:dyDescent="0.3">
      <c r="A194" s="29" t="s">
        <v>182</v>
      </c>
      <c r="B194" s="5">
        <v>1</v>
      </c>
      <c r="D194" s="5">
        <v>4</v>
      </c>
      <c r="E194" s="30" t="s">
        <v>183</v>
      </c>
      <c r="F194" s="6" t="s">
        <v>536</v>
      </c>
      <c r="G194" s="101">
        <v>0</v>
      </c>
      <c r="H194" s="101">
        <v>0</v>
      </c>
      <c r="I194" s="101">
        <v>0</v>
      </c>
      <c r="J194" s="101">
        <v>0</v>
      </c>
    </row>
    <row r="195" spans="1:10" x14ac:dyDescent="0.3">
      <c r="A195" s="31" t="s">
        <v>537</v>
      </c>
      <c r="B195" s="5">
        <v>2</v>
      </c>
      <c r="D195" s="5">
        <v>4</v>
      </c>
      <c r="E195" s="30" t="s">
        <v>538</v>
      </c>
      <c r="F195" s="6" t="s">
        <v>539</v>
      </c>
      <c r="G195" s="42">
        <f t="shared" ref="G195:H195" si="55">SUM(G193:G194)</f>
        <v>0</v>
      </c>
      <c r="H195" s="42">
        <f t="shared" si="55"/>
        <v>0</v>
      </c>
      <c r="I195" s="42">
        <f>SUM(I193:I194)</f>
        <v>0</v>
      </c>
      <c r="J195" s="42">
        <f>SUM(J193:J194)</f>
        <v>0</v>
      </c>
    </row>
    <row r="196" spans="1:10" ht="18" customHeight="1" x14ac:dyDescent="0.3">
      <c r="A196" s="23" t="s">
        <v>540</v>
      </c>
      <c r="D196" s="5">
        <v>3</v>
      </c>
      <c r="E196" s="23" t="s">
        <v>541</v>
      </c>
      <c r="F196" s="6" t="s">
        <v>542</v>
      </c>
      <c r="G196" s="28" t="s">
        <v>86</v>
      </c>
      <c r="H196" s="28" t="s">
        <v>86</v>
      </c>
      <c r="I196" s="28" t="s">
        <v>86</v>
      </c>
      <c r="J196" s="28" t="s">
        <v>86</v>
      </c>
    </row>
    <row r="197" spans="1:10" x14ac:dyDescent="0.3">
      <c r="A197" s="29" t="s">
        <v>179</v>
      </c>
      <c r="B197" s="5">
        <v>1</v>
      </c>
      <c r="D197" s="5">
        <v>4</v>
      </c>
      <c r="E197" s="30" t="s">
        <v>180</v>
      </c>
      <c r="F197" s="6" t="s">
        <v>543</v>
      </c>
      <c r="G197" s="101"/>
      <c r="H197" s="101"/>
      <c r="I197" s="101"/>
      <c r="J197" s="101">
        <f>190951.46+11067.91-240.04</f>
        <v>201779.33</v>
      </c>
    </row>
    <row r="198" spans="1:10" x14ac:dyDescent="0.3">
      <c r="A198" s="29" t="s">
        <v>182</v>
      </c>
      <c r="B198" s="5">
        <v>1</v>
      </c>
      <c r="D198" s="5">
        <v>4</v>
      </c>
      <c r="E198" s="30" t="s">
        <v>183</v>
      </c>
      <c r="F198" s="6" t="s">
        <v>544</v>
      </c>
      <c r="G198" s="101">
        <v>0</v>
      </c>
      <c r="H198" s="101">
        <v>0</v>
      </c>
      <c r="I198" s="101">
        <v>0</v>
      </c>
      <c r="J198" s="101">
        <v>0</v>
      </c>
    </row>
    <row r="199" spans="1:10" x14ac:dyDescent="0.3">
      <c r="A199" s="31" t="s">
        <v>545</v>
      </c>
      <c r="B199" s="5">
        <v>2</v>
      </c>
      <c r="D199" s="5">
        <v>4</v>
      </c>
      <c r="E199" s="30" t="s">
        <v>258</v>
      </c>
      <c r="F199" s="6" t="s">
        <v>546</v>
      </c>
      <c r="G199" s="42">
        <f t="shared" ref="G199:H199" si="56">SUM(G197:G198)</f>
        <v>0</v>
      </c>
      <c r="H199" s="42">
        <f t="shared" si="56"/>
        <v>0</v>
      </c>
      <c r="I199" s="42">
        <f>SUM(I197:I198)</f>
        <v>0</v>
      </c>
      <c r="J199" s="42">
        <f>SUM(J197:J198)</f>
        <v>201779.33</v>
      </c>
    </row>
    <row r="200" spans="1:10" ht="18" customHeight="1" x14ac:dyDescent="0.3">
      <c r="A200" s="23" t="s">
        <v>547</v>
      </c>
      <c r="D200" s="5">
        <v>3</v>
      </c>
      <c r="E200" s="23" t="s">
        <v>548</v>
      </c>
      <c r="F200" s="6" t="s">
        <v>549</v>
      </c>
      <c r="G200" s="28" t="s">
        <v>86</v>
      </c>
      <c r="H200" s="28" t="s">
        <v>86</v>
      </c>
      <c r="I200" s="28" t="s">
        <v>86</v>
      </c>
      <c r="J200" s="28" t="s">
        <v>86</v>
      </c>
    </row>
    <row r="201" spans="1:10" x14ac:dyDescent="0.3">
      <c r="A201" s="29" t="s">
        <v>179</v>
      </c>
      <c r="B201" s="5">
        <v>1</v>
      </c>
      <c r="D201" s="5">
        <v>4</v>
      </c>
      <c r="E201" s="30" t="s">
        <v>180</v>
      </c>
      <c r="F201" s="6" t="s">
        <v>550</v>
      </c>
      <c r="G201" s="101">
        <v>0</v>
      </c>
      <c r="H201" s="101">
        <v>0</v>
      </c>
      <c r="I201" s="101">
        <v>0</v>
      </c>
      <c r="J201" s="101">
        <v>0</v>
      </c>
    </row>
    <row r="202" spans="1:10" x14ac:dyDescent="0.3">
      <c r="A202" s="29" t="s">
        <v>182</v>
      </c>
      <c r="B202" s="5">
        <v>1</v>
      </c>
      <c r="D202" s="5">
        <v>4</v>
      </c>
      <c r="E202" s="30" t="s">
        <v>183</v>
      </c>
      <c r="F202" s="6" t="s">
        <v>551</v>
      </c>
      <c r="G202" s="101">
        <v>0</v>
      </c>
      <c r="H202" s="101">
        <v>0</v>
      </c>
      <c r="I202" s="101">
        <v>0</v>
      </c>
      <c r="J202" s="101">
        <v>0</v>
      </c>
    </row>
    <row r="203" spans="1:10" x14ac:dyDescent="0.3">
      <c r="A203" s="31" t="s">
        <v>552</v>
      </c>
      <c r="B203" s="5">
        <v>2</v>
      </c>
      <c r="D203" s="5">
        <v>4</v>
      </c>
      <c r="E203" s="30" t="s">
        <v>553</v>
      </c>
      <c r="F203" s="6" t="s">
        <v>554</v>
      </c>
      <c r="G203" s="42">
        <f t="shared" ref="G203:H203" si="57">SUM(G201:G202)</f>
        <v>0</v>
      </c>
      <c r="H203" s="42">
        <f t="shared" si="57"/>
        <v>0</v>
      </c>
      <c r="I203" s="42">
        <f>SUM(I201:I202)</f>
        <v>0</v>
      </c>
      <c r="J203" s="42">
        <f>SUM(J201:J202)</f>
        <v>0</v>
      </c>
    </row>
    <row r="204" spans="1:10" ht="18" customHeight="1" x14ac:dyDescent="0.3">
      <c r="A204" s="23" t="s">
        <v>555</v>
      </c>
      <c r="D204" s="5">
        <v>3</v>
      </c>
      <c r="E204" s="23" t="s">
        <v>556</v>
      </c>
      <c r="F204" s="6" t="s">
        <v>557</v>
      </c>
      <c r="G204" s="28" t="s">
        <v>86</v>
      </c>
      <c r="H204" s="28" t="s">
        <v>86</v>
      </c>
      <c r="I204" s="28" t="s">
        <v>86</v>
      </c>
      <c r="J204" s="28" t="s">
        <v>86</v>
      </c>
    </row>
    <row r="205" spans="1:10" x14ac:dyDescent="0.3">
      <c r="A205" s="29" t="s">
        <v>179</v>
      </c>
      <c r="B205" s="5">
        <v>1</v>
      </c>
      <c r="D205" s="5">
        <v>4</v>
      </c>
      <c r="E205" s="30" t="s">
        <v>180</v>
      </c>
      <c r="F205" s="6" t="s">
        <v>558</v>
      </c>
      <c r="G205" s="101">
        <v>0</v>
      </c>
      <c r="H205" s="101">
        <v>0</v>
      </c>
      <c r="I205" s="101">
        <v>0</v>
      </c>
      <c r="J205" s="101">
        <v>0</v>
      </c>
    </row>
    <row r="206" spans="1:10" x14ac:dyDescent="0.3">
      <c r="A206" s="29" t="s">
        <v>182</v>
      </c>
      <c r="B206" s="5">
        <v>1</v>
      </c>
      <c r="D206" s="5">
        <v>4</v>
      </c>
      <c r="E206" s="30" t="s">
        <v>183</v>
      </c>
      <c r="F206" s="6" t="s">
        <v>559</v>
      </c>
      <c r="G206" s="101">
        <v>0</v>
      </c>
      <c r="H206" s="101">
        <v>0</v>
      </c>
      <c r="I206" s="101">
        <v>0</v>
      </c>
      <c r="J206" s="101">
        <v>0</v>
      </c>
    </row>
    <row r="207" spans="1:10" x14ac:dyDescent="0.3">
      <c r="A207" s="31" t="s">
        <v>560</v>
      </c>
      <c r="B207" s="5">
        <v>2</v>
      </c>
      <c r="D207" s="5">
        <v>4</v>
      </c>
      <c r="E207" s="30" t="s">
        <v>561</v>
      </c>
      <c r="F207" s="6" t="s">
        <v>562</v>
      </c>
      <c r="G207" s="42">
        <f t="shared" ref="G207:H207" si="58">SUM(G205:G206)</f>
        <v>0</v>
      </c>
      <c r="H207" s="42">
        <f t="shared" si="58"/>
        <v>0</v>
      </c>
      <c r="I207" s="42">
        <f t="shared" ref="I207:J207" si="59">SUM(I205:I206)</f>
        <v>0</v>
      </c>
      <c r="J207" s="42">
        <f t="shared" si="59"/>
        <v>0</v>
      </c>
    </row>
    <row r="208" spans="1:10" ht="18" customHeight="1" x14ac:dyDescent="0.3">
      <c r="A208" s="23" t="s">
        <v>563</v>
      </c>
      <c r="D208" s="5">
        <v>3</v>
      </c>
      <c r="E208" s="23" t="s">
        <v>564</v>
      </c>
      <c r="F208" s="6" t="s">
        <v>565</v>
      </c>
      <c r="G208" s="28" t="s">
        <v>86</v>
      </c>
      <c r="H208" s="28" t="s">
        <v>86</v>
      </c>
      <c r="I208" s="28" t="s">
        <v>86</v>
      </c>
      <c r="J208" s="28" t="s">
        <v>86</v>
      </c>
    </row>
    <row r="209" spans="1:16" x14ac:dyDescent="0.3">
      <c r="A209" s="29" t="s">
        <v>179</v>
      </c>
      <c r="B209" s="5">
        <v>1</v>
      </c>
      <c r="D209" s="5">
        <v>4</v>
      </c>
      <c r="E209" s="30" t="s">
        <v>180</v>
      </c>
      <c r="F209" s="6" t="s">
        <v>566</v>
      </c>
      <c r="G209" s="101">
        <v>0</v>
      </c>
      <c r="H209" s="101">
        <v>0</v>
      </c>
      <c r="I209" s="101">
        <v>0</v>
      </c>
      <c r="J209" s="101">
        <v>0</v>
      </c>
    </row>
    <row r="210" spans="1:16" x14ac:dyDescent="0.3">
      <c r="A210" s="29" t="s">
        <v>182</v>
      </c>
      <c r="B210" s="5">
        <v>1</v>
      </c>
      <c r="D210" s="5">
        <v>4</v>
      </c>
      <c r="E210" s="30" t="s">
        <v>183</v>
      </c>
      <c r="F210" s="6" t="s">
        <v>567</v>
      </c>
      <c r="G210" s="101">
        <v>0</v>
      </c>
      <c r="H210" s="101">
        <v>0</v>
      </c>
      <c r="I210" s="101">
        <v>0</v>
      </c>
      <c r="J210" s="101">
        <v>0</v>
      </c>
    </row>
    <row r="211" spans="1:16" x14ac:dyDescent="0.3">
      <c r="A211" s="31" t="s">
        <v>568</v>
      </c>
      <c r="B211" s="5">
        <v>2</v>
      </c>
      <c r="D211" s="5">
        <v>4</v>
      </c>
      <c r="E211" s="30" t="s">
        <v>569</v>
      </c>
      <c r="F211" s="6" t="s">
        <v>570</v>
      </c>
      <c r="G211" s="42">
        <f t="shared" ref="G211:H211" si="60">SUM(G209:G210)</f>
        <v>0</v>
      </c>
      <c r="H211" s="42">
        <f t="shared" si="60"/>
        <v>0</v>
      </c>
      <c r="I211" s="42">
        <f>SUM(I209:I210)</f>
        <v>0</v>
      </c>
      <c r="J211" s="42">
        <f>SUM(J209:J210)</f>
        <v>0</v>
      </c>
    </row>
    <row r="212" spans="1:16" ht="18" customHeight="1" x14ac:dyDescent="0.3">
      <c r="A212" s="23" t="s">
        <v>571</v>
      </c>
      <c r="D212" s="5">
        <v>3</v>
      </c>
      <c r="E212" s="23" t="s">
        <v>572</v>
      </c>
      <c r="F212" s="6" t="s">
        <v>573</v>
      </c>
      <c r="G212" s="28"/>
      <c r="H212" s="28"/>
      <c r="I212" s="28">
        <v>0</v>
      </c>
      <c r="J212" s="28" t="s">
        <v>86</v>
      </c>
    </row>
    <row r="213" spans="1:16" x14ac:dyDescent="0.3">
      <c r="A213" s="29" t="s">
        <v>179</v>
      </c>
      <c r="B213" s="5">
        <v>1</v>
      </c>
      <c r="D213" s="5">
        <v>4</v>
      </c>
      <c r="E213" s="30" t="s">
        <v>180</v>
      </c>
      <c r="F213" s="6" t="s">
        <v>574</v>
      </c>
      <c r="G213" s="101">
        <v>0</v>
      </c>
      <c r="H213" s="101">
        <v>0</v>
      </c>
      <c r="I213" s="101">
        <v>0</v>
      </c>
      <c r="J213" s="101">
        <v>0</v>
      </c>
    </row>
    <row r="214" spans="1:16" x14ac:dyDescent="0.3">
      <c r="A214" s="29" t="s">
        <v>182</v>
      </c>
      <c r="B214" s="5">
        <v>1</v>
      </c>
      <c r="D214" s="5">
        <v>4</v>
      </c>
      <c r="E214" s="30" t="s">
        <v>183</v>
      </c>
      <c r="F214" s="6" t="s">
        <v>575</v>
      </c>
      <c r="G214" s="101">
        <v>0</v>
      </c>
      <c r="H214" s="101">
        <v>0</v>
      </c>
      <c r="I214" s="101">
        <v>0</v>
      </c>
      <c r="J214" s="101">
        <v>0</v>
      </c>
    </row>
    <row r="215" spans="1:16" x14ac:dyDescent="0.3">
      <c r="A215" s="31" t="s">
        <v>576</v>
      </c>
      <c r="B215" s="5">
        <v>2</v>
      </c>
      <c r="D215" s="5">
        <v>4</v>
      </c>
      <c r="E215" s="30" t="s">
        <v>577</v>
      </c>
      <c r="F215" s="6" t="s">
        <v>578</v>
      </c>
      <c r="G215" s="42">
        <f t="shared" ref="G215:H215" si="61">SUM(G213:G214)</f>
        <v>0</v>
      </c>
      <c r="H215" s="42">
        <f t="shared" si="61"/>
        <v>0</v>
      </c>
      <c r="I215" s="42">
        <f>SUM(I213:I214)</f>
        <v>0</v>
      </c>
      <c r="J215" s="42">
        <f>SUM(J213:J214)</f>
        <v>0</v>
      </c>
    </row>
    <row r="216" spans="1:16" x14ac:dyDescent="0.3">
      <c r="A216" s="74" t="s">
        <v>579</v>
      </c>
      <c r="D216" s="5">
        <v>3</v>
      </c>
      <c r="E216" s="23" t="s">
        <v>572</v>
      </c>
      <c r="F216" s="6" t="s">
        <v>573</v>
      </c>
      <c r="G216" s="28"/>
      <c r="H216" s="28"/>
      <c r="I216" s="28"/>
      <c r="J216" s="28" t="s">
        <v>86</v>
      </c>
    </row>
    <row r="217" spans="1:16" x14ac:dyDescent="0.3">
      <c r="A217" s="29" t="s">
        <v>179</v>
      </c>
      <c r="B217" s="5">
        <v>1</v>
      </c>
      <c r="D217" s="5">
        <v>4</v>
      </c>
      <c r="E217" s="30" t="s">
        <v>180</v>
      </c>
      <c r="F217" s="6" t="s">
        <v>574</v>
      </c>
      <c r="G217" s="101">
        <v>0</v>
      </c>
      <c r="H217" s="101">
        <v>0</v>
      </c>
      <c r="I217" s="101">
        <v>0</v>
      </c>
      <c r="J217" s="101">
        <v>0</v>
      </c>
    </row>
    <row r="218" spans="1:16" x14ac:dyDescent="0.3">
      <c r="A218" s="29" t="s">
        <v>182</v>
      </c>
      <c r="B218" s="5">
        <v>1</v>
      </c>
      <c r="D218" s="5">
        <v>4</v>
      </c>
      <c r="E218" s="30" t="s">
        <v>183</v>
      </c>
      <c r="F218" s="6" t="s">
        <v>575</v>
      </c>
      <c r="G218" s="101">
        <v>0</v>
      </c>
      <c r="H218" s="101">
        <v>0</v>
      </c>
      <c r="I218" s="101">
        <v>0</v>
      </c>
      <c r="J218" s="101">
        <v>0</v>
      </c>
    </row>
    <row r="219" spans="1:16" x14ac:dyDescent="0.3">
      <c r="A219" s="31" t="s">
        <v>576</v>
      </c>
      <c r="B219" s="5">
        <v>2</v>
      </c>
      <c r="D219" s="5">
        <v>4</v>
      </c>
      <c r="E219" s="30" t="s">
        <v>577</v>
      </c>
      <c r="F219" s="6" t="s">
        <v>578</v>
      </c>
      <c r="G219" s="42">
        <f t="shared" ref="G219:H219" si="62">SUM(G217:G218)</f>
        <v>0</v>
      </c>
      <c r="H219" s="42">
        <f t="shared" si="62"/>
        <v>0</v>
      </c>
      <c r="I219" s="42">
        <f>SUM(I217:I218)</f>
        <v>0</v>
      </c>
      <c r="J219" s="42">
        <f>SUM(J217:J218)</f>
        <v>0</v>
      </c>
    </row>
    <row r="220" spans="1:16" ht="18" customHeight="1" x14ac:dyDescent="0.3">
      <c r="A220" s="23" t="s">
        <v>580</v>
      </c>
      <c r="D220" s="5">
        <v>3</v>
      </c>
      <c r="E220" s="23" t="s">
        <v>581</v>
      </c>
      <c r="F220" s="6" t="s">
        <v>582</v>
      </c>
      <c r="G220" s="28" t="s">
        <v>86</v>
      </c>
      <c r="H220" s="28" t="s">
        <v>86</v>
      </c>
      <c r="I220" s="28" t="s">
        <v>86</v>
      </c>
      <c r="J220" s="28" t="s">
        <v>86</v>
      </c>
    </row>
    <row r="221" spans="1:16" x14ac:dyDescent="0.3">
      <c r="A221" s="29" t="s">
        <v>179</v>
      </c>
      <c r="B221" s="5">
        <v>1</v>
      </c>
      <c r="D221" s="5">
        <v>4</v>
      </c>
      <c r="E221" s="30" t="s">
        <v>180</v>
      </c>
      <c r="F221" s="6" t="s">
        <v>583</v>
      </c>
      <c r="G221" s="101"/>
      <c r="H221" s="101"/>
      <c r="I221" s="101"/>
      <c r="J221" s="101">
        <f>2361.63+129.87+6063.22</f>
        <v>8554.7200000000012</v>
      </c>
    </row>
    <row r="222" spans="1:16" x14ac:dyDescent="0.3">
      <c r="A222" s="29" t="s">
        <v>182</v>
      </c>
      <c r="B222" s="5">
        <v>1</v>
      </c>
      <c r="D222" s="5">
        <v>4</v>
      </c>
      <c r="E222" s="30" t="s">
        <v>183</v>
      </c>
      <c r="F222" s="6" t="s">
        <v>584</v>
      </c>
      <c r="G222" s="101">
        <v>0</v>
      </c>
      <c r="H222" s="101">
        <v>0</v>
      </c>
      <c r="I222" s="101">
        <v>0</v>
      </c>
      <c r="J222" s="101">
        <v>0</v>
      </c>
      <c r="K222" s="160"/>
      <c r="L222" s="160"/>
      <c r="M222" s="160"/>
      <c r="N222" s="160"/>
      <c r="O222" s="160"/>
      <c r="P222" s="160"/>
    </row>
    <row r="223" spans="1:16" x14ac:dyDescent="0.3">
      <c r="A223" s="31" t="s">
        <v>585</v>
      </c>
      <c r="B223" s="5">
        <v>2</v>
      </c>
      <c r="D223" s="5">
        <v>4</v>
      </c>
      <c r="E223" s="30" t="s">
        <v>586</v>
      </c>
      <c r="F223" s="6" t="s">
        <v>587</v>
      </c>
      <c r="G223" s="42">
        <f t="shared" ref="G223:H223" si="63">SUM(G221:G222)</f>
        <v>0</v>
      </c>
      <c r="H223" s="42">
        <f t="shared" si="63"/>
        <v>0</v>
      </c>
      <c r="I223" s="42">
        <f>SUM(I221:I222)</f>
        <v>0</v>
      </c>
      <c r="J223" s="42">
        <f>SUM(J221:J222)</f>
        <v>8554.7200000000012</v>
      </c>
      <c r="K223" s="160"/>
      <c r="L223" s="160"/>
      <c r="M223" s="160"/>
      <c r="N223" s="160"/>
      <c r="O223" s="160"/>
      <c r="P223" s="160"/>
    </row>
    <row r="224" spans="1:16" ht="18" customHeight="1" x14ac:dyDescent="0.3">
      <c r="A224" s="23" t="s">
        <v>588</v>
      </c>
      <c r="D224" s="5">
        <v>3</v>
      </c>
      <c r="E224" s="23" t="s">
        <v>589</v>
      </c>
      <c r="F224" s="6" t="s">
        <v>590</v>
      </c>
      <c r="G224" s="28" t="s">
        <v>86</v>
      </c>
      <c r="H224" s="28" t="s">
        <v>86</v>
      </c>
      <c r="I224" s="28" t="s">
        <v>86</v>
      </c>
      <c r="J224" s="28" t="s">
        <v>86</v>
      </c>
      <c r="K224" s="160"/>
      <c r="L224" s="160"/>
      <c r="M224" s="160"/>
      <c r="N224" s="160"/>
      <c r="O224" s="160"/>
      <c r="P224" s="160"/>
    </row>
    <row r="225" spans="1:16" x14ac:dyDescent="0.3">
      <c r="A225" s="29" t="s">
        <v>179</v>
      </c>
      <c r="B225" s="5">
        <v>1</v>
      </c>
      <c r="D225" s="5">
        <v>4</v>
      </c>
      <c r="E225" s="30" t="s">
        <v>180</v>
      </c>
      <c r="F225" s="6" t="s">
        <v>591</v>
      </c>
      <c r="G225" s="101"/>
      <c r="H225" s="101"/>
      <c r="I225" s="101"/>
      <c r="J225" s="101">
        <v>3624</v>
      </c>
      <c r="K225" s="160"/>
      <c r="L225" s="160"/>
      <c r="M225" s="160"/>
      <c r="N225" s="160"/>
      <c r="O225" s="160"/>
      <c r="P225" s="160"/>
    </row>
    <row r="226" spans="1:16" x14ac:dyDescent="0.3">
      <c r="A226" s="29" t="s">
        <v>182</v>
      </c>
      <c r="B226" s="5">
        <v>1</v>
      </c>
      <c r="D226" s="5">
        <v>4</v>
      </c>
      <c r="E226" s="30" t="s">
        <v>183</v>
      </c>
      <c r="F226" s="6" t="s">
        <v>592</v>
      </c>
      <c r="G226" s="101">
        <v>0</v>
      </c>
      <c r="H226" s="101">
        <v>0</v>
      </c>
      <c r="I226" s="101">
        <v>0</v>
      </c>
      <c r="J226" s="101">
        <v>0</v>
      </c>
      <c r="K226" s="160"/>
      <c r="L226" s="160"/>
      <c r="M226" s="160"/>
      <c r="N226" s="160"/>
      <c r="O226" s="160"/>
      <c r="P226" s="160"/>
    </row>
    <row r="227" spans="1:16" x14ac:dyDescent="0.3">
      <c r="A227" s="31" t="s">
        <v>593</v>
      </c>
      <c r="B227" s="5">
        <v>2</v>
      </c>
      <c r="D227" s="5">
        <v>4</v>
      </c>
      <c r="E227" s="30" t="s">
        <v>594</v>
      </c>
      <c r="F227" s="6" t="s">
        <v>595</v>
      </c>
      <c r="G227" s="42">
        <f t="shared" ref="G227:H227" si="64">SUM(G225:G226)</f>
        <v>0</v>
      </c>
      <c r="H227" s="42">
        <f t="shared" si="64"/>
        <v>0</v>
      </c>
      <c r="I227" s="42">
        <f>SUM(I225:I226)</f>
        <v>0</v>
      </c>
      <c r="J227" s="42">
        <f>SUM(J225:J226)</f>
        <v>3624</v>
      </c>
      <c r="K227" s="160"/>
      <c r="L227" s="160"/>
      <c r="M227" s="160"/>
      <c r="N227" s="160"/>
      <c r="O227" s="160"/>
      <c r="P227" s="160"/>
    </row>
    <row r="228" spans="1:16" ht="18" customHeight="1" x14ac:dyDescent="0.3">
      <c r="A228" s="23" t="s">
        <v>596</v>
      </c>
      <c r="D228" s="5">
        <v>3</v>
      </c>
      <c r="E228" s="23" t="s">
        <v>597</v>
      </c>
      <c r="F228" s="6" t="s">
        <v>598</v>
      </c>
      <c r="G228" s="28" t="s">
        <v>86</v>
      </c>
      <c r="H228" s="28" t="s">
        <v>86</v>
      </c>
      <c r="I228" s="28" t="s">
        <v>86</v>
      </c>
      <c r="J228" s="28" t="s">
        <v>86</v>
      </c>
      <c r="K228" s="160"/>
      <c r="L228" s="160"/>
      <c r="M228" s="160"/>
      <c r="N228" s="160"/>
      <c r="O228" s="160"/>
      <c r="P228" s="160"/>
    </row>
    <row r="229" spans="1:16" x14ac:dyDescent="0.3">
      <c r="A229" s="29" t="s">
        <v>179</v>
      </c>
      <c r="B229" s="5">
        <v>1</v>
      </c>
      <c r="D229" s="5">
        <v>4</v>
      </c>
      <c r="E229" s="30" t="s">
        <v>180</v>
      </c>
      <c r="F229" s="6" t="s">
        <v>599</v>
      </c>
      <c r="G229" s="101"/>
      <c r="H229" s="101"/>
      <c r="I229" s="101"/>
      <c r="J229" s="101">
        <v>4581.41</v>
      </c>
      <c r="K229" s="160"/>
      <c r="L229" s="163"/>
      <c r="M229" s="160"/>
      <c r="N229" s="160"/>
      <c r="O229" s="160"/>
      <c r="P229" s="160"/>
    </row>
    <row r="230" spans="1:16" x14ac:dyDescent="0.3">
      <c r="A230" s="29" t="s">
        <v>182</v>
      </c>
      <c r="B230" s="5">
        <v>1</v>
      </c>
      <c r="D230" s="5">
        <v>4</v>
      </c>
      <c r="E230" s="30" t="s">
        <v>183</v>
      </c>
      <c r="F230" s="6" t="s">
        <v>600</v>
      </c>
      <c r="G230" s="101">
        <v>0</v>
      </c>
      <c r="H230" s="101">
        <v>0</v>
      </c>
      <c r="I230" s="101">
        <v>0</v>
      </c>
      <c r="J230" s="101">
        <f>26340.4+1162028.02</f>
        <v>1188368.42</v>
      </c>
      <c r="K230" s="160" t="s">
        <v>1079</v>
      </c>
      <c r="L230" s="163"/>
      <c r="M230" s="160"/>
      <c r="N230" s="160"/>
      <c r="O230" s="160"/>
      <c r="P230" s="160"/>
    </row>
    <row r="231" spans="1:16" x14ac:dyDescent="0.3">
      <c r="A231" s="31" t="s">
        <v>601</v>
      </c>
      <c r="B231" s="5">
        <v>2</v>
      </c>
      <c r="D231" s="5">
        <v>4</v>
      </c>
      <c r="E231" s="30" t="s">
        <v>602</v>
      </c>
      <c r="F231" s="6" t="s">
        <v>603</v>
      </c>
      <c r="G231" s="42">
        <f t="shared" ref="G231:H231" si="65">SUM(G229:G230)</f>
        <v>0</v>
      </c>
      <c r="H231" s="42">
        <f t="shared" si="65"/>
        <v>0</v>
      </c>
      <c r="I231" s="42">
        <f>SUM(I229:I230)</f>
        <v>0</v>
      </c>
      <c r="J231" s="42">
        <f>SUM(J229:J230)</f>
        <v>1192949.8299999998</v>
      </c>
      <c r="K231" s="160"/>
      <c r="L231" s="160"/>
      <c r="M231" s="160"/>
      <c r="N231" s="160"/>
      <c r="O231" s="160"/>
      <c r="P231" s="160"/>
    </row>
    <row r="232" spans="1:16" x14ac:dyDescent="0.3">
      <c r="A232" s="24" t="s">
        <v>604</v>
      </c>
      <c r="B232" s="5">
        <v>28</v>
      </c>
      <c r="D232" s="5">
        <v>3</v>
      </c>
      <c r="E232" s="25" t="s">
        <v>605</v>
      </c>
      <c r="F232" s="6" t="s">
        <v>606</v>
      </c>
      <c r="G232" s="38">
        <f t="shared" ref="G232:H232" si="66">+G231+G227+G223+G219+G215+G211+G207+G203+G199+G195+G191+G187+G183+G179+G175</f>
        <v>0</v>
      </c>
      <c r="H232" s="38">
        <f t="shared" si="66"/>
        <v>0</v>
      </c>
      <c r="I232" s="38">
        <f>+I231+I227+I223+I219+I215+I211+I207+I203+I199+I195+I191+I187+I183+I179+I175</f>
        <v>0</v>
      </c>
      <c r="J232" s="38">
        <f t="shared" ref="J232" si="67">+J231+J227+J223+J219+J215+J211+J207+J203+J199+J195+J191+J187+J183+J179+J175</f>
        <v>1407437.2</v>
      </c>
    </row>
    <row r="233" spans="1:16" ht="18" customHeight="1" x14ac:dyDescent="0.3">
      <c r="A233" s="20" t="s">
        <v>607</v>
      </c>
      <c r="D233" s="5">
        <v>2</v>
      </c>
      <c r="E233" s="21" t="s">
        <v>608</v>
      </c>
      <c r="F233" s="6" t="s">
        <v>609</v>
      </c>
      <c r="G233" s="28" t="s">
        <v>86</v>
      </c>
      <c r="H233" s="28" t="s">
        <v>86</v>
      </c>
      <c r="I233" s="28" t="s">
        <v>86</v>
      </c>
      <c r="J233" s="28" t="s">
        <v>86</v>
      </c>
    </row>
    <row r="234" spans="1:16" ht="18" customHeight="1" x14ac:dyDescent="0.3">
      <c r="A234" s="22" t="s">
        <v>610</v>
      </c>
      <c r="B234" s="5">
        <v>2</v>
      </c>
      <c r="D234" s="5">
        <v>3</v>
      </c>
      <c r="E234" s="23" t="s">
        <v>611</v>
      </c>
      <c r="F234" s="6" t="s">
        <v>612</v>
      </c>
      <c r="G234" s="101"/>
      <c r="H234" s="101"/>
      <c r="I234" s="101"/>
      <c r="J234" s="101"/>
    </row>
    <row r="235" spans="1:16" x14ac:dyDescent="0.3">
      <c r="A235" s="22" t="s">
        <v>613</v>
      </c>
      <c r="B235" s="5">
        <v>2</v>
      </c>
      <c r="D235" s="5">
        <v>3</v>
      </c>
      <c r="E235" s="23" t="s">
        <v>614</v>
      </c>
      <c r="F235" s="6" t="s">
        <v>615</v>
      </c>
      <c r="G235" s="101">
        <v>0</v>
      </c>
      <c r="H235" s="101">
        <v>0</v>
      </c>
      <c r="I235" s="101">
        <v>0</v>
      </c>
      <c r="J235" s="101">
        <v>0</v>
      </c>
      <c r="L235" s="45"/>
    </row>
    <row r="236" spans="1:16" x14ac:dyDescent="0.3">
      <c r="A236" s="24" t="s">
        <v>616</v>
      </c>
      <c r="B236" s="5">
        <v>4</v>
      </c>
      <c r="D236" s="5">
        <v>3</v>
      </c>
      <c r="E236" s="25" t="s">
        <v>617</v>
      </c>
      <c r="F236" s="6" t="s">
        <v>618</v>
      </c>
      <c r="G236" s="38">
        <f t="shared" ref="G236:H236" si="68">SUM(G234:G235)</f>
        <v>0</v>
      </c>
      <c r="H236" s="38">
        <f t="shared" si="68"/>
        <v>0</v>
      </c>
      <c r="I236" s="38">
        <f>SUM(I234:I235)</f>
        <v>0</v>
      </c>
      <c r="J236" s="38">
        <f>SUM(J234:J235)</f>
        <v>0</v>
      </c>
    </row>
    <row r="237" spans="1:16" ht="18" customHeight="1" x14ac:dyDescent="0.3">
      <c r="A237" s="19" t="s">
        <v>619</v>
      </c>
      <c r="B237" s="40">
        <v>311</v>
      </c>
      <c r="C237" s="40"/>
      <c r="D237" s="40">
        <v>2</v>
      </c>
      <c r="E237" s="41" t="s">
        <v>620</v>
      </c>
      <c r="F237" s="40" t="s">
        <v>621</v>
      </c>
      <c r="G237" s="44">
        <f t="shared" ref="G237:H237" si="69">+G236+G232+G170+G169+G163</f>
        <v>0</v>
      </c>
      <c r="H237" s="44">
        <f t="shared" si="69"/>
        <v>0</v>
      </c>
      <c r="I237" s="44">
        <f>+I236+I232+I170+I169+I163</f>
        <v>0</v>
      </c>
      <c r="J237" s="44">
        <f>+J236+J232+J170+J169+J163</f>
        <v>1453619.62</v>
      </c>
      <c r="K237" s="45"/>
    </row>
    <row r="238" spans="1:16" x14ac:dyDescent="0.3">
      <c r="G238" s="45">
        <f t="shared" ref="G238:H238" si="70">+G124-G237</f>
        <v>0</v>
      </c>
      <c r="H238" s="45">
        <f t="shared" si="70"/>
        <v>0</v>
      </c>
      <c r="I238" s="45">
        <f t="shared" ref="I238:J238" si="71">+I124-I237</f>
        <v>126617</v>
      </c>
      <c r="J238" s="45">
        <f t="shared" si="71"/>
        <v>0</v>
      </c>
    </row>
    <row r="239" spans="1:16" x14ac:dyDescent="0.3">
      <c r="I239" s="46"/>
      <c r="J239" s="46"/>
    </row>
  </sheetData>
  <conditionalFormatting sqref="A4">
    <cfRule type="expression" dxfId="131" priority="308" stopIfTrue="1">
      <formula>ABS(SUM(A4)-SUM(#REF!))&gt;=1</formula>
    </cfRule>
  </conditionalFormatting>
  <conditionalFormatting sqref="G9:J10 G104:J104 G58:J58 G14:J20 G23:J27 G31:J35 G39:J40 G43:J44 G47:J48 G51:J53 G61:J62">
    <cfRule type="expression" dxfId="130" priority="320" stopIfTrue="1">
      <formula>ABS(SUM(G9)-SUM(#REF!))&gt;=1</formula>
    </cfRule>
  </conditionalFormatting>
  <conditionalFormatting sqref="J6:J8">
    <cfRule type="expression" dxfId="129" priority="164" stopIfTrue="1">
      <formula>ABS(SUM(J6)-SUM(#REF!))&gt;=10</formula>
    </cfRule>
  </conditionalFormatting>
  <conditionalFormatting sqref="J11:J13 J21 J28:J30 J36:J38 J41:J42 J45:J46 J49:J50 J54 J70:J72 J75:J76 J79:J80 J83:J84 J87 J95:J96 J99:J100 J103 J113:J114 J118:J120 J123:J126 J132 J153 J161 J169 J175:J176 J179:J180 J183:J184 J187:J188 J191:J192 J195:J196 J199:J200 J203:J204 J207:J208 J211:J212 J215 J223:J224 J227:J228 J231 J236:J237 J92 J105 J63:J64 J164 J220 J233">
    <cfRule type="expression" dxfId="128" priority="165" stopIfTrue="1">
      <formula>ABS(SUM(J11)-SUM(#REF!))&gt;=1</formula>
    </cfRule>
  </conditionalFormatting>
  <conditionalFormatting sqref="I6:I8">
    <cfRule type="expression" dxfId="127" priority="158" stopIfTrue="1">
      <formula>ABS(SUM(I6)-SUM(#REF!))&gt;=10</formula>
    </cfRule>
  </conditionalFormatting>
  <conditionalFormatting sqref="J163 J232 G11:I13 G21:I21 G28:I30 G36:I38 G41:I42 G45:I46 G49:I50 G54:I54 G70:I71 G75:I76 G79:I80 G83:I84 G87:I87 G95:I96 G99:I100 G103:I103 G113:I114 G118:I120 G123:I126 G132:I132 G153:I153 G161:I161 G169:I169 G175:I176 G179:I180 G183:I184 G187:I188 G191:I192 G195:I196 G199:I200 G203:I204 G207:I208 G211:I212 G215:I215 G223:I224 G227:I228 G231:I233 G236:I237 G92:I92 G105:I105 G63:I64 G163:I164 G220:I220 G155:J155">
    <cfRule type="expression" dxfId="126" priority="159" stopIfTrue="1">
      <formula>ABS(SUM(G11)-SUM(#REF!))&gt;=1</formula>
    </cfRule>
  </conditionalFormatting>
  <conditionalFormatting sqref="G148:J148">
    <cfRule type="expression" dxfId="125" priority="91" stopIfTrue="1">
      <formula>ABS(SUM(G148)-SUM(#REF!))&gt;=1</formula>
    </cfRule>
  </conditionalFormatting>
  <conditionalFormatting sqref="G157:J157">
    <cfRule type="expression" dxfId="124" priority="90" stopIfTrue="1">
      <formula>ABS(SUM(G157)-SUM(#REF!))&gt;=1</formula>
    </cfRule>
  </conditionalFormatting>
  <conditionalFormatting sqref="J171 G172:J172">
    <cfRule type="expression" dxfId="123" priority="88" stopIfTrue="1">
      <formula>ABS(SUM(G171)-SUM(#REF!))&gt;=1</formula>
    </cfRule>
  </conditionalFormatting>
  <conditionalFormatting sqref="G57:J57">
    <cfRule type="expression" dxfId="122" priority="73" stopIfTrue="1">
      <formula>ABS(SUM(G57)-SUM(#REF!))&gt;=1</formula>
    </cfRule>
  </conditionalFormatting>
  <conditionalFormatting sqref="J88 J91">
    <cfRule type="expression" dxfId="121" priority="69" stopIfTrue="1">
      <formula>ABS(SUM(J88)-SUM(#REF!))&gt;=1</formula>
    </cfRule>
  </conditionalFormatting>
  <conditionalFormatting sqref="G88:I88 G91:I91">
    <cfRule type="expression" dxfId="120" priority="68" stopIfTrue="1">
      <formula>ABS(SUM(G88)-SUM(#REF!))&gt;=1</formula>
    </cfRule>
  </conditionalFormatting>
  <conditionalFormatting sqref="G154:J154">
    <cfRule type="expression" dxfId="119" priority="67" stopIfTrue="1">
      <formula>ABS(SUM(G154)-SUM(#REF!))&gt;=1</formula>
    </cfRule>
  </conditionalFormatting>
  <conditionalFormatting sqref="J216 J219">
    <cfRule type="expression" dxfId="118" priority="64" stopIfTrue="1">
      <formula>ABS(SUM(J216)-SUM(#REF!))&gt;=1</formula>
    </cfRule>
  </conditionalFormatting>
  <conditionalFormatting sqref="G216:I216 G219:I219">
    <cfRule type="expression" dxfId="117" priority="63" stopIfTrue="1">
      <formula>ABS(SUM(G216)-SUM(#REF!))&gt;=1</formula>
    </cfRule>
  </conditionalFormatting>
  <conditionalFormatting sqref="J22">
    <cfRule type="expression" dxfId="116" priority="61" stopIfTrue="1">
      <formula>ABS(SUM(J22)-SUM(#REF!))&gt;=1</formula>
    </cfRule>
  </conditionalFormatting>
  <conditionalFormatting sqref="G22:I22">
    <cfRule type="expression" dxfId="115" priority="60" stopIfTrue="1">
      <formula>ABS(SUM(G22)-SUM(#REF!))&gt;=1</formula>
    </cfRule>
  </conditionalFormatting>
  <conditionalFormatting sqref="G72:I72">
    <cfRule type="expression" dxfId="114" priority="57" stopIfTrue="1">
      <formula>ABS(SUM(G72)-SUM(#REF!))&gt;=1</formula>
    </cfRule>
  </conditionalFormatting>
  <conditionalFormatting sqref="G171:I171">
    <cfRule type="expression" dxfId="113" priority="54" stopIfTrue="1">
      <formula>ABS(SUM(G171)-SUM(#REF!))&gt;=1</formula>
    </cfRule>
  </conditionalFormatting>
  <conditionalFormatting sqref="G55:J56">
    <cfRule type="expression" dxfId="112" priority="38" stopIfTrue="1">
      <formula>ABS(SUM(G55)-SUM(#REF!))&gt;=1</formula>
    </cfRule>
  </conditionalFormatting>
  <conditionalFormatting sqref="G59:J60">
    <cfRule type="expression" dxfId="111" priority="37" stopIfTrue="1">
      <formula>ABS(SUM(G59)-SUM(#REF!))&gt;=1</formula>
    </cfRule>
  </conditionalFormatting>
  <conditionalFormatting sqref="G65:J69">
    <cfRule type="expression" dxfId="110" priority="36" stopIfTrue="1">
      <formula>ABS(SUM(G65)-SUM(#REF!))&gt;=1</formula>
    </cfRule>
  </conditionalFormatting>
  <conditionalFormatting sqref="G73:J74">
    <cfRule type="expression" dxfId="109" priority="35" stopIfTrue="1">
      <formula>ABS(SUM(G73)-SUM(#REF!))&gt;=1</formula>
    </cfRule>
  </conditionalFormatting>
  <conditionalFormatting sqref="G77:J78">
    <cfRule type="expression" dxfId="108" priority="34" stopIfTrue="1">
      <formula>ABS(SUM(G77)-SUM(#REF!))&gt;=1</formula>
    </cfRule>
  </conditionalFormatting>
  <conditionalFormatting sqref="G81:J82">
    <cfRule type="expression" dxfId="107" priority="33" stopIfTrue="1">
      <formula>ABS(SUM(G81)-SUM(#REF!))&gt;=1</formula>
    </cfRule>
  </conditionalFormatting>
  <conditionalFormatting sqref="G85:J86">
    <cfRule type="expression" dxfId="106" priority="32" stopIfTrue="1">
      <formula>ABS(SUM(G85)-SUM(#REF!))&gt;=1</formula>
    </cfRule>
  </conditionalFormatting>
  <conditionalFormatting sqref="G89:J90">
    <cfRule type="expression" dxfId="105" priority="31" stopIfTrue="1">
      <formula>ABS(SUM(G89)-SUM(#REF!))&gt;=1</formula>
    </cfRule>
  </conditionalFormatting>
  <conditionalFormatting sqref="G93:J94">
    <cfRule type="expression" dxfId="104" priority="30" stopIfTrue="1">
      <formula>ABS(SUM(G93)-SUM(#REF!))&gt;=1</formula>
    </cfRule>
  </conditionalFormatting>
  <conditionalFormatting sqref="G97:J98">
    <cfRule type="expression" dxfId="103" priority="29" stopIfTrue="1">
      <formula>ABS(SUM(G97)-SUM(#REF!))&gt;=1</formula>
    </cfRule>
  </conditionalFormatting>
  <conditionalFormatting sqref="G101:J102">
    <cfRule type="expression" dxfId="102" priority="28" stopIfTrue="1">
      <formula>ABS(SUM(G101)-SUM(#REF!))&gt;=1</formula>
    </cfRule>
  </conditionalFormatting>
  <conditionalFormatting sqref="G106:J112">
    <cfRule type="expression" dxfId="101" priority="27" stopIfTrue="1">
      <formula>ABS(SUM(G106)-SUM(#REF!))&gt;=1</formula>
    </cfRule>
  </conditionalFormatting>
  <conditionalFormatting sqref="G115:J117">
    <cfRule type="expression" dxfId="100" priority="26" stopIfTrue="1">
      <formula>ABS(SUM(G115)-SUM(#REF!))&gt;=1</formula>
    </cfRule>
  </conditionalFormatting>
  <conditionalFormatting sqref="G121:J122">
    <cfRule type="expression" dxfId="99" priority="25" stopIfTrue="1">
      <formula>ABS(SUM(G121)-SUM(#REF!))&gt;=1</formula>
    </cfRule>
  </conditionalFormatting>
  <conditionalFormatting sqref="G127:J131">
    <cfRule type="expression" dxfId="98" priority="24" stopIfTrue="1">
      <formula>ABS(SUM(G127)-SUM(#REF!))&gt;=1</formula>
    </cfRule>
  </conditionalFormatting>
  <conditionalFormatting sqref="G133:J147">
    <cfRule type="expression" dxfId="97" priority="23" stopIfTrue="1">
      <formula>ABS(SUM(G133)-SUM(#REF!))&gt;=1</formula>
    </cfRule>
  </conditionalFormatting>
  <conditionalFormatting sqref="G149:J152">
    <cfRule type="expression" dxfId="96" priority="22" stopIfTrue="1">
      <formula>ABS(SUM(G149)-SUM(#REF!))&gt;=1</formula>
    </cfRule>
  </conditionalFormatting>
  <conditionalFormatting sqref="G156:J156">
    <cfRule type="expression" dxfId="95" priority="21" stopIfTrue="1">
      <formula>ABS(SUM(G156)-SUM(#REF!))&gt;=1</formula>
    </cfRule>
  </conditionalFormatting>
  <conditionalFormatting sqref="G234:J235">
    <cfRule type="expression" dxfId="94" priority="1" stopIfTrue="1">
      <formula>ABS(SUM(G234)-SUM(#REF!))&gt;=1</formula>
    </cfRule>
  </conditionalFormatting>
  <conditionalFormatting sqref="G158:J160">
    <cfRule type="expression" dxfId="93" priority="20" stopIfTrue="1">
      <formula>ABS(SUM(G158)-SUM(#REF!))&gt;=1</formula>
    </cfRule>
  </conditionalFormatting>
  <conditionalFormatting sqref="G162:J162">
    <cfRule type="expression" dxfId="92" priority="19" stopIfTrue="1">
      <formula>ABS(SUM(G162)-SUM(#REF!))&gt;=1</formula>
    </cfRule>
  </conditionalFormatting>
  <conditionalFormatting sqref="G165:J168">
    <cfRule type="expression" dxfId="91" priority="18" stopIfTrue="1">
      <formula>ABS(SUM(G165)-SUM(#REF!))&gt;=1</formula>
    </cfRule>
  </conditionalFormatting>
  <conditionalFormatting sqref="G170:J170">
    <cfRule type="expression" dxfId="90" priority="17" stopIfTrue="1">
      <formula>ABS(SUM(G170)-SUM(#REF!))&gt;=1</formula>
    </cfRule>
  </conditionalFormatting>
  <conditionalFormatting sqref="G173:J174">
    <cfRule type="expression" dxfId="89" priority="16" stopIfTrue="1">
      <formula>ABS(SUM(G173)-SUM(#REF!))&gt;=1</formula>
    </cfRule>
  </conditionalFormatting>
  <conditionalFormatting sqref="G177:J178">
    <cfRule type="expression" dxfId="88" priority="15" stopIfTrue="1">
      <formula>ABS(SUM(G177)-SUM(#REF!))&gt;=1</formula>
    </cfRule>
  </conditionalFormatting>
  <conditionalFormatting sqref="G181:J182">
    <cfRule type="expression" dxfId="87" priority="14" stopIfTrue="1">
      <formula>ABS(SUM(G181)-SUM(#REF!))&gt;=1</formula>
    </cfRule>
  </conditionalFormatting>
  <conditionalFormatting sqref="G185:J186">
    <cfRule type="expression" dxfId="86" priority="13" stopIfTrue="1">
      <formula>ABS(SUM(G185)-SUM(#REF!))&gt;=1</formula>
    </cfRule>
  </conditionalFormatting>
  <conditionalFormatting sqref="G189:J190">
    <cfRule type="expression" dxfId="85" priority="12" stopIfTrue="1">
      <formula>ABS(SUM(G189)-SUM(#REF!))&gt;=1</formula>
    </cfRule>
  </conditionalFormatting>
  <conditionalFormatting sqref="G193:J194">
    <cfRule type="expression" dxfId="84" priority="11" stopIfTrue="1">
      <formula>ABS(SUM(G193)-SUM(#REF!))&gt;=1</formula>
    </cfRule>
  </conditionalFormatting>
  <conditionalFormatting sqref="G197:J198">
    <cfRule type="expression" dxfId="83" priority="10" stopIfTrue="1">
      <formula>ABS(SUM(G197)-SUM(#REF!))&gt;=1</formula>
    </cfRule>
  </conditionalFormatting>
  <conditionalFormatting sqref="G201:J202">
    <cfRule type="expression" dxfId="82" priority="9" stopIfTrue="1">
      <formula>ABS(SUM(G201)-SUM(#REF!))&gt;=1</formula>
    </cfRule>
  </conditionalFormatting>
  <conditionalFormatting sqref="G205:J206">
    <cfRule type="expression" dxfId="81" priority="8" stopIfTrue="1">
      <formula>ABS(SUM(G205)-SUM(#REF!))&gt;=1</formula>
    </cfRule>
  </conditionalFormatting>
  <conditionalFormatting sqref="G209:J210">
    <cfRule type="expression" dxfId="80" priority="7" stopIfTrue="1">
      <formula>ABS(SUM(G209)-SUM(#REF!))&gt;=1</formula>
    </cfRule>
  </conditionalFormatting>
  <conditionalFormatting sqref="G213:J214">
    <cfRule type="expression" dxfId="79" priority="6" stopIfTrue="1">
      <formula>ABS(SUM(G213)-SUM(#REF!))&gt;=1</formula>
    </cfRule>
  </conditionalFormatting>
  <conditionalFormatting sqref="G217:J218">
    <cfRule type="expression" dxfId="78" priority="5" stopIfTrue="1">
      <formula>ABS(SUM(G217)-SUM(#REF!))&gt;=1</formula>
    </cfRule>
  </conditionalFormatting>
  <conditionalFormatting sqref="G221:J222">
    <cfRule type="expression" dxfId="77" priority="4" stopIfTrue="1">
      <formula>ABS(SUM(G221)-SUM(#REF!))&gt;=1</formula>
    </cfRule>
  </conditionalFormatting>
  <conditionalFormatting sqref="G225:J226">
    <cfRule type="expression" dxfId="76" priority="3" stopIfTrue="1">
      <formula>ABS(SUM(G225)-SUM(#REF!))&gt;=1</formula>
    </cfRule>
  </conditionalFormatting>
  <conditionalFormatting sqref="G229:J230">
    <cfRule type="expression" dxfId="75" priority="2" stopIfTrue="1">
      <formula>ABS(SUM(G229)-SUM(#REF!))&gt;=1</formula>
    </cfRule>
  </conditionalFormatting>
  <dataValidations disablePrompts="1" count="2">
    <dataValidation type="whole" allowBlank="1" showInputMessage="1" showErrorMessage="1" sqref="WVH983062:WVH983277 IV65558:IV65773 SR65558:SR65773 ACN65558:ACN65773 AMJ65558:AMJ65773 AWF65558:AWF65773 BGB65558:BGB65773 BPX65558:BPX65773 BZT65558:BZT65773 CJP65558:CJP65773 CTL65558:CTL65773 DDH65558:DDH65773 DND65558:DND65773 DWZ65558:DWZ65773 EGV65558:EGV65773 EQR65558:EQR65773 FAN65558:FAN65773 FKJ65558:FKJ65773 FUF65558:FUF65773 GEB65558:GEB65773 GNX65558:GNX65773 GXT65558:GXT65773 HHP65558:HHP65773 HRL65558:HRL65773 IBH65558:IBH65773 ILD65558:ILD65773 IUZ65558:IUZ65773 JEV65558:JEV65773 JOR65558:JOR65773 JYN65558:JYN65773 KIJ65558:KIJ65773 KSF65558:KSF65773 LCB65558:LCB65773 LLX65558:LLX65773 LVT65558:LVT65773 MFP65558:MFP65773 MPL65558:MPL65773 MZH65558:MZH65773 NJD65558:NJD65773 NSZ65558:NSZ65773 OCV65558:OCV65773 OMR65558:OMR65773 OWN65558:OWN65773 PGJ65558:PGJ65773 PQF65558:PQF65773 QAB65558:QAB65773 QJX65558:QJX65773 QTT65558:QTT65773 RDP65558:RDP65773 RNL65558:RNL65773 RXH65558:RXH65773 SHD65558:SHD65773 SQZ65558:SQZ65773 TAV65558:TAV65773 TKR65558:TKR65773 TUN65558:TUN65773 UEJ65558:UEJ65773 UOF65558:UOF65773 UYB65558:UYB65773 VHX65558:VHX65773 VRT65558:VRT65773 WBP65558:WBP65773 WLL65558:WLL65773 WVH65558:WVH65773 IV131094:IV131309 SR131094:SR131309 ACN131094:ACN131309 AMJ131094:AMJ131309 AWF131094:AWF131309 BGB131094:BGB131309 BPX131094:BPX131309 BZT131094:BZT131309 CJP131094:CJP131309 CTL131094:CTL131309 DDH131094:DDH131309 DND131094:DND131309 DWZ131094:DWZ131309 EGV131094:EGV131309 EQR131094:EQR131309 FAN131094:FAN131309 FKJ131094:FKJ131309 FUF131094:FUF131309 GEB131094:GEB131309 GNX131094:GNX131309 GXT131094:GXT131309 HHP131094:HHP131309 HRL131094:HRL131309 IBH131094:IBH131309 ILD131094:ILD131309 IUZ131094:IUZ131309 JEV131094:JEV131309 JOR131094:JOR131309 JYN131094:JYN131309 KIJ131094:KIJ131309 KSF131094:KSF131309 LCB131094:LCB131309 LLX131094:LLX131309 LVT131094:LVT131309 MFP131094:MFP131309 MPL131094:MPL131309 MZH131094:MZH131309 NJD131094:NJD131309 NSZ131094:NSZ131309 OCV131094:OCV131309 OMR131094:OMR131309 OWN131094:OWN131309 PGJ131094:PGJ131309 PQF131094:PQF131309 QAB131094:QAB131309 QJX131094:QJX131309 QTT131094:QTT131309 RDP131094:RDP131309 RNL131094:RNL131309 RXH131094:RXH131309 SHD131094:SHD131309 SQZ131094:SQZ131309 TAV131094:TAV131309 TKR131094:TKR131309 TUN131094:TUN131309 UEJ131094:UEJ131309 UOF131094:UOF131309 UYB131094:UYB131309 VHX131094:VHX131309 VRT131094:VRT131309 WBP131094:WBP131309 WLL131094:WLL131309 WVH131094:WVH131309 IV196630:IV196845 SR196630:SR196845 ACN196630:ACN196845 AMJ196630:AMJ196845 AWF196630:AWF196845 BGB196630:BGB196845 BPX196630:BPX196845 BZT196630:BZT196845 CJP196630:CJP196845 CTL196630:CTL196845 DDH196630:DDH196845 DND196630:DND196845 DWZ196630:DWZ196845 EGV196630:EGV196845 EQR196630:EQR196845 FAN196630:FAN196845 FKJ196630:FKJ196845 FUF196630:FUF196845 GEB196630:GEB196845 GNX196630:GNX196845 GXT196630:GXT196845 HHP196630:HHP196845 HRL196630:HRL196845 IBH196630:IBH196845 ILD196630:ILD196845 IUZ196630:IUZ196845 JEV196630:JEV196845 JOR196630:JOR196845 JYN196630:JYN196845 KIJ196630:KIJ196845 KSF196630:KSF196845 LCB196630:LCB196845 LLX196630:LLX196845 LVT196630:LVT196845 MFP196630:MFP196845 MPL196630:MPL196845 MZH196630:MZH196845 NJD196630:NJD196845 NSZ196630:NSZ196845 OCV196630:OCV196845 OMR196630:OMR196845 OWN196630:OWN196845 PGJ196630:PGJ196845 PQF196630:PQF196845 QAB196630:QAB196845 QJX196630:QJX196845 QTT196630:QTT196845 RDP196630:RDP196845 RNL196630:RNL196845 RXH196630:RXH196845 SHD196630:SHD196845 SQZ196630:SQZ196845 TAV196630:TAV196845 TKR196630:TKR196845 TUN196630:TUN196845 UEJ196630:UEJ196845 UOF196630:UOF196845 UYB196630:UYB196845 VHX196630:VHX196845 VRT196630:VRT196845 WBP196630:WBP196845 WLL196630:WLL196845 WVH196630:WVH196845 IV262166:IV262381 SR262166:SR262381 ACN262166:ACN262381 AMJ262166:AMJ262381 AWF262166:AWF262381 BGB262166:BGB262381 BPX262166:BPX262381 BZT262166:BZT262381 CJP262166:CJP262381 CTL262166:CTL262381 DDH262166:DDH262381 DND262166:DND262381 DWZ262166:DWZ262381 EGV262166:EGV262381 EQR262166:EQR262381 FAN262166:FAN262381 FKJ262166:FKJ262381 FUF262166:FUF262381 GEB262166:GEB262381 GNX262166:GNX262381 GXT262166:GXT262381 HHP262166:HHP262381 HRL262166:HRL262381 IBH262166:IBH262381 ILD262166:ILD262381 IUZ262166:IUZ262381 JEV262166:JEV262381 JOR262166:JOR262381 JYN262166:JYN262381 KIJ262166:KIJ262381 KSF262166:KSF262381 LCB262166:LCB262381 LLX262166:LLX262381 LVT262166:LVT262381 MFP262166:MFP262381 MPL262166:MPL262381 MZH262166:MZH262381 NJD262166:NJD262381 NSZ262166:NSZ262381 OCV262166:OCV262381 OMR262166:OMR262381 OWN262166:OWN262381 PGJ262166:PGJ262381 PQF262166:PQF262381 QAB262166:QAB262381 QJX262166:QJX262381 QTT262166:QTT262381 RDP262166:RDP262381 RNL262166:RNL262381 RXH262166:RXH262381 SHD262166:SHD262381 SQZ262166:SQZ262381 TAV262166:TAV262381 TKR262166:TKR262381 TUN262166:TUN262381 UEJ262166:UEJ262381 UOF262166:UOF262381 UYB262166:UYB262381 VHX262166:VHX262381 VRT262166:VRT262381 WBP262166:WBP262381 WLL262166:WLL262381 WVH262166:WVH262381 IV327702:IV327917 SR327702:SR327917 ACN327702:ACN327917 AMJ327702:AMJ327917 AWF327702:AWF327917 BGB327702:BGB327917 BPX327702:BPX327917 BZT327702:BZT327917 CJP327702:CJP327917 CTL327702:CTL327917 DDH327702:DDH327917 DND327702:DND327917 DWZ327702:DWZ327917 EGV327702:EGV327917 EQR327702:EQR327917 FAN327702:FAN327917 FKJ327702:FKJ327917 FUF327702:FUF327917 GEB327702:GEB327917 GNX327702:GNX327917 GXT327702:GXT327917 HHP327702:HHP327917 HRL327702:HRL327917 IBH327702:IBH327917 ILD327702:ILD327917 IUZ327702:IUZ327917 JEV327702:JEV327917 JOR327702:JOR327917 JYN327702:JYN327917 KIJ327702:KIJ327917 KSF327702:KSF327917 LCB327702:LCB327917 LLX327702:LLX327917 LVT327702:LVT327917 MFP327702:MFP327917 MPL327702:MPL327917 MZH327702:MZH327917 NJD327702:NJD327917 NSZ327702:NSZ327917 OCV327702:OCV327917 OMR327702:OMR327917 OWN327702:OWN327917 PGJ327702:PGJ327917 PQF327702:PQF327917 QAB327702:QAB327917 QJX327702:QJX327917 QTT327702:QTT327917 RDP327702:RDP327917 RNL327702:RNL327917 RXH327702:RXH327917 SHD327702:SHD327917 SQZ327702:SQZ327917 TAV327702:TAV327917 TKR327702:TKR327917 TUN327702:TUN327917 UEJ327702:UEJ327917 UOF327702:UOF327917 UYB327702:UYB327917 VHX327702:VHX327917 VRT327702:VRT327917 WBP327702:WBP327917 WLL327702:WLL327917 WVH327702:WVH327917 IV393238:IV393453 SR393238:SR393453 ACN393238:ACN393453 AMJ393238:AMJ393453 AWF393238:AWF393453 BGB393238:BGB393453 BPX393238:BPX393453 BZT393238:BZT393453 CJP393238:CJP393453 CTL393238:CTL393453 DDH393238:DDH393453 DND393238:DND393453 DWZ393238:DWZ393453 EGV393238:EGV393453 EQR393238:EQR393453 FAN393238:FAN393453 FKJ393238:FKJ393453 FUF393238:FUF393453 GEB393238:GEB393453 GNX393238:GNX393453 GXT393238:GXT393453 HHP393238:HHP393453 HRL393238:HRL393453 IBH393238:IBH393453 ILD393238:ILD393453 IUZ393238:IUZ393453 JEV393238:JEV393453 JOR393238:JOR393453 JYN393238:JYN393453 KIJ393238:KIJ393453 KSF393238:KSF393453 LCB393238:LCB393453 LLX393238:LLX393453 LVT393238:LVT393453 MFP393238:MFP393453 MPL393238:MPL393453 MZH393238:MZH393453 NJD393238:NJD393453 NSZ393238:NSZ393453 OCV393238:OCV393453 OMR393238:OMR393453 OWN393238:OWN393453 PGJ393238:PGJ393453 PQF393238:PQF393453 QAB393238:QAB393453 QJX393238:QJX393453 QTT393238:QTT393453 RDP393238:RDP393453 RNL393238:RNL393453 RXH393238:RXH393453 SHD393238:SHD393453 SQZ393238:SQZ393453 TAV393238:TAV393453 TKR393238:TKR393453 TUN393238:TUN393453 UEJ393238:UEJ393453 UOF393238:UOF393453 UYB393238:UYB393453 VHX393238:VHX393453 VRT393238:VRT393453 WBP393238:WBP393453 WLL393238:WLL393453 WVH393238:WVH393453 IV458774:IV458989 SR458774:SR458989 ACN458774:ACN458989 AMJ458774:AMJ458989 AWF458774:AWF458989 BGB458774:BGB458989 BPX458774:BPX458989 BZT458774:BZT458989 CJP458774:CJP458989 CTL458774:CTL458989 DDH458774:DDH458989 DND458774:DND458989 DWZ458774:DWZ458989 EGV458774:EGV458989 EQR458774:EQR458989 FAN458774:FAN458989 FKJ458774:FKJ458989 FUF458774:FUF458989 GEB458774:GEB458989 GNX458774:GNX458989 GXT458774:GXT458989 HHP458774:HHP458989 HRL458774:HRL458989 IBH458774:IBH458989 ILD458774:ILD458989 IUZ458774:IUZ458989 JEV458774:JEV458989 JOR458774:JOR458989 JYN458774:JYN458989 KIJ458774:KIJ458989 KSF458774:KSF458989 LCB458774:LCB458989 LLX458774:LLX458989 LVT458774:LVT458989 MFP458774:MFP458989 MPL458774:MPL458989 MZH458774:MZH458989 NJD458774:NJD458989 NSZ458774:NSZ458989 OCV458774:OCV458989 OMR458774:OMR458989 OWN458774:OWN458989 PGJ458774:PGJ458989 PQF458774:PQF458989 QAB458774:QAB458989 QJX458774:QJX458989 QTT458774:QTT458989 RDP458774:RDP458989 RNL458774:RNL458989 RXH458774:RXH458989 SHD458774:SHD458989 SQZ458774:SQZ458989 TAV458774:TAV458989 TKR458774:TKR458989 TUN458774:TUN458989 UEJ458774:UEJ458989 UOF458774:UOF458989 UYB458774:UYB458989 VHX458774:VHX458989 VRT458774:VRT458989 WBP458774:WBP458989 WLL458774:WLL458989 WVH458774:WVH458989 IV524310:IV524525 SR524310:SR524525 ACN524310:ACN524525 AMJ524310:AMJ524525 AWF524310:AWF524525 BGB524310:BGB524525 BPX524310:BPX524525 BZT524310:BZT524525 CJP524310:CJP524525 CTL524310:CTL524525 DDH524310:DDH524525 DND524310:DND524525 DWZ524310:DWZ524525 EGV524310:EGV524525 EQR524310:EQR524525 FAN524310:FAN524525 FKJ524310:FKJ524525 FUF524310:FUF524525 GEB524310:GEB524525 GNX524310:GNX524525 GXT524310:GXT524525 HHP524310:HHP524525 HRL524310:HRL524525 IBH524310:IBH524525 ILD524310:ILD524525 IUZ524310:IUZ524525 JEV524310:JEV524525 JOR524310:JOR524525 JYN524310:JYN524525 KIJ524310:KIJ524525 KSF524310:KSF524525 LCB524310:LCB524525 LLX524310:LLX524525 LVT524310:LVT524525 MFP524310:MFP524525 MPL524310:MPL524525 MZH524310:MZH524525 NJD524310:NJD524525 NSZ524310:NSZ524525 OCV524310:OCV524525 OMR524310:OMR524525 OWN524310:OWN524525 PGJ524310:PGJ524525 PQF524310:PQF524525 QAB524310:QAB524525 QJX524310:QJX524525 QTT524310:QTT524525 RDP524310:RDP524525 RNL524310:RNL524525 RXH524310:RXH524525 SHD524310:SHD524525 SQZ524310:SQZ524525 TAV524310:TAV524525 TKR524310:TKR524525 TUN524310:TUN524525 UEJ524310:UEJ524525 UOF524310:UOF524525 UYB524310:UYB524525 VHX524310:VHX524525 VRT524310:VRT524525 WBP524310:WBP524525 WLL524310:WLL524525 WVH524310:WVH524525 IV589846:IV590061 SR589846:SR590061 ACN589846:ACN590061 AMJ589846:AMJ590061 AWF589846:AWF590061 BGB589846:BGB590061 BPX589846:BPX590061 BZT589846:BZT590061 CJP589846:CJP590061 CTL589846:CTL590061 DDH589846:DDH590061 DND589846:DND590061 DWZ589846:DWZ590061 EGV589846:EGV590061 EQR589846:EQR590061 FAN589846:FAN590061 FKJ589846:FKJ590061 FUF589846:FUF590061 GEB589846:GEB590061 GNX589846:GNX590061 GXT589846:GXT590061 HHP589846:HHP590061 HRL589846:HRL590061 IBH589846:IBH590061 ILD589846:ILD590061 IUZ589846:IUZ590061 JEV589846:JEV590061 JOR589846:JOR590061 JYN589846:JYN590061 KIJ589846:KIJ590061 KSF589846:KSF590061 LCB589846:LCB590061 LLX589846:LLX590061 LVT589846:LVT590061 MFP589846:MFP590061 MPL589846:MPL590061 MZH589846:MZH590061 NJD589846:NJD590061 NSZ589846:NSZ590061 OCV589846:OCV590061 OMR589846:OMR590061 OWN589846:OWN590061 PGJ589846:PGJ590061 PQF589846:PQF590061 QAB589846:QAB590061 QJX589846:QJX590061 QTT589846:QTT590061 RDP589846:RDP590061 RNL589846:RNL590061 RXH589846:RXH590061 SHD589846:SHD590061 SQZ589846:SQZ590061 TAV589846:TAV590061 TKR589846:TKR590061 TUN589846:TUN590061 UEJ589846:UEJ590061 UOF589846:UOF590061 UYB589846:UYB590061 VHX589846:VHX590061 VRT589846:VRT590061 WBP589846:WBP590061 WLL589846:WLL590061 WVH589846:WVH590061 IV655382:IV655597 SR655382:SR655597 ACN655382:ACN655597 AMJ655382:AMJ655597 AWF655382:AWF655597 BGB655382:BGB655597 BPX655382:BPX655597 BZT655382:BZT655597 CJP655382:CJP655597 CTL655382:CTL655597 DDH655382:DDH655597 DND655382:DND655597 DWZ655382:DWZ655597 EGV655382:EGV655597 EQR655382:EQR655597 FAN655382:FAN655597 FKJ655382:FKJ655597 FUF655382:FUF655597 GEB655382:GEB655597 GNX655382:GNX655597 GXT655382:GXT655597 HHP655382:HHP655597 HRL655382:HRL655597 IBH655382:IBH655597 ILD655382:ILD655597 IUZ655382:IUZ655597 JEV655382:JEV655597 JOR655382:JOR655597 JYN655382:JYN655597 KIJ655382:KIJ655597 KSF655382:KSF655597 LCB655382:LCB655597 LLX655382:LLX655597 LVT655382:LVT655597 MFP655382:MFP655597 MPL655382:MPL655597 MZH655382:MZH655597 NJD655382:NJD655597 NSZ655382:NSZ655597 OCV655382:OCV655597 OMR655382:OMR655597 OWN655382:OWN655597 PGJ655382:PGJ655597 PQF655382:PQF655597 QAB655382:QAB655597 QJX655382:QJX655597 QTT655382:QTT655597 RDP655382:RDP655597 RNL655382:RNL655597 RXH655382:RXH655597 SHD655382:SHD655597 SQZ655382:SQZ655597 TAV655382:TAV655597 TKR655382:TKR655597 TUN655382:TUN655597 UEJ655382:UEJ655597 UOF655382:UOF655597 UYB655382:UYB655597 VHX655382:VHX655597 VRT655382:VRT655597 WBP655382:WBP655597 WLL655382:WLL655597 WVH655382:WVH655597 IV720918:IV721133 SR720918:SR721133 ACN720918:ACN721133 AMJ720918:AMJ721133 AWF720918:AWF721133 BGB720918:BGB721133 BPX720918:BPX721133 BZT720918:BZT721133 CJP720918:CJP721133 CTL720918:CTL721133 DDH720918:DDH721133 DND720918:DND721133 DWZ720918:DWZ721133 EGV720918:EGV721133 EQR720918:EQR721133 FAN720918:FAN721133 FKJ720918:FKJ721133 FUF720918:FUF721133 GEB720918:GEB721133 GNX720918:GNX721133 GXT720918:GXT721133 HHP720918:HHP721133 HRL720918:HRL721133 IBH720918:IBH721133 ILD720918:ILD721133 IUZ720918:IUZ721133 JEV720918:JEV721133 JOR720918:JOR721133 JYN720918:JYN721133 KIJ720918:KIJ721133 KSF720918:KSF721133 LCB720918:LCB721133 LLX720918:LLX721133 LVT720918:LVT721133 MFP720918:MFP721133 MPL720918:MPL721133 MZH720918:MZH721133 NJD720918:NJD721133 NSZ720918:NSZ721133 OCV720918:OCV721133 OMR720918:OMR721133 OWN720918:OWN721133 PGJ720918:PGJ721133 PQF720918:PQF721133 QAB720918:QAB721133 QJX720918:QJX721133 QTT720918:QTT721133 RDP720918:RDP721133 RNL720918:RNL721133 RXH720918:RXH721133 SHD720918:SHD721133 SQZ720918:SQZ721133 TAV720918:TAV721133 TKR720918:TKR721133 TUN720918:TUN721133 UEJ720918:UEJ721133 UOF720918:UOF721133 UYB720918:UYB721133 VHX720918:VHX721133 VRT720918:VRT721133 WBP720918:WBP721133 WLL720918:WLL721133 WVH720918:WVH721133 IV786454:IV786669 SR786454:SR786669 ACN786454:ACN786669 AMJ786454:AMJ786669 AWF786454:AWF786669 BGB786454:BGB786669 BPX786454:BPX786669 BZT786454:BZT786669 CJP786454:CJP786669 CTL786454:CTL786669 DDH786454:DDH786669 DND786454:DND786669 DWZ786454:DWZ786669 EGV786454:EGV786669 EQR786454:EQR786669 FAN786454:FAN786669 FKJ786454:FKJ786669 FUF786454:FUF786669 GEB786454:GEB786669 GNX786454:GNX786669 GXT786454:GXT786669 HHP786454:HHP786669 HRL786454:HRL786669 IBH786454:IBH786669 ILD786454:ILD786669 IUZ786454:IUZ786669 JEV786454:JEV786669 JOR786454:JOR786669 JYN786454:JYN786669 KIJ786454:KIJ786669 KSF786454:KSF786669 LCB786454:LCB786669 LLX786454:LLX786669 LVT786454:LVT786669 MFP786454:MFP786669 MPL786454:MPL786669 MZH786454:MZH786669 NJD786454:NJD786669 NSZ786454:NSZ786669 OCV786454:OCV786669 OMR786454:OMR786669 OWN786454:OWN786669 PGJ786454:PGJ786669 PQF786454:PQF786669 QAB786454:QAB786669 QJX786454:QJX786669 QTT786454:QTT786669 RDP786454:RDP786669 RNL786454:RNL786669 RXH786454:RXH786669 SHD786454:SHD786669 SQZ786454:SQZ786669 TAV786454:TAV786669 TKR786454:TKR786669 TUN786454:TUN786669 UEJ786454:UEJ786669 UOF786454:UOF786669 UYB786454:UYB786669 VHX786454:VHX786669 VRT786454:VRT786669 WBP786454:WBP786669 WLL786454:WLL786669 WVH786454:WVH786669 IV851990:IV852205 SR851990:SR852205 ACN851990:ACN852205 AMJ851990:AMJ852205 AWF851990:AWF852205 BGB851990:BGB852205 BPX851990:BPX852205 BZT851990:BZT852205 CJP851990:CJP852205 CTL851990:CTL852205 DDH851990:DDH852205 DND851990:DND852205 DWZ851990:DWZ852205 EGV851990:EGV852205 EQR851990:EQR852205 FAN851990:FAN852205 FKJ851990:FKJ852205 FUF851990:FUF852205 GEB851990:GEB852205 GNX851990:GNX852205 GXT851990:GXT852205 HHP851990:HHP852205 HRL851990:HRL852205 IBH851990:IBH852205 ILD851990:ILD852205 IUZ851990:IUZ852205 JEV851990:JEV852205 JOR851990:JOR852205 JYN851990:JYN852205 KIJ851990:KIJ852205 KSF851990:KSF852205 LCB851990:LCB852205 LLX851990:LLX852205 LVT851990:LVT852205 MFP851990:MFP852205 MPL851990:MPL852205 MZH851990:MZH852205 NJD851990:NJD852205 NSZ851990:NSZ852205 OCV851990:OCV852205 OMR851990:OMR852205 OWN851990:OWN852205 PGJ851990:PGJ852205 PQF851990:PQF852205 QAB851990:QAB852205 QJX851990:QJX852205 QTT851990:QTT852205 RDP851990:RDP852205 RNL851990:RNL852205 RXH851990:RXH852205 SHD851990:SHD852205 SQZ851990:SQZ852205 TAV851990:TAV852205 TKR851990:TKR852205 TUN851990:TUN852205 UEJ851990:UEJ852205 UOF851990:UOF852205 UYB851990:UYB852205 VHX851990:VHX852205 VRT851990:VRT852205 WBP851990:WBP852205 WLL851990:WLL852205 WVH851990:WVH852205 IV917526:IV917741 SR917526:SR917741 ACN917526:ACN917741 AMJ917526:AMJ917741 AWF917526:AWF917741 BGB917526:BGB917741 BPX917526:BPX917741 BZT917526:BZT917741 CJP917526:CJP917741 CTL917526:CTL917741 DDH917526:DDH917741 DND917526:DND917741 DWZ917526:DWZ917741 EGV917526:EGV917741 EQR917526:EQR917741 FAN917526:FAN917741 FKJ917526:FKJ917741 FUF917526:FUF917741 GEB917526:GEB917741 GNX917526:GNX917741 GXT917526:GXT917741 HHP917526:HHP917741 HRL917526:HRL917741 IBH917526:IBH917741 ILD917526:ILD917741 IUZ917526:IUZ917741 JEV917526:JEV917741 JOR917526:JOR917741 JYN917526:JYN917741 KIJ917526:KIJ917741 KSF917526:KSF917741 LCB917526:LCB917741 LLX917526:LLX917741 LVT917526:LVT917741 MFP917526:MFP917741 MPL917526:MPL917741 MZH917526:MZH917741 NJD917526:NJD917741 NSZ917526:NSZ917741 OCV917526:OCV917741 OMR917526:OMR917741 OWN917526:OWN917741 PGJ917526:PGJ917741 PQF917526:PQF917741 QAB917526:QAB917741 QJX917526:QJX917741 QTT917526:QTT917741 RDP917526:RDP917741 RNL917526:RNL917741 RXH917526:RXH917741 SHD917526:SHD917741 SQZ917526:SQZ917741 TAV917526:TAV917741 TKR917526:TKR917741 TUN917526:TUN917741 UEJ917526:UEJ917741 UOF917526:UOF917741 UYB917526:UYB917741 VHX917526:VHX917741 VRT917526:VRT917741 WBP917526:WBP917741 WLL917526:WLL917741 WVH917526:WVH917741 IV983062:IV983277 SR983062:SR983277 ACN983062:ACN983277 AMJ983062:AMJ983277 AWF983062:AWF983277 BGB983062:BGB983277 BPX983062:BPX983277 BZT983062:BZT983277 CJP983062:CJP983277 CTL983062:CTL983277 DDH983062:DDH983277 DND983062:DND983277 DWZ983062:DWZ983277 EGV983062:EGV983277 EQR983062:EQR983277 FAN983062:FAN983277 FKJ983062:FKJ983277 FUF983062:FUF983277 GEB983062:GEB983277 GNX983062:GNX983277 GXT983062:GXT983277 HHP983062:HHP983277 HRL983062:HRL983277 IBH983062:IBH983277 ILD983062:ILD983277 IUZ983062:IUZ983277 JEV983062:JEV983277 JOR983062:JOR983277 JYN983062:JYN983277 KIJ983062:KIJ983277 KSF983062:KSF983277 LCB983062:LCB983277 LLX983062:LLX983277 LVT983062:LVT983277 MFP983062:MFP983277 MPL983062:MPL983277 MZH983062:MZH983277 NJD983062:NJD983277 NSZ983062:NSZ983277 OCV983062:OCV983277 OMR983062:OMR983277 OWN983062:OWN983277 PGJ983062:PGJ983277 PQF983062:PQF983277 QAB983062:QAB983277 QJX983062:QJX983277 QTT983062:QTT983277 RDP983062:RDP983277 RNL983062:RNL983277 RXH983062:RXH983277 SHD983062:SHD983277 SQZ983062:SQZ983277 TAV983062:TAV983277 TKR983062:TKR983277 TUN983062:TUN983277 UEJ983062:UEJ983277 UOF983062:UOF983277 UYB983062:UYB983277 VHX983062:VHX983277 VRT983062:VRT983277 WBP983062:WBP983277 WLL983062:WLL983277 KSF9:KSF237 KIJ9:KIJ237 JYN9:JYN237 JOR9:JOR237 JEV9:JEV237 IUZ9:IUZ237 ILD9:ILD237 IBH9:IBH237 HRL9:HRL237 HHP9:HHP237 GXT9:GXT237 GNX9:GNX237 GEB9:GEB237 FUF9:FUF237 FKJ9:FKJ237 FAN9:FAN237 EQR9:EQR237 EGV9:EGV237 DWZ9:DWZ237 DND9:DND237 DDH9:DDH237 CTL9:CTL237 CJP9:CJP237 BZT9:BZT237 BPX9:BPX237 BGB9:BGB237 AWF9:AWF237 AMJ9:AMJ237 ACN9:ACN237 SR9:SR237 IV9:IV237 WVH9:WVH237 WLL9:WLL237 WBP9:WBP237 VRT9:VRT237 VHX9:VHX237 UYB9:UYB237 UOF9:UOF237 UEJ9:UEJ237 TUN9:TUN237 TKR9:TKR237 TAV9:TAV237 SQZ9:SQZ237 SHD9:SHD237 RXH9:RXH237 RNL9:RNL237 RDP9:RDP237 QTT9:QTT237 QJX9:QJX237 QAB9:QAB237 PQF9:PQF237 PGJ9:PGJ237 OWN9:OWN237 OMR9:OMR237 OCV9:OCV237 NSZ9:NSZ237 NJD9:NJD237 MZH9:MZH237 MPL9:MPL237 MFP9:MFP237 LVT9:LVT237 LLX9:LLX237 LCB9:LCB237" xr:uid="{00000000-0002-0000-0100-000000000000}">
      <formula1>-9.99999999999999E+31</formula1>
      <formula2>9.99999999999999E+31</formula2>
    </dataValidation>
    <dataValidation type="whole" allowBlank="1" showInputMessage="1" showErrorMessage="1" sqref="IT65558:IT65773 SP65558:SP65773 ACL65558:ACL65773 AMH65558:AMH65773 AWD65558:AWD65773 BFZ65558:BFZ65773 BPV65558:BPV65773 BZR65558:BZR65773 CJN65558:CJN65773 CTJ65558:CTJ65773 DDF65558:DDF65773 DNB65558:DNB65773 DWX65558:DWX65773 EGT65558:EGT65773 EQP65558:EQP65773 FAL65558:FAL65773 FKH65558:FKH65773 FUD65558:FUD65773 GDZ65558:GDZ65773 GNV65558:GNV65773 GXR65558:GXR65773 HHN65558:HHN65773 HRJ65558:HRJ65773 IBF65558:IBF65773 ILB65558:ILB65773 IUX65558:IUX65773 JET65558:JET65773 JOP65558:JOP65773 JYL65558:JYL65773 KIH65558:KIH65773 KSD65558:KSD65773 LBZ65558:LBZ65773 LLV65558:LLV65773 LVR65558:LVR65773 MFN65558:MFN65773 MPJ65558:MPJ65773 MZF65558:MZF65773 NJB65558:NJB65773 NSX65558:NSX65773 OCT65558:OCT65773 OMP65558:OMP65773 OWL65558:OWL65773 PGH65558:PGH65773 PQD65558:PQD65773 PZZ65558:PZZ65773 QJV65558:QJV65773 QTR65558:QTR65773 RDN65558:RDN65773 RNJ65558:RNJ65773 RXF65558:RXF65773 SHB65558:SHB65773 SQX65558:SQX65773 TAT65558:TAT65773 TKP65558:TKP65773 TUL65558:TUL65773 UEH65558:UEH65773 UOD65558:UOD65773 UXZ65558:UXZ65773 VHV65558:VHV65773 VRR65558:VRR65773 WBN65558:WBN65773 WLJ65558:WLJ65773 WVF65558:WVF65773 IT131094:IT131309 SP131094:SP131309 ACL131094:ACL131309 AMH131094:AMH131309 AWD131094:AWD131309 BFZ131094:BFZ131309 BPV131094:BPV131309 BZR131094:BZR131309 CJN131094:CJN131309 CTJ131094:CTJ131309 DDF131094:DDF131309 DNB131094:DNB131309 DWX131094:DWX131309 EGT131094:EGT131309 EQP131094:EQP131309 FAL131094:FAL131309 FKH131094:FKH131309 FUD131094:FUD131309 GDZ131094:GDZ131309 GNV131094:GNV131309 GXR131094:GXR131309 HHN131094:HHN131309 HRJ131094:HRJ131309 IBF131094:IBF131309 ILB131094:ILB131309 IUX131094:IUX131309 JET131094:JET131309 JOP131094:JOP131309 JYL131094:JYL131309 KIH131094:KIH131309 KSD131094:KSD131309 LBZ131094:LBZ131309 LLV131094:LLV131309 LVR131094:LVR131309 MFN131094:MFN131309 MPJ131094:MPJ131309 MZF131094:MZF131309 NJB131094:NJB131309 NSX131094:NSX131309 OCT131094:OCT131309 OMP131094:OMP131309 OWL131094:OWL131309 PGH131094:PGH131309 PQD131094:PQD131309 PZZ131094:PZZ131309 QJV131094:QJV131309 QTR131094:QTR131309 RDN131094:RDN131309 RNJ131094:RNJ131309 RXF131094:RXF131309 SHB131094:SHB131309 SQX131094:SQX131309 TAT131094:TAT131309 TKP131094:TKP131309 TUL131094:TUL131309 UEH131094:UEH131309 UOD131094:UOD131309 UXZ131094:UXZ131309 VHV131094:VHV131309 VRR131094:VRR131309 WBN131094:WBN131309 WLJ131094:WLJ131309 WVF131094:WVF131309 IT196630:IT196845 SP196630:SP196845 ACL196630:ACL196845 AMH196630:AMH196845 AWD196630:AWD196845 BFZ196630:BFZ196845 BPV196630:BPV196845 BZR196630:BZR196845 CJN196630:CJN196845 CTJ196630:CTJ196845 DDF196630:DDF196845 DNB196630:DNB196845 DWX196630:DWX196845 EGT196630:EGT196845 EQP196630:EQP196845 FAL196630:FAL196845 FKH196630:FKH196845 FUD196630:FUD196845 GDZ196630:GDZ196845 GNV196630:GNV196845 GXR196630:GXR196845 HHN196630:HHN196845 HRJ196630:HRJ196845 IBF196630:IBF196845 ILB196630:ILB196845 IUX196630:IUX196845 JET196630:JET196845 JOP196630:JOP196845 JYL196630:JYL196845 KIH196630:KIH196845 KSD196630:KSD196845 LBZ196630:LBZ196845 LLV196630:LLV196845 LVR196630:LVR196845 MFN196630:MFN196845 MPJ196630:MPJ196845 MZF196630:MZF196845 NJB196630:NJB196845 NSX196630:NSX196845 OCT196630:OCT196845 OMP196630:OMP196845 OWL196630:OWL196845 PGH196630:PGH196845 PQD196630:PQD196845 PZZ196630:PZZ196845 QJV196630:QJV196845 QTR196630:QTR196845 RDN196630:RDN196845 RNJ196630:RNJ196845 RXF196630:RXF196845 SHB196630:SHB196845 SQX196630:SQX196845 TAT196630:TAT196845 TKP196630:TKP196845 TUL196630:TUL196845 UEH196630:UEH196845 UOD196630:UOD196845 UXZ196630:UXZ196845 VHV196630:VHV196845 VRR196630:VRR196845 WBN196630:WBN196845 WLJ196630:WLJ196845 WVF196630:WVF196845 IT262166:IT262381 SP262166:SP262381 ACL262166:ACL262381 AMH262166:AMH262381 AWD262166:AWD262381 BFZ262166:BFZ262381 BPV262166:BPV262381 BZR262166:BZR262381 CJN262166:CJN262381 CTJ262166:CTJ262381 DDF262166:DDF262381 DNB262166:DNB262381 DWX262166:DWX262381 EGT262166:EGT262381 EQP262166:EQP262381 FAL262166:FAL262381 FKH262166:FKH262381 FUD262166:FUD262381 GDZ262166:GDZ262381 GNV262166:GNV262381 GXR262166:GXR262381 HHN262166:HHN262381 HRJ262166:HRJ262381 IBF262166:IBF262381 ILB262166:ILB262381 IUX262166:IUX262381 JET262166:JET262381 JOP262166:JOP262381 JYL262166:JYL262381 KIH262166:KIH262381 KSD262166:KSD262381 LBZ262166:LBZ262381 LLV262166:LLV262381 LVR262166:LVR262381 MFN262166:MFN262381 MPJ262166:MPJ262381 MZF262166:MZF262381 NJB262166:NJB262381 NSX262166:NSX262381 OCT262166:OCT262381 OMP262166:OMP262381 OWL262166:OWL262381 PGH262166:PGH262381 PQD262166:PQD262381 PZZ262166:PZZ262381 QJV262166:QJV262381 QTR262166:QTR262381 RDN262166:RDN262381 RNJ262166:RNJ262381 RXF262166:RXF262381 SHB262166:SHB262381 SQX262166:SQX262381 TAT262166:TAT262381 TKP262166:TKP262381 TUL262166:TUL262381 UEH262166:UEH262381 UOD262166:UOD262381 UXZ262166:UXZ262381 VHV262166:VHV262381 VRR262166:VRR262381 WBN262166:WBN262381 WLJ262166:WLJ262381 WVF262166:WVF262381 IT327702:IT327917 SP327702:SP327917 ACL327702:ACL327917 AMH327702:AMH327917 AWD327702:AWD327917 BFZ327702:BFZ327917 BPV327702:BPV327917 BZR327702:BZR327917 CJN327702:CJN327917 CTJ327702:CTJ327917 DDF327702:DDF327917 DNB327702:DNB327917 DWX327702:DWX327917 EGT327702:EGT327917 EQP327702:EQP327917 FAL327702:FAL327917 FKH327702:FKH327917 FUD327702:FUD327917 GDZ327702:GDZ327917 GNV327702:GNV327917 GXR327702:GXR327917 HHN327702:HHN327917 HRJ327702:HRJ327917 IBF327702:IBF327917 ILB327702:ILB327917 IUX327702:IUX327917 JET327702:JET327917 JOP327702:JOP327917 JYL327702:JYL327917 KIH327702:KIH327917 KSD327702:KSD327917 LBZ327702:LBZ327917 LLV327702:LLV327917 LVR327702:LVR327917 MFN327702:MFN327917 MPJ327702:MPJ327917 MZF327702:MZF327917 NJB327702:NJB327917 NSX327702:NSX327917 OCT327702:OCT327917 OMP327702:OMP327917 OWL327702:OWL327917 PGH327702:PGH327917 PQD327702:PQD327917 PZZ327702:PZZ327917 QJV327702:QJV327917 QTR327702:QTR327917 RDN327702:RDN327917 RNJ327702:RNJ327917 RXF327702:RXF327917 SHB327702:SHB327917 SQX327702:SQX327917 TAT327702:TAT327917 TKP327702:TKP327917 TUL327702:TUL327917 UEH327702:UEH327917 UOD327702:UOD327917 UXZ327702:UXZ327917 VHV327702:VHV327917 VRR327702:VRR327917 WBN327702:WBN327917 WLJ327702:WLJ327917 WVF327702:WVF327917 IT393238:IT393453 SP393238:SP393453 ACL393238:ACL393453 AMH393238:AMH393453 AWD393238:AWD393453 BFZ393238:BFZ393453 BPV393238:BPV393453 BZR393238:BZR393453 CJN393238:CJN393453 CTJ393238:CTJ393453 DDF393238:DDF393453 DNB393238:DNB393453 DWX393238:DWX393453 EGT393238:EGT393453 EQP393238:EQP393453 FAL393238:FAL393453 FKH393238:FKH393453 FUD393238:FUD393453 GDZ393238:GDZ393453 GNV393238:GNV393453 GXR393238:GXR393453 HHN393238:HHN393453 HRJ393238:HRJ393453 IBF393238:IBF393453 ILB393238:ILB393453 IUX393238:IUX393453 JET393238:JET393453 JOP393238:JOP393453 JYL393238:JYL393453 KIH393238:KIH393453 KSD393238:KSD393453 LBZ393238:LBZ393453 LLV393238:LLV393453 LVR393238:LVR393453 MFN393238:MFN393453 MPJ393238:MPJ393453 MZF393238:MZF393453 NJB393238:NJB393453 NSX393238:NSX393453 OCT393238:OCT393453 OMP393238:OMP393453 OWL393238:OWL393453 PGH393238:PGH393453 PQD393238:PQD393453 PZZ393238:PZZ393453 QJV393238:QJV393453 QTR393238:QTR393453 RDN393238:RDN393453 RNJ393238:RNJ393453 RXF393238:RXF393453 SHB393238:SHB393453 SQX393238:SQX393453 TAT393238:TAT393453 TKP393238:TKP393453 TUL393238:TUL393453 UEH393238:UEH393453 UOD393238:UOD393453 UXZ393238:UXZ393453 VHV393238:VHV393453 VRR393238:VRR393453 WBN393238:WBN393453 WLJ393238:WLJ393453 WVF393238:WVF393453 IT458774:IT458989 SP458774:SP458989 ACL458774:ACL458989 AMH458774:AMH458989 AWD458774:AWD458989 BFZ458774:BFZ458989 BPV458774:BPV458989 BZR458774:BZR458989 CJN458774:CJN458989 CTJ458774:CTJ458989 DDF458774:DDF458989 DNB458774:DNB458989 DWX458774:DWX458989 EGT458774:EGT458989 EQP458774:EQP458989 FAL458774:FAL458989 FKH458774:FKH458989 FUD458774:FUD458989 GDZ458774:GDZ458989 GNV458774:GNV458989 GXR458774:GXR458989 HHN458774:HHN458989 HRJ458774:HRJ458989 IBF458774:IBF458989 ILB458774:ILB458989 IUX458774:IUX458989 JET458774:JET458989 JOP458774:JOP458989 JYL458774:JYL458989 KIH458774:KIH458989 KSD458774:KSD458989 LBZ458774:LBZ458989 LLV458774:LLV458989 LVR458774:LVR458989 MFN458774:MFN458989 MPJ458774:MPJ458989 MZF458774:MZF458989 NJB458774:NJB458989 NSX458774:NSX458989 OCT458774:OCT458989 OMP458774:OMP458989 OWL458774:OWL458989 PGH458774:PGH458989 PQD458774:PQD458989 PZZ458774:PZZ458989 QJV458774:QJV458989 QTR458774:QTR458989 RDN458774:RDN458989 RNJ458774:RNJ458989 RXF458774:RXF458989 SHB458774:SHB458989 SQX458774:SQX458989 TAT458774:TAT458989 TKP458774:TKP458989 TUL458774:TUL458989 UEH458774:UEH458989 UOD458774:UOD458989 UXZ458774:UXZ458989 VHV458774:VHV458989 VRR458774:VRR458989 WBN458774:WBN458989 WLJ458774:WLJ458989 WVF458774:WVF458989 IT524310:IT524525 SP524310:SP524525 ACL524310:ACL524525 AMH524310:AMH524525 AWD524310:AWD524525 BFZ524310:BFZ524525 BPV524310:BPV524525 BZR524310:BZR524525 CJN524310:CJN524525 CTJ524310:CTJ524525 DDF524310:DDF524525 DNB524310:DNB524525 DWX524310:DWX524525 EGT524310:EGT524525 EQP524310:EQP524525 FAL524310:FAL524525 FKH524310:FKH524525 FUD524310:FUD524525 GDZ524310:GDZ524525 GNV524310:GNV524525 GXR524310:GXR524525 HHN524310:HHN524525 HRJ524310:HRJ524525 IBF524310:IBF524525 ILB524310:ILB524525 IUX524310:IUX524525 JET524310:JET524525 JOP524310:JOP524525 JYL524310:JYL524525 KIH524310:KIH524525 KSD524310:KSD524525 LBZ524310:LBZ524525 LLV524310:LLV524525 LVR524310:LVR524525 MFN524310:MFN524525 MPJ524310:MPJ524525 MZF524310:MZF524525 NJB524310:NJB524525 NSX524310:NSX524525 OCT524310:OCT524525 OMP524310:OMP524525 OWL524310:OWL524525 PGH524310:PGH524525 PQD524310:PQD524525 PZZ524310:PZZ524525 QJV524310:QJV524525 QTR524310:QTR524525 RDN524310:RDN524525 RNJ524310:RNJ524525 RXF524310:RXF524525 SHB524310:SHB524525 SQX524310:SQX524525 TAT524310:TAT524525 TKP524310:TKP524525 TUL524310:TUL524525 UEH524310:UEH524525 UOD524310:UOD524525 UXZ524310:UXZ524525 VHV524310:VHV524525 VRR524310:VRR524525 WBN524310:WBN524525 WLJ524310:WLJ524525 WVF524310:WVF524525 IT589846:IT590061 SP589846:SP590061 ACL589846:ACL590061 AMH589846:AMH590061 AWD589846:AWD590061 BFZ589846:BFZ590061 BPV589846:BPV590061 BZR589846:BZR590061 CJN589846:CJN590061 CTJ589846:CTJ590061 DDF589846:DDF590061 DNB589846:DNB590061 DWX589846:DWX590061 EGT589846:EGT590061 EQP589846:EQP590061 FAL589846:FAL590061 FKH589846:FKH590061 FUD589846:FUD590061 GDZ589846:GDZ590061 GNV589846:GNV590061 GXR589846:GXR590061 HHN589846:HHN590061 HRJ589846:HRJ590061 IBF589846:IBF590061 ILB589846:ILB590061 IUX589846:IUX590061 JET589846:JET590061 JOP589846:JOP590061 JYL589846:JYL590061 KIH589846:KIH590061 KSD589846:KSD590061 LBZ589846:LBZ590061 LLV589846:LLV590061 LVR589846:LVR590061 MFN589846:MFN590061 MPJ589846:MPJ590061 MZF589846:MZF590061 NJB589846:NJB590061 NSX589846:NSX590061 OCT589846:OCT590061 OMP589846:OMP590061 OWL589846:OWL590061 PGH589846:PGH590061 PQD589846:PQD590061 PZZ589846:PZZ590061 QJV589846:QJV590061 QTR589846:QTR590061 RDN589846:RDN590061 RNJ589846:RNJ590061 RXF589846:RXF590061 SHB589846:SHB590061 SQX589846:SQX590061 TAT589846:TAT590061 TKP589846:TKP590061 TUL589846:TUL590061 UEH589846:UEH590061 UOD589846:UOD590061 UXZ589846:UXZ590061 VHV589846:VHV590061 VRR589846:VRR590061 WBN589846:WBN590061 WLJ589846:WLJ590061 WVF589846:WVF590061 IT655382:IT655597 SP655382:SP655597 ACL655382:ACL655597 AMH655382:AMH655597 AWD655382:AWD655597 BFZ655382:BFZ655597 BPV655382:BPV655597 BZR655382:BZR655597 CJN655382:CJN655597 CTJ655382:CTJ655597 DDF655382:DDF655597 DNB655382:DNB655597 DWX655382:DWX655597 EGT655382:EGT655597 EQP655382:EQP655597 FAL655382:FAL655597 FKH655382:FKH655597 FUD655382:FUD655597 GDZ655382:GDZ655597 GNV655382:GNV655597 GXR655382:GXR655597 HHN655382:HHN655597 HRJ655382:HRJ655597 IBF655382:IBF655597 ILB655382:ILB655597 IUX655382:IUX655597 JET655382:JET655597 JOP655382:JOP655597 JYL655382:JYL655597 KIH655382:KIH655597 KSD655382:KSD655597 LBZ655382:LBZ655597 LLV655382:LLV655597 LVR655382:LVR655597 MFN655382:MFN655597 MPJ655382:MPJ655597 MZF655382:MZF655597 NJB655382:NJB655597 NSX655382:NSX655597 OCT655382:OCT655597 OMP655382:OMP655597 OWL655382:OWL655597 PGH655382:PGH655597 PQD655382:PQD655597 PZZ655382:PZZ655597 QJV655382:QJV655597 QTR655382:QTR655597 RDN655382:RDN655597 RNJ655382:RNJ655597 RXF655382:RXF655597 SHB655382:SHB655597 SQX655382:SQX655597 TAT655382:TAT655597 TKP655382:TKP655597 TUL655382:TUL655597 UEH655382:UEH655597 UOD655382:UOD655597 UXZ655382:UXZ655597 VHV655382:VHV655597 VRR655382:VRR655597 WBN655382:WBN655597 WLJ655382:WLJ655597 WVF655382:WVF655597 IT720918:IT721133 SP720918:SP721133 ACL720918:ACL721133 AMH720918:AMH721133 AWD720918:AWD721133 BFZ720918:BFZ721133 BPV720918:BPV721133 BZR720918:BZR721133 CJN720918:CJN721133 CTJ720918:CTJ721133 DDF720918:DDF721133 DNB720918:DNB721133 DWX720918:DWX721133 EGT720918:EGT721133 EQP720918:EQP721133 FAL720918:FAL721133 FKH720918:FKH721133 FUD720918:FUD721133 GDZ720918:GDZ721133 GNV720918:GNV721133 GXR720918:GXR721133 HHN720918:HHN721133 HRJ720918:HRJ721133 IBF720918:IBF721133 ILB720918:ILB721133 IUX720918:IUX721133 JET720918:JET721133 JOP720918:JOP721133 JYL720918:JYL721133 KIH720918:KIH721133 KSD720918:KSD721133 LBZ720918:LBZ721133 LLV720918:LLV721133 LVR720918:LVR721133 MFN720918:MFN721133 MPJ720918:MPJ721133 MZF720918:MZF721133 NJB720918:NJB721133 NSX720918:NSX721133 OCT720918:OCT721133 OMP720918:OMP721133 OWL720918:OWL721133 PGH720918:PGH721133 PQD720918:PQD721133 PZZ720918:PZZ721133 QJV720918:QJV721133 QTR720918:QTR721133 RDN720918:RDN721133 RNJ720918:RNJ721133 RXF720918:RXF721133 SHB720918:SHB721133 SQX720918:SQX721133 TAT720918:TAT721133 TKP720918:TKP721133 TUL720918:TUL721133 UEH720918:UEH721133 UOD720918:UOD721133 UXZ720918:UXZ721133 VHV720918:VHV721133 VRR720918:VRR721133 WBN720918:WBN721133 WLJ720918:WLJ721133 WVF720918:WVF721133 IT786454:IT786669 SP786454:SP786669 ACL786454:ACL786669 AMH786454:AMH786669 AWD786454:AWD786669 BFZ786454:BFZ786669 BPV786454:BPV786669 BZR786454:BZR786669 CJN786454:CJN786669 CTJ786454:CTJ786669 DDF786454:DDF786669 DNB786454:DNB786669 DWX786454:DWX786669 EGT786454:EGT786669 EQP786454:EQP786669 FAL786454:FAL786669 FKH786454:FKH786669 FUD786454:FUD786669 GDZ786454:GDZ786669 GNV786454:GNV786669 GXR786454:GXR786669 HHN786454:HHN786669 HRJ786454:HRJ786669 IBF786454:IBF786669 ILB786454:ILB786669 IUX786454:IUX786669 JET786454:JET786669 JOP786454:JOP786669 JYL786454:JYL786669 KIH786454:KIH786669 KSD786454:KSD786669 LBZ786454:LBZ786669 LLV786454:LLV786669 LVR786454:LVR786669 MFN786454:MFN786669 MPJ786454:MPJ786669 MZF786454:MZF786669 NJB786454:NJB786669 NSX786454:NSX786669 OCT786454:OCT786669 OMP786454:OMP786669 OWL786454:OWL786669 PGH786454:PGH786669 PQD786454:PQD786669 PZZ786454:PZZ786669 QJV786454:QJV786669 QTR786454:QTR786669 RDN786454:RDN786669 RNJ786454:RNJ786669 RXF786454:RXF786669 SHB786454:SHB786669 SQX786454:SQX786669 TAT786454:TAT786669 TKP786454:TKP786669 TUL786454:TUL786669 UEH786454:UEH786669 UOD786454:UOD786669 UXZ786454:UXZ786669 VHV786454:VHV786669 VRR786454:VRR786669 WBN786454:WBN786669 WLJ786454:WLJ786669 WVF786454:WVF786669 IT851990:IT852205 SP851990:SP852205 ACL851990:ACL852205 AMH851990:AMH852205 AWD851990:AWD852205 BFZ851990:BFZ852205 BPV851990:BPV852205 BZR851990:BZR852205 CJN851990:CJN852205 CTJ851990:CTJ852205 DDF851990:DDF852205 DNB851990:DNB852205 DWX851990:DWX852205 EGT851990:EGT852205 EQP851990:EQP852205 FAL851990:FAL852205 FKH851990:FKH852205 FUD851990:FUD852205 GDZ851990:GDZ852205 GNV851990:GNV852205 GXR851990:GXR852205 HHN851990:HHN852205 HRJ851990:HRJ852205 IBF851990:IBF852205 ILB851990:ILB852205 IUX851990:IUX852205 JET851990:JET852205 JOP851990:JOP852205 JYL851990:JYL852205 KIH851990:KIH852205 KSD851990:KSD852205 LBZ851990:LBZ852205 LLV851990:LLV852205 LVR851990:LVR852205 MFN851990:MFN852205 MPJ851990:MPJ852205 MZF851990:MZF852205 NJB851990:NJB852205 NSX851990:NSX852205 OCT851990:OCT852205 OMP851990:OMP852205 OWL851990:OWL852205 PGH851990:PGH852205 PQD851990:PQD852205 PZZ851990:PZZ852205 QJV851990:QJV852205 QTR851990:QTR852205 RDN851990:RDN852205 RNJ851990:RNJ852205 RXF851990:RXF852205 SHB851990:SHB852205 SQX851990:SQX852205 TAT851990:TAT852205 TKP851990:TKP852205 TUL851990:TUL852205 UEH851990:UEH852205 UOD851990:UOD852205 UXZ851990:UXZ852205 VHV851990:VHV852205 VRR851990:VRR852205 WBN851990:WBN852205 WLJ851990:WLJ852205 WVF851990:WVF852205 IT917526:IT917741 SP917526:SP917741 ACL917526:ACL917741 AMH917526:AMH917741 AWD917526:AWD917741 BFZ917526:BFZ917741 BPV917526:BPV917741 BZR917526:BZR917741 CJN917526:CJN917741 CTJ917526:CTJ917741 DDF917526:DDF917741 DNB917526:DNB917741 DWX917526:DWX917741 EGT917526:EGT917741 EQP917526:EQP917741 FAL917526:FAL917741 FKH917526:FKH917741 FUD917526:FUD917741 GDZ917526:GDZ917741 GNV917526:GNV917741 GXR917526:GXR917741 HHN917526:HHN917741 HRJ917526:HRJ917741 IBF917526:IBF917741 ILB917526:ILB917741 IUX917526:IUX917741 JET917526:JET917741 JOP917526:JOP917741 JYL917526:JYL917741 KIH917526:KIH917741 KSD917526:KSD917741 LBZ917526:LBZ917741 LLV917526:LLV917741 LVR917526:LVR917741 MFN917526:MFN917741 MPJ917526:MPJ917741 MZF917526:MZF917741 NJB917526:NJB917741 NSX917526:NSX917741 OCT917526:OCT917741 OMP917526:OMP917741 OWL917526:OWL917741 PGH917526:PGH917741 PQD917526:PQD917741 PZZ917526:PZZ917741 QJV917526:QJV917741 QTR917526:QTR917741 RDN917526:RDN917741 RNJ917526:RNJ917741 RXF917526:RXF917741 SHB917526:SHB917741 SQX917526:SQX917741 TAT917526:TAT917741 TKP917526:TKP917741 TUL917526:TUL917741 UEH917526:UEH917741 UOD917526:UOD917741 UXZ917526:UXZ917741 VHV917526:VHV917741 VRR917526:VRR917741 WBN917526:WBN917741 WLJ917526:WLJ917741 WVF917526:WVF917741 IT983062:IT983277 SP983062:SP983277 ACL983062:ACL983277 AMH983062:AMH983277 AWD983062:AWD983277 BFZ983062:BFZ983277 BPV983062:BPV983277 BZR983062:BZR983277 CJN983062:CJN983277 CTJ983062:CTJ983277 DDF983062:DDF983277 DNB983062:DNB983277 DWX983062:DWX983277 EGT983062:EGT983277 EQP983062:EQP983277 FAL983062:FAL983277 FKH983062:FKH983277 FUD983062:FUD983277 GDZ983062:GDZ983277 GNV983062:GNV983277 GXR983062:GXR983277 HHN983062:HHN983277 HRJ983062:HRJ983277 IBF983062:IBF983277 ILB983062:ILB983277 IUX983062:IUX983277 JET983062:JET983277 JOP983062:JOP983277 JYL983062:JYL983277 KIH983062:KIH983277 KSD983062:KSD983277 LBZ983062:LBZ983277 LLV983062:LLV983277 LVR983062:LVR983277 MFN983062:MFN983277 MPJ983062:MPJ983277 MZF983062:MZF983277 NJB983062:NJB983277 NSX983062:NSX983277 OCT983062:OCT983277 OMP983062:OMP983277 OWL983062:OWL983277 PGH983062:PGH983277 PQD983062:PQD983277 PZZ983062:PZZ983277 QJV983062:QJV983277 QTR983062:QTR983277 RDN983062:RDN983277 RNJ983062:RNJ983277 RXF983062:RXF983277 SHB983062:SHB983277 SQX983062:SQX983277 TAT983062:TAT983277 TKP983062:TKP983277 TUL983062:TUL983277 UEH983062:UEH983277 UOD983062:UOD983277 UXZ983062:UXZ983277 VHV983062:VHV983277 VRR983062:VRR983277 WBN983062:WBN983277 WLJ983062:WLJ983277 WVF983062:WVF983277 KSD9:KSD237 KIH9:KIH237 JYL9:JYL237 JOP9:JOP237 JET9:JET237 IUX9:IUX237 ILB9:ILB237 IBF9:IBF237 HRJ9:HRJ237 HHN9:HHN237 GXR9:GXR237 GNV9:GNV237 GDZ9:GDZ237 FUD9:FUD237 FKH9:FKH237 FAL9:FAL237 EQP9:EQP237 EGT9:EGT237 DWX9:DWX237 DNB9:DNB237 DDF9:DDF237 CTJ9:CTJ237 CJN9:CJN237 BZR9:BZR237 BPV9:BPV237 BFZ9:BFZ237 AWD9:AWD237 AMH9:AMH237 ACL9:ACL237 SP9:SP237 IT9:IT237 WVF9:WVF237 WLJ9:WLJ237 WBN9:WBN237 VRR9:VRR237 VHV9:VHV237 UXZ9:UXZ237 UOD9:UOD237 UEH9:UEH237 TUL9:TUL237 TKP9:TKP237 TAT9:TAT237 SQX9:SQX237 SHB9:SHB237 RXF9:RXF237 RNJ9:RNJ237 RDN9:RDN237 QTR9:QTR237 QJV9:QJV237 PZZ9:PZZ237 PQD9:PQD237 PGH9:PGH237 OWL9:OWL237 OMP9:OMP237 OCT9:OCT237 NSX9:NSX237 NJB9:NJB237 MZF9:MZF237 MPJ9:MPJ237 MFN9:MFN237 LVR9:LVR237 LLV9:LLV237 LBZ9:LBZ237" xr:uid="{00000000-0002-0000-0100-000001000000}">
      <formula1>-9.99999999999999E+30</formula1>
      <formula2>9.99999999999999E+31</formula2>
    </dataValidation>
  </dataValidations>
  <hyperlinks>
    <hyperlink ref="A3" location="Menu!A1" display="MENU" xr:uid="{00000000-0004-0000-0100-000000000000}"/>
  </hyperlinks>
  <pageMargins left="0.7" right="0.7" top="0.75" bottom="0.75" header="0.3" footer="0.3"/>
  <pageSetup paperSize="25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U93"/>
  <sheetViews>
    <sheetView showGridLines="0" topLeftCell="A10" workbookViewId="0">
      <selection activeCell="A36" sqref="A36"/>
    </sheetView>
  </sheetViews>
  <sheetFormatPr defaultColWidth="8.6640625" defaultRowHeight="14.4" x14ac:dyDescent="0.3"/>
  <cols>
    <col min="1" max="1" width="84.6640625" style="5" customWidth="1"/>
    <col min="2" max="2" width="10.33203125" style="5" hidden="1" customWidth="1"/>
    <col min="3" max="3" width="8.6640625" style="5" hidden="1" customWidth="1"/>
    <col min="4" max="4" width="6.6640625" style="5" hidden="1" customWidth="1"/>
    <col min="5" max="5" width="58.6640625" style="5" hidden="1" customWidth="1"/>
    <col min="6" max="6" width="33" style="6" hidden="1" customWidth="1"/>
    <col min="7" max="8" width="10.44140625" style="6" bestFit="1" customWidth="1"/>
    <col min="9" max="9" width="17.6640625" style="5" bestFit="1" customWidth="1"/>
    <col min="10" max="10" width="11.44140625" style="160" bestFit="1" customWidth="1"/>
    <col min="11" max="21" width="8.6640625" style="160"/>
    <col min="22" max="246" width="8.6640625" style="5"/>
    <col min="247" max="247" width="84.6640625" style="5" customWidth="1"/>
    <col min="248" max="252" width="0" style="5" hidden="1" customWidth="1"/>
    <col min="253" max="256" width="16.6640625" style="5" customWidth="1"/>
    <col min="257" max="502" width="8.6640625" style="5"/>
    <col min="503" max="503" width="84.6640625" style="5" customWidth="1"/>
    <col min="504" max="508" width="0" style="5" hidden="1" customWidth="1"/>
    <col min="509" max="512" width="16.6640625" style="5" customWidth="1"/>
    <col min="513" max="758" width="8.6640625" style="5"/>
    <col min="759" max="759" width="84.6640625" style="5" customWidth="1"/>
    <col min="760" max="764" width="0" style="5" hidden="1" customWidth="1"/>
    <col min="765" max="768" width="16.6640625" style="5" customWidth="1"/>
    <col min="769" max="1014" width="8.6640625" style="5"/>
    <col min="1015" max="1015" width="84.6640625" style="5" customWidth="1"/>
    <col min="1016" max="1020" width="0" style="5" hidden="1" customWidth="1"/>
    <col min="1021" max="1024" width="16.6640625" style="5" customWidth="1"/>
    <col min="1025" max="1270" width="8.6640625" style="5"/>
    <col min="1271" max="1271" width="84.6640625" style="5" customWidth="1"/>
    <col min="1272" max="1276" width="0" style="5" hidden="1" customWidth="1"/>
    <col min="1277" max="1280" width="16.6640625" style="5" customWidth="1"/>
    <col min="1281" max="1526" width="8.6640625" style="5"/>
    <col min="1527" max="1527" width="84.6640625" style="5" customWidth="1"/>
    <col min="1528" max="1532" width="0" style="5" hidden="1" customWidth="1"/>
    <col min="1533" max="1536" width="16.6640625" style="5" customWidth="1"/>
    <col min="1537" max="1782" width="8.6640625" style="5"/>
    <col min="1783" max="1783" width="84.6640625" style="5" customWidth="1"/>
    <col min="1784" max="1788" width="0" style="5" hidden="1" customWidth="1"/>
    <col min="1789" max="1792" width="16.6640625" style="5" customWidth="1"/>
    <col min="1793" max="2038" width="8.6640625" style="5"/>
    <col min="2039" max="2039" width="84.6640625" style="5" customWidth="1"/>
    <col min="2040" max="2044" width="0" style="5" hidden="1" customWidth="1"/>
    <col min="2045" max="2048" width="16.6640625" style="5" customWidth="1"/>
    <col min="2049" max="2294" width="8.6640625" style="5"/>
    <col min="2295" max="2295" width="84.6640625" style="5" customWidth="1"/>
    <col min="2296" max="2300" width="0" style="5" hidden="1" customWidth="1"/>
    <col min="2301" max="2304" width="16.6640625" style="5" customWidth="1"/>
    <col min="2305" max="2550" width="8.6640625" style="5"/>
    <col min="2551" max="2551" width="84.6640625" style="5" customWidth="1"/>
    <col min="2552" max="2556" width="0" style="5" hidden="1" customWidth="1"/>
    <col min="2557" max="2560" width="16.6640625" style="5" customWidth="1"/>
    <col min="2561" max="2806" width="8.6640625" style="5"/>
    <col min="2807" max="2807" width="84.6640625" style="5" customWidth="1"/>
    <col min="2808" max="2812" width="0" style="5" hidden="1" customWidth="1"/>
    <col min="2813" max="2816" width="16.6640625" style="5" customWidth="1"/>
    <col min="2817" max="3062" width="8.6640625" style="5"/>
    <col min="3063" max="3063" width="84.6640625" style="5" customWidth="1"/>
    <col min="3064" max="3068" width="0" style="5" hidden="1" customWidth="1"/>
    <col min="3069" max="3072" width="16.6640625" style="5" customWidth="1"/>
    <col min="3073" max="3318" width="8.6640625" style="5"/>
    <col min="3319" max="3319" width="84.6640625" style="5" customWidth="1"/>
    <col min="3320" max="3324" width="0" style="5" hidden="1" customWidth="1"/>
    <col min="3325" max="3328" width="16.6640625" style="5" customWidth="1"/>
    <col min="3329" max="3574" width="8.6640625" style="5"/>
    <col min="3575" max="3575" width="84.6640625" style="5" customWidth="1"/>
    <col min="3576" max="3580" width="0" style="5" hidden="1" customWidth="1"/>
    <col min="3581" max="3584" width="16.6640625" style="5" customWidth="1"/>
    <col min="3585" max="3830" width="8.6640625" style="5"/>
    <col min="3831" max="3831" width="84.6640625" style="5" customWidth="1"/>
    <col min="3832" max="3836" width="0" style="5" hidden="1" customWidth="1"/>
    <col min="3837" max="3840" width="16.6640625" style="5" customWidth="1"/>
    <col min="3841" max="4086" width="8.6640625" style="5"/>
    <col min="4087" max="4087" width="84.6640625" style="5" customWidth="1"/>
    <col min="4088" max="4092" width="0" style="5" hidden="1" customWidth="1"/>
    <col min="4093" max="4096" width="16.6640625" style="5" customWidth="1"/>
    <col min="4097" max="4342" width="8.6640625" style="5"/>
    <col min="4343" max="4343" width="84.6640625" style="5" customWidth="1"/>
    <col min="4344" max="4348" width="0" style="5" hidden="1" customWidth="1"/>
    <col min="4349" max="4352" width="16.6640625" style="5" customWidth="1"/>
    <col min="4353" max="4598" width="8.6640625" style="5"/>
    <col min="4599" max="4599" width="84.6640625" style="5" customWidth="1"/>
    <col min="4600" max="4604" width="0" style="5" hidden="1" customWidth="1"/>
    <col min="4605" max="4608" width="16.6640625" style="5" customWidth="1"/>
    <col min="4609" max="4854" width="8.6640625" style="5"/>
    <col min="4855" max="4855" width="84.6640625" style="5" customWidth="1"/>
    <col min="4856" max="4860" width="0" style="5" hidden="1" customWidth="1"/>
    <col min="4861" max="4864" width="16.6640625" style="5" customWidth="1"/>
    <col min="4865" max="5110" width="8.6640625" style="5"/>
    <col min="5111" max="5111" width="84.6640625" style="5" customWidth="1"/>
    <col min="5112" max="5116" width="0" style="5" hidden="1" customWidth="1"/>
    <col min="5117" max="5120" width="16.6640625" style="5" customWidth="1"/>
    <col min="5121" max="5366" width="8.6640625" style="5"/>
    <col min="5367" max="5367" width="84.6640625" style="5" customWidth="1"/>
    <col min="5368" max="5372" width="0" style="5" hidden="1" customWidth="1"/>
    <col min="5373" max="5376" width="16.6640625" style="5" customWidth="1"/>
    <col min="5377" max="5622" width="8.6640625" style="5"/>
    <col min="5623" max="5623" width="84.6640625" style="5" customWidth="1"/>
    <col min="5624" max="5628" width="0" style="5" hidden="1" customWidth="1"/>
    <col min="5629" max="5632" width="16.6640625" style="5" customWidth="1"/>
    <col min="5633" max="5878" width="8.6640625" style="5"/>
    <col min="5879" max="5879" width="84.6640625" style="5" customWidth="1"/>
    <col min="5880" max="5884" width="0" style="5" hidden="1" customWidth="1"/>
    <col min="5885" max="5888" width="16.6640625" style="5" customWidth="1"/>
    <col min="5889" max="6134" width="8.6640625" style="5"/>
    <col min="6135" max="6135" width="84.6640625" style="5" customWidth="1"/>
    <col min="6136" max="6140" width="0" style="5" hidden="1" customWidth="1"/>
    <col min="6141" max="6144" width="16.6640625" style="5" customWidth="1"/>
    <col min="6145" max="6390" width="8.6640625" style="5"/>
    <col min="6391" max="6391" width="84.6640625" style="5" customWidth="1"/>
    <col min="6392" max="6396" width="0" style="5" hidden="1" customWidth="1"/>
    <col min="6397" max="6400" width="16.6640625" style="5" customWidth="1"/>
    <col min="6401" max="6646" width="8.6640625" style="5"/>
    <col min="6647" max="6647" width="84.6640625" style="5" customWidth="1"/>
    <col min="6648" max="6652" width="0" style="5" hidden="1" customWidth="1"/>
    <col min="6653" max="6656" width="16.6640625" style="5" customWidth="1"/>
    <col min="6657" max="6902" width="8.6640625" style="5"/>
    <col min="6903" max="6903" width="84.6640625" style="5" customWidth="1"/>
    <col min="6904" max="6908" width="0" style="5" hidden="1" customWidth="1"/>
    <col min="6909" max="6912" width="16.6640625" style="5" customWidth="1"/>
    <col min="6913" max="7158" width="8.6640625" style="5"/>
    <col min="7159" max="7159" width="84.6640625" style="5" customWidth="1"/>
    <col min="7160" max="7164" width="0" style="5" hidden="1" customWidth="1"/>
    <col min="7165" max="7168" width="16.6640625" style="5" customWidth="1"/>
    <col min="7169" max="7414" width="8.6640625" style="5"/>
    <col min="7415" max="7415" width="84.6640625" style="5" customWidth="1"/>
    <col min="7416" max="7420" width="0" style="5" hidden="1" customWidth="1"/>
    <col min="7421" max="7424" width="16.6640625" style="5" customWidth="1"/>
    <col min="7425" max="7670" width="8.6640625" style="5"/>
    <col min="7671" max="7671" width="84.6640625" style="5" customWidth="1"/>
    <col min="7672" max="7676" width="0" style="5" hidden="1" customWidth="1"/>
    <col min="7677" max="7680" width="16.6640625" style="5" customWidth="1"/>
    <col min="7681" max="7926" width="8.6640625" style="5"/>
    <col min="7927" max="7927" width="84.6640625" style="5" customWidth="1"/>
    <col min="7928" max="7932" width="0" style="5" hidden="1" customWidth="1"/>
    <col min="7933" max="7936" width="16.6640625" style="5" customWidth="1"/>
    <col min="7937" max="8182" width="8.6640625" style="5"/>
    <col min="8183" max="8183" width="84.6640625" style="5" customWidth="1"/>
    <col min="8184" max="8188" width="0" style="5" hidden="1" customWidth="1"/>
    <col min="8189" max="8192" width="16.6640625" style="5" customWidth="1"/>
    <col min="8193" max="8438" width="8.6640625" style="5"/>
    <col min="8439" max="8439" width="84.6640625" style="5" customWidth="1"/>
    <col min="8440" max="8444" width="0" style="5" hidden="1" customWidth="1"/>
    <col min="8445" max="8448" width="16.6640625" style="5" customWidth="1"/>
    <col min="8449" max="8694" width="8.6640625" style="5"/>
    <col min="8695" max="8695" width="84.6640625" style="5" customWidth="1"/>
    <col min="8696" max="8700" width="0" style="5" hidden="1" customWidth="1"/>
    <col min="8701" max="8704" width="16.6640625" style="5" customWidth="1"/>
    <col min="8705" max="8950" width="8.6640625" style="5"/>
    <col min="8951" max="8951" width="84.6640625" style="5" customWidth="1"/>
    <col min="8952" max="8956" width="0" style="5" hidden="1" customWidth="1"/>
    <col min="8957" max="8960" width="16.6640625" style="5" customWidth="1"/>
    <col min="8961" max="9206" width="8.6640625" style="5"/>
    <col min="9207" max="9207" width="84.6640625" style="5" customWidth="1"/>
    <col min="9208" max="9212" width="0" style="5" hidden="1" customWidth="1"/>
    <col min="9213" max="9216" width="16.6640625" style="5" customWidth="1"/>
    <col min="9217" max="9462" width="8.6640625" style="5"/>
    <col min="9463" max="9463" width="84.6640625" style="5" customWidth="1"/>
    <col min="9464" max="9468" width="0" style="5" hidden="1" customWidth="1"/>
    <col min="9469" max="9472" width="16.6640625" style="5" customWidth="1"/>
    <col min="9473" max="9718" width="8.6640625" style="5"/>
    <col min="9719" max="9719" width="84.6640625" style="5" customWidth="1"/>
    <col min="9720" max="9724" width="0" style="5" hidden="1" customWidth="1"/>
    <col min="9725" max="9728" width="16.6640625" style="5" customWidth="1"/>
    <col min="9729" max="9974" width="8.6640625" style="5"/>
    <col min="9975" max="9975" width="84.6640625" style="5" customWidth="1"/>
    <col min="9976" max="9980" width="0" style="5" hidden="1" customWidth="1"/>
    <col min="9981" max="9984" width="16.6640625" style="5" customWidth="1"/>
    <col min="9985" max="10230" width="8.6640625" style="5"/>
    <col min="10231" max="10231" width="84.6640625" style="5" customWidth="1"/>
    <col min="10232" max="10236" width="0" style="5" hidden="1" customWidth="1"/>
    <col min="10237" max="10240" width="16.6640625" style="5" customWidth="1"/>
    <col min="10241" max="10486" width="8.6640625" style="5"/>
    <col min="10487" max="10487" width="84.6640625" style="5" customWidth="1"/>
    <col min="10488" max="10492" width="0" style="5" hidden="1" customWidth="1"/>
    <col min="10493" max="10496" width="16.6640625" style="5" customWidth="1"/>
    <col min="10497" max="10742" width="8.6640625" style="5"/>
    <col min="10743" max="10743" width="84.6640625" style="5" customWidth="1"/>
    <col min="10744" max="10748" width="0" style="5" hidden="1" customWidth="1"/>
    <col min="10749" max="10752" width="16.6640625" style="5" customWidth="1"/>
    <col min="10753" max="10998" width="8.6640625" style="5"/>
    <col min="10999" max="10999" width="84.6640625" style="5" customWidth="1"/>
    <col min="11000" max="11004" width="0" style="5" hidden="1" customWidth="1"/>
    <col min="11005" max="11008" width="16.6640625" style="5" customWidth="1"/>
    <col min="11009" max="11254" width="8.6640625" style="5"/>
    <col min="11255" max="11255" width="84.6640625" style="5" customWidth="1"/>
    <col min="11256" max="11260" width="0" style="5" hidden="1" customWidth="1"/>
    <col min="11261" max="11264" width="16.6640625" style="5" customWidth="1"/>
    <col min="11265" max="11510" width="8.6640625" style="5"/>
    <col min="11511" max="11511" width="84.6640625" style="5" customWidth="1"/>
    <col min="11512" max="11516" width="0" style="5" hidden="1" customWidth="1"/>
    <col min="11517" max="11520" width="16.6640625" style="5" customWidth="1"/>
    <col min="11521" max="11766" width="8.6640625" style="5"/>
    <col min="11767" max="11767" width="84.6640625" style="5" customWidth="1"/>
    <col min="11768" max="11772" width="0" style="5" hidden="1" customWidth="1"/>
    <col min="11773" max="11776" width="16.6640625" style="5" customWidth="1"/>
    <col min="11777" max="12022" width="8.6640625" style="5"/>
    <col min="12023" max="12023" width="84.6640625" style="5" customWidth="1"/>
    <col min="12024" max="12028" width="0" style="5" hidden="1" customWidth="1"/>
    <col min="12029" max="12032" width="16.6640625" style="5" customWidth="1"/>
    <col min="12033" max="12278" width="8.6640625" style="5"/>
    <col min="12279" max="12279" width="84.6640625" style="5" customWidth="1"/>
    <col min="12280" max="12284" width="0" style="5" hidden="1" customWidth="1"/>
    <col min="12285" max="12288" width="16.6640625" style="5" customWidth="1"/>
    <col min="12289" max="12534" width="8.6640625" style="5"/>
    <col min="12535" max="12535" width="84.6640625" style="5" customWidth="1"/>
    <col min="12536" max="12540" width="0" style="5" hidden="1" customWidth="1"/>
    <col min="12541" max="12544" width="16.6640625" style="5" customWidth="1"/>
    <col min="12545" max="12790" width="8.6640625" style="5"/>
    <col min="12791" max="12791" width="84.6640625" style="5" customWidth="1"/>
    <col min="12792" max="12796" width="0" style="5" hidden="1" customWidth="1"/>
    <col min="12797" max="12800" width="16.6640625" style="5" customWidth="1"/>
    <col min="12801" max="13046" width="8.6640625" style="5"/>
    <col min="13047" max="13047" width="84.6640625" style="5" customWidth="1"/>
    <col min="13048" max="13052" width="0" style="5" hidden="1" customWidth="1"/>
    <col min="13053" max="13056" width="16.6640625" style="5" customWidth="1"/>
    <col min="13057" max="13302" width="8.6640625" style="5"/>
    <col min="13303" max="13303" width="84.6640625" style="5" customWidth="1"/>
    <col min="13304" max="13308" width="0" style="5" hidden="1" customWidth="1"/>
    <col min="13309" max="13312" width="16.6640625" style="5" customWidth="1"/>
    <col min="13313" max="13558" width="8.6640625" style="5"/>
    <col min="13559" max="13559" width="84.6640625" style="5" customWidth="1"/>
    <col min="13560" max="13564" width="0" style="5" hidden="1" customWidth="1"/>
    <col min="13565" max="13568" width="16.6640625" style="5" customWidth="1"/>
    <col min="13569" max="13814" width="8.6640625" style="5"/>
    <col min="13815" max="13815" width="84.6640625" style="5" customWidth="1"/>
    <col min="13816" max="13820" width="0" style="5" hidden="1" customWidth="1"/>
    <col min="13821" max="13824" width="16.6640625" style="5" customWidth="1"/>
    <col min="13825" max="14070" width="8.6640625" style="5"/>
    <col min="14071" max="14071" width="84.6640625" style="5" customWidth="1"/>
    <col min="14072" max="14076" width="0" style="5" hidden="1" customWidth="1"/>
    <col min="14077" max="14080" width="16.6640625" style="5" customWidth="1"/>
    <col min="14081" max="14326" width="8.6640625" style="5"/>
    <col min="14327" max="14327" width="84.6640625" style="5" customWidth="1"/>
    <col min="14328" max="14332" width="0" style="5" hidden="1" customWidth="1"/>
    <col min="14333" max="14336" width="16.6640625" style="5" customWidth="1"/>
    <col min="14337" max="14582" width="8.6640625" style="5"/>
    <col min="14583" max="14583" width="84.6640625" style="5" customWidth="1"/>
    <col min="14584" max="14588" width="0" style="5" hidden="1" customWidth="1"/>
    <col min="14589" max="14592" width="16.6640625" style="5" customWidth="1"/>
    <col min="14593" max="14838" width="8.6640625" style="5"/>
    <col min="14839" max="14839" width="84.6640625" style="5" customWidth="1"/>
    <col min="14840" max="14844" width="0" style="5" hidden="1" customWidth="1"/>
    <col min="14845" max="14848" width="16.6640625" style="5" customWidth="1"/>
    <col min="14849" max="15094" width="8.6640625" style="5"/>
    <col min="15095" max="15095" width="84.6640625" style="5" customWidth="1"/>
    <col min="15096" max="15100" width="0" style="5" hidden="1" customWidth="1"/>
    <col min="15101" max="15104" width="16.6640625" style="5" customWidth="1"/>
    <col min="15105" max="15350" width="8.6640625" style="5"/>
    <col min="15351" max="15351" width="84.6640625" style="5" customWidth="1"/>
    <col min="15352" max="15356" width="0" style="5" hidden="1" customWidth="1"/>
    <col min="15357" max="15360" width="16.6640625" style="5" customWidth="1"/>
    <col min="15361" max="15606" width="8.6640625" style="5"/>
    <col min="15607" max="15607" width="84.6640625" style="5" customWidth="1"/>
    <col min="15608" max="15612" width="0" style="5" hidden="1" customWidth="1"/>
    <col min="15613" max="15616" width="16.6640625" style="5" customWidth="1"/>
    <col min="15617" max="15862" width="8.6640625" style="5"/>
    <col min="15863" max="15863" width="84.6640625" style="5" customWidth="1"/>
    <col min="15864" max="15868" width="0" style="5" hidden="1" customWidth="1"/>
    <col min="15869" max="15872" width="16.6640625" style="5" customWidth="1"/>
    <col min="15873" max="16118" width="8.6640625" style="5"/>
    <col min="16119" max="16119" width="84.6640625" style="5" customWidth="1"/>
    <col min="16120" max="16124" width="0" style="5" hidden="1" customWidth="1"/>
    <col min="16125" max="16128" width="16.6640625" style="5" customWidth="1"/>
    <col min="16129" max="16384" width="8.6640625" style="5"/>
  </cols>
  <sheetData>
    <row r="1" spans="1:21" ht="13.2" hidden="1" customHeight="1" x14ac:dyDescent="0.3">
      <c r="A1" s="47" t="s">
        <v>64</v>
      </c>
      <c r="B1" s="47" t="s">
        <v>65</v>
      </c>
      <c r="C1" s="48" t="s">
        <v>66</v>
      </c>
      <c r="D1" s="48" t="s">
        <v>67</v>
      </c>
      <c r="E1" s="48" t="s">
        <v>68</v>
      </c>
      <c r="F1" s="49" t="s">
        <v>69</v>
      </c>
      <c r="G1" s="49"/>
      <c r="H1" s="49"/>
      <c r="I1" s="5" t="s">
        <v>70</v>
      </c>
    </row>
    <row r="2" spans="1:21" ht="13.2" hidden="1" customHeight="1" x14ac:dyDescent="0.3">
      <c r="A2" s="50" t="s">
        <v>622</v>
      </c>
      <c r="B2" s="50" t="s">
        <v>623</v>
      </c>
      <c r="C2" s="48">
        <f ca="1">MATCH("Name",INDIRECT(E2&amp;":"&amp;E2),0)+1</f>
        <v>6</v>
      </c>
      <c r="D2" s="48">
        <f ca="1">COUNTA(INDIRECT(E2&amp;C2&amp;":"&amp;E2&amp;"3000"))+firstItemRow-1</f>
        <v>89</v>
      </c>
      <c r="E2" s="48" t="str">
        <f>LEFT(ADDRESS(1,MATCH(E1,5:5,0),4,1),LEN(ADDRESS(1,MATCH(E1,5:5,0),4,1))-1)</f>
        <v>F</v>
      </c>
      <c r="F2" s="51" t="str">
        <f ca="1">RIGHT(CELL("filename",A1),LEN(CELL("filename",A1))-SEARCH("]",CELL("filename",A1)))</f>
        <v>CE</v>
      </c>
      <c r="G2" s="51"/>
      <c r="H2" s="51"/>
      <c r="I2" s="5" t="e">
        <f ca="1">INDIRECT(nomeFoglio&amp;"_istanza!firstItemRow")</f>
        <v>#REF!</v>
      </c>
    </row>
    <row r="3" spans="1:21" ht="18" customHeight="1" x14ac:dyDescent="0.3">
      <c r="A3" s="9" t="s">
        <v>77</v>
      </c>
    </row>
    <row r="4" spans="1:21" ht="25.5" customHeight="1" x14ac:dyDescent="0.3">
      <c r="A4" s="11" t="s">
        <v>78</v>
      </c>
      <c r="F4" s="12"/>
      <c r="G4" s="13">
        <f>+H4-1</f>
        <v>2015</v>
      </c>
      <c r="H4" s="13">
        <f>+I4-1</f>
        <v>2016</v>
      </c>
      <c r="I4" s="13">
        <f>+Menu!C4</f>
        <v>2017</v>
      </c>
    </row>
    <row r="5" spans="1:21" s="1" customFormat="1" ht="13.2" x14ac:dyDescent="0.25">
      <c r="B5" s="1" t="s">
        <v>79</v>
      </c>
      <c r="C5" s="15" t="s">
        <v>80</v>
      </c>
      <c r="D5" s="1" t="s">
        <v>81</v>
      </c>
      <c r="E5" s="1" t="s">
        <v>82</v>
      </c>
      <c r="F5" s="1" t="s">
        <v>68</v>
      </c>
      <c r="G5" s="13" t="s">
        <v>624</v>
      </c>
      <c r="H5" s="13" t="s">
        <v>624</v>
      </c>
      <c r="I5" s="13" t="s">
        <v>624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21" ht="15.6" x14ac:dyDescent="0.3">
      <c r="A6" s="16" t="s">
        <v>625</v>
      </c>
      <c r="D6" s="5">
        <v>0</v>
      </c>
      <c r="E6" s="16" t="s">
        <v>626</v>
      </c>
      <c r="F6" s="6" t="s">
        <v>627</v>
      </c>
      <c r="I6" s="52" t="s">
        <v>86</v>
      </c>
    </row>
    <row r="7" spans="1:21" x14ac:dyDescent="0.3">
      <c r="A7" s="20" t="s">
        <v>628</v>
      </c>
      <c r="D7" s="5">
        <v>1</v>
      </c>
      <c r="E7" s="19" t="s">
        <v>629</v>
      </c>
      <c r="F7" s="6" t="s">
        <v>630</v>
      </c>
      <c r="I7" s="52" t="s">
        <v>86</v>
      </c>
    </row>
    <row r="8" spans="1:21" x14ac:dyDescent="0.3">
      <c r="A8" s="23" t="s">
        <v>631</v>
      </c>
      <c r="B8" s="5">
        <v>1000</v>
      </c>
      <c r="D8" s="5">
        <v>2</v>
      </c>
      <c r="E8" s="53" t="s">
        <v>632</v>
      </c>
      <c r="F8" s="6" t="s">
        <v>633</v>
      </c>
      <c r="G8" s="101"/>
      <c r="H8" s="101"/>
      <c r="I8" s="101">
        <f>1135219.9+16158.98</f>
        <v>1151378.8799999999</v>
      </c>
    </row>
    <row r="9" spans="1:21" x14ac:dyDescent="0.3">
      <c r="A9" s="23" t="s">
        <v>634</v>
      </c>
      <c r="B9" s="5">
        <v>23</v>
      </c>
      <c r="D9" s="5">
        <v>2</v>
      </c>
      <c r="E9" s="53" t="s">
        <v>635</v>
      </c>
      <c r="F9" s="6" t="s">
        <v>636</v>
      </c>
      <c r="G9" s="101">
        <v>0</v>
      </c>
      <c r="H9" s="101">
        <v>0</v>
      </c>
      <c r="I9" s="101">
        <v>0</v>
      </c>
    </row>
    <row r="10" spans="1:21" x14ac:dyDescent="0.3">
      <c r="A10" s="23" t="s">
        <v>637</v>
      </c>
      <c r="B10" s="5">
        <v>34</v>
      </c>
      <c r="D10" s="5">
        <v>2</v>
      </c>
      <c r="E10" s="53" t="s">
        <v>638</v>
      </c>
      <c r="F10" s="6" t="s">
        <v>639</v>
      </c>
      <c r="G10" s="101">
        <v>0</v>
      </c>
      <c r="H10" s="101">
        <v>0</v>
      </c>
      <c r="I10" s="101">
        <v>0</v>
      </c>
    </row>
    <row r="11" spans="1:21" x14ac:dyDescent="0.3">
      <c r="A11" s="23" t="s">
        <v>640</v>
      </c>
      <c r="B11" s="5">
        <v>2</v>
      </c>
      <c r="D11" s="5">
        <v>2</v>
      </c>
      <c r="E11" s="53" t="s">
        <v>641</v>
      </c>
      <c r="F11" s="6" t="s">
        <v>642</v>
      </c>
      <c r="G11" s="101">
        <v>0</v>
      </c>
      <c r="H11" s="101">
        <v>0</v>
      </c>
      <c r="I11" s="101"/>
    </row>
    <row r="12" spans="1:21" x14ac:dyDescent="0.3">
      <c r="A12" s="23" t="s">
        <v>643</v>
      </c>
      <c r="D12" s="5">
        <v>2</v>
      </c>
      <c r="E12" s="53" t="s">
        <v>644</v>
      </c>
      <c r="F12" s="6" t="s">
        <v>645</v>
      </c>
      <c r="G12" s="52"/>
      <c r="H12" s="52"/>
      <c r="I12" s="52"/>
    </row>
    <row r="13" spans="1:21" x14ac:dyDescent="0.3">
      <c r="A13" s="29" t="s">
        <v>646</v>
      </c>
      <c r="B13" s="5">
        <v>3</v>
      </c>
      <c r="D13" s="5">
        <v>3</v>
      </c>
      <c r="E13" s="23" t="s">
        <v>647</v>
      </c>
      <c r="F13" s="6" t="s">
        <v>648</v>
      </c>
      <c r="G13" s="101"/>
      <c r="H13" s="101"/>
      <c r="I13" s="101">
        <v>431.77</v>
      </c>
    </row>
    <row r="14" spans="1:21" x14ac:dyDescent="0.3">
      <c r="A14" s="29" t="s">
        <v>649</v>
      </c>
      <c r="B14" s="5">
        <v>4</v>
      </c>
      <c r="D14" s="5">
        <v>3</v>
      </c>
      <c r="E14" s="23" t="s">
        <v>650</v>
      </c>
      <c r="F14" s="6" t="s">
        <v>651</v>
      </c>
      <c r="G14" s="101">
        <v>0</v>
      </c>
      <c r="H14" s="101">
        <v>0</v>
      </c>
      <c r="I14" s="101">
        <f>1782.26+100+134.6+2400+2.99+53.61</f>
        <v>4473.4599999999991</v>
      </c>
    </row>
    <row r="15" spans="1:21" x14ac:dyDescent="0.3">
      <c r="A15" s="31" t="s">
        <v>652</v>
      </c>
      <c r="B15" s="5">
        <v>7</v>
      </c>
      <c r="D15" s="5">
        <v>3</v>
      </c>
      <c r="E15" s="23" t="s">
        <v>653</v>
      </c>
      <c r="F15" s="6" t="s">
        <v>654</v>
      </c>
      <c r="G15" s="45">
        <f t="shared" ref="G15:I15" si="0">+SUM(G13:G14)</f>
        <v>0</v>
      </c>
      <c r="H15" s="45">
        <f t="shared" si="0"/>
        <v>0</v>
      </c>
      <c r="I15" s="45">
        <f t="shared" si="0"/>
        <v>4905.2299999999996</v>
      </c>
    </row>
    <row r="16" spans="1:21" x14ac:dyDescent="0.3">
      <c r="A16" s="24" t="s">
        <v>655</v>
      </c>
      <c r="B16" s="5">
        <v>1066</v>
      </c>
      <c r="D16" s="5">
        <v>2</v>
      </c>
      <c r="E16" s="21" t="s">
        <v>656</v>
      </c>
      <c r="F16" s="6" t="s">
        <v>657</v>
      </c>
      <c r="G16" s="26">
        <f t="shared" ref="G16:H16" si="1">SUM(G8:G14)</f>
        <v>0</v>
      </c>
      <c r="H16" s="26">
        <f t="shared" si="1"/>
        <v>0</v>
      </c>
      <c r="I16" s="26">
        <f>SUM(I8:I14)</f>
        <v>1156284.1099999999</v>
      </c>
    </row>
    <row r="17" spans="1:10" x14ac:dyDescent="0.3">
      <c r="A17" s="20" t="s">
        <v>658</v>
      </c>
      <c r="D17" s="5">
        <v>1</v>
      </c>
      <c r="E17" s="19" t="s">
        <v>659</v>
      </c>
      <c r="F17" s="6" t="s">
        <v>660</v>
      </c>
      <c r="G17" s="52" t="s">
        <v>86</v>
      </c>
      <c r="H17" s="52" t="s">
        <v>86</v>
      </c>
      <c r="I17" s="52" t="s">
        <v>86</v>
      </c>
    </row>
    <row r="18" spans="1:10" x14ac:dyDescent="0.3">
      <c r="A18" s="23" t="s">
        <v>661</v>
      </c>
      <c r="B18" s="5">
        <v>12</v>
      </c>
      <c r="D18" s="5">
        <v>2</v>
      </c>
      <c r="E18" s="53" t="s">
        <v>662</v>
      </c>
      <c r="F18" s="6" t="s">
        <v>663</v>
      </c>
      <c r="G18" s="101"/>
      <c r="H18" s="101"/>
      <c r="I18" s="101">
        <f>576.3+818009.42+323.63</f>
        <v>818909.35000000009</v>
      </c>
    </row>
    <row r="19" spans="1:10" x14ac:dyDescent="0.3">
      <c r="A19" s="23" t="s">
        <v>664</v>
      </c>
      <c r="B19" s="5">
        <v>23</v>
      </c>
      <c r="D19" s="5">
        <v>2</v>
      </c>
      <c r="E19" s="53" t="s">
        <v>665</v>
      </c>
      <c r="F19" s="6" t="s">
        <v>666</v>
      </c>
      <c r="G19" s="101"/>
      <c r="H19" s="101"/>
      <c r="I19" s="101">
        <f>7120+1105.67+2835+780.77+2291.53+1178.3+1246.33+2329.59+368.56+1197.54+467.97+665</f>
        <v>21586.260000000002</v>
      </c>
    </row>
    <row r="20" spans="1:10" x14ac:dyDescent="0.3">
      <c r="A20" s="23" t="s">
        <v>667</v>
      </c>
      <c r="B20" s="5">
        <v>2</v>
      </c>
      <c r="D20" s="5">
        <v>2</v>
      </c>
      <c r="E20" s="53" t="s">
        <v>668</v>
      </c>
      <c r="F20" s="6" t="s">
        <v>669</v>
      </c>
      <c r="G20" s="101"/>
      <c r="H20" s="101"/>
      <c r="I20" s="101">
        <v>15865.92</v>
      </c>
    </row>
    <row r="21" spans="1:10" x14ac:dyDescent="0.3">
      <c r="A21" s="23" t="s">
        <v>670</v>
      </c>
      <c r="B21" s="6"/>
      <c r="D21" s="5">
        <v>2</v>
      </c>
      <c r="E21" s="53" t="s">
        <v>671</v>
      </c>
      <c r="F21" s="6" t="s">
        <v>672</v>
      </c>
      <c r="G21" s="26"/>
      <c r="H21" s="26"/>
      <c r="I21" s="26"/>
    </row>
    <row r="22" spans="1:10" x14ac:dyDescent="0.3">
      <c r="A22" s="35" t="s">
        <v>673</v>
      </c>
      <c r="B22" s="5">
        <v>23</v>
      </c>
      <c r="D22" s="5">
        <v>3</v>
      </c>
      <c r="E22" s="23" t="s">
        <v>674</v>
      </c>
      <c r="F22" s="6" t="s">
        <v>675</v>
      </c>
      <c r="G22" s="101"/>
      <c r="H22" s="101"/>
      <c r="I22" s="101">
        <v>67639.02</v>
      </c>
    </row>
    <row r="23" spans="1:10" x14ac:dyDescent="0.3">
      <c r="A23" s="35" t="s">
        <v>676</v>
      </c>
      <c r="B23" s="5">
        <v>12</v>
      </c>
      <c r="D23" s="5">
        <v>3</v>
      </c>
      <c r="E23" s="23" t="s">
        <v>677</v>
      </c>
      <c r="F23" s="6" t="s">
        <v>678</v>
      </c>
      <c r="G23" s="101"/>
      <c r="H23" s="101"/>
      <c r="I23" s="101">
        <f>19325.58+794.6</f>
        <v>20120.18</v>
      </c>
    </row>
    <row r="24" spans="1:10" x14ac:dyDescent="0.3">
      <c r="A24" s="35" t="s">
        <v>679</v>
      </c>
      <c r="B24" s="5">
        <v>4</v>
      </c>
      <c r="D24" s="5">
        <v>3</v>
      </c>
      <c r="E24" s="23" t="s">
        <v>680</v>
      </c>
      <c r="F24" s="6" t="s">
        <v>681</v>
      </c>
      <c r="G24" s="101"/>
      <c r="H24" s="101"/>
      <c r="I24" s="101">
        <v>4432.42</v>
      </c>
    </row>
    <row r="25" spans="1:10" x14ac:dyDescent="0.3">
      <c r="A25" s="35" t="s">
        <v>682</v>
      </c>
      <c r="B25" s="5">
        <v>1</v>
      </c>
      <c r="D25" s="5">
        <v>3</v>
      </c>
      <c r="E25" s="23" t="s">
        <v>683</v>
      </c>
      <c r="F25" s="6" t="s">
        <v>684</v>
      </c>
      <c r="G25" s="101"/>
      <c r="H25" s="101"/>
      <c r="I25" s="101"/>
    </row>
    <row r="26" spans="1:10" x14ac:dyDescent="0.3">
      <c r="A26" s="35" t="s">
        <v>685</v>
      </c>
      <c r="B26" s="5">
        <v>1</v>
      </c>
      <c r="D26" s="5">
        <v>3</v>
      </c>
      <c r="E26" s="23" t="s">
        <v>686</v>
      </c>
      <c r="F26" s="6" t="s">
        <v>687</v>
      </c>
      <c r="G26" s="101"/>
      <c r="H26" s="101"/>
      <c r="I26" s="101"/>
    </row>
    <row r="27" spans="1:10" x14ac:dyDescent="0.3">
      <c r="A27" s="31" t="s">
        <v>688</v>
      </c>
      <c r="B27" s="5">
        <v>41</v>
      </c>
      <c r="D27" s="5">
        <v>3</v>
      </c>
      <c r="E27" s="23" t="s">
        <v>689</v>
      </c>
      <c r="F27" s="6" t="s">
        <v>690</v>
      </c>
      <c r="G27" s="26">
        <f t="shared" ref="G27:H27" si="2">SUM(G22:G26)</f>
        <v>0</v>
      </c>
      <c r="H27" s="26">
        <f t="shared" si="2"/>
        <v>0</v>
      </c>
      <c r="I27" s="26">
        <f>SUM(I22:I26)</f>
        <v>92191.62000000001</v>
      </c>
    </row>
    <row r="28" spans="1:10" x14ac:dyDescent="0.3">
      <c r="A28" s="54" t="s">
        <v>691</v>
      </c>
      <c r="B28" s="6"/>
      <c r="D28" s="5">
        <v>2</v>
      </c>
      <c r="E28" s="53" t="s">
        <v>692</v>
      </c>
      <c r="F28" s="6" t="s">
        <v>693</v>
      </c>
      <c r="G28" s="55" t="s">
        <v>86</v>
      </c>
      <c r="H28" s="55" t="s">
        <v>86</v>
      </c>
      <c r="I28" s="55" t="s">
        <v>86</v>
      </c>
    </row>
    <row r="29" spans="1:10" x14ac:dyDescent="0.3">
      <c r="A29" s="35" t="s">
        <v>694</v>
      </c>
      <c r="B29" s="5">
        <v>33</v>
      </c>
      <c r="D29" s="5">
        <v>3</v>
      </c>
      <c r="E29" s="23" t="s">
        <v>695</v>
      </c>
      <c r="F29" s="6" t="s">
        <v>696</v>
      </c>
      <c r="G29" s="101"/>
      <c r="H29" s="101"/>
      <c r="I29" s="101">
        <f>100080+131.15</f>
        <v>100211.15</v>
      </c>
      <c r="J29" s="160" t="s">
        <v>1081</v>
      </c>
    </row>
    <row r="30" spans="1:10" x14ac:dyDescent="0.3">
      <c r="A30" s="35" t="s">
        <v>697</v>
      </c>
      <c r="B30" s="5">
        <v>11</v>
      </c>
      <c r="D30" s="5">
        <v>3</v>
      </c>
      <c r="E30" s="23" t="s">
        <v>698</v>
      </c>
      <c r="F30" s="6" t="s">
        <v>699</v>
      </c>
      <c r="G30" s="101"/>
      <c r="H30" s="101"/>
      <c r="I30" s="101">
        <f>482.97+2121+514.05+328.75+690.1+1067.5+1315</f>
        <v>6519.3700000000008</v>
      </c>
    </row>
    <row r="31" spans="1:10" x14ac:dyDescent="0.3">
      <c r="A31" s="35" t="s">
        <v>700</v>
      </c>
      <c r="B31" s="5">
        <v>3</v>
      </c>
      <c r="D31" s="5">
        <v>3</v>
      </c>
      <c r="E31" s="23" t="s">
        <v>701</v>
      </c>
      <c r="F31" s="6" t="s">
        <v>702</v>
      </c>
      <c r="G31" s="101"/>
      <c r="H31" s="101"/>
      <c r="I31" s="101"/>
    </row>
    <row r="32" spans="1:10" x14ac:dyDescent="0.3">
      <c r="A32" s="35" t="s">
        <v>703</v>
      </c>
      <c r="B32" s="5">
        <v>1</v>
      </c>
      <c r="D32" s="5">
        <v>3</v>
      </c>
      <c r="E32" s="23" t="s">
        <v>704</v>
      </c>
      <c r="F32" s="6" t="s">
        <v>705</v>
      </c>
      <c r="G32" s="101"/>
      <c r="H32" s="101"/>
      <c r="I32" s="101"/>
    </row>
    <row r="33" spans="1:13" x14ac:dyDescent="0.3">
      <c r="A33" s="31" t="s">
        <v>706</v>
      </c>
      <c r="B33" s="5">
        <v>48</v>
      </c>
      <c r="D33" s="5">
        <v>3</v>
      </c>
      <c r="E33" s="23" t="s">
        <v>707</v>
      </c>
      <c r="F33" s="6" t="s">
        <v>708</v>
      </c>
      <c r="G33" s="26">
        <f t="shared" ref="G33:H33" si="3">SUM(G29:G32)</f>
        <v>0</v>
      </c>
      <c r="H33" s="26">
        <f t="shared" si="3"/>
        <v>0</v>
      </c>
      <c r="I33" s="26">
        <f>SUM(I29:I32)</f>
        <v>106730.51999999999</v>
      </c>
    </row>
    <row r="34" spans="1:13" x14ac:dyDescent="0.3">
      <c r="A34" s="23" t="s">
        <v>709</v>
      </c>
      <c r="B34" s="5">
        <v>21</v>
      </c>
      <c r="D34" s="5">
        <v>2</v>
      </c>
      <c r="E34" s="53" t="s">
        <v>710</v>
      </c>
      <c r="F34" s="6" t="s">
        <v>711</v>
      </c>
      <c r="G34" s="101"/>
      <c r="H34" s="101"/>
      <c r="I34" s="159">
        <f>126617-128977</f>
        <v>-2360</v>
      </c>
      <c r="L34" s="162"/>
      <c r="M34" s="162"/>
    </row>
    <row r="35" spans="1:13" x14ac:dyDescent="0.3">
      <c r="A35" s="23" t="s">
        <v>712</v>
      </c>
      <c r="B35" s="5">
        <v>3</v>
      </c>
      <c r="D35" s="5">
        <v>2</v>
      </c>
      <c r="E35" s="53" t="s">
        <v>713</v>
      </c>
      <c r="F35" s="6" t="s">
        <v>714</v>
      </c>
      <c r="G35" s="101"/>
      <c r="H35" s="101"/>
      <c r="I35" s="101"/>
    </row>
    <row r="36" spans="1:13" x14ac:dyDescent="0.3">
      <c r="A36" s="23" t="s">
        <v>715</v>
      </c>
      <c r="B36" s="5">
        <v>2</v>
      </c>
      <c r="D36" s="5">
        <v>2</v>
      </c>
      <c r="E36" s="53" t="s">
        <v>716</v>
      </c>
      <c r="F36" s="6" t="s">
        <v>717</v>
      </c>
      <c r="G36" s="101"/>
      <c r="H36" s="101"/>
      <c r="I36" s="101"/>
    </row>
    <row r="37" spans="1:13" x14ac:dyDescent="0.3">
      <c r="A37" s="23" t="s">
        <v>718</v>
      </c>
      <c r="B37" s="5">
        <v>1</v>
      </c>
      <c r="D37" s="5">
        <v>2</v>
      </c>
      <c r="E37" s="53" t="s">
        <v>719</v>
      </c>
      <c r="F37" s="6" t="s">
        <v>720</v>
      </c>
      <c r="G37" s="101"/>
      <c r="H37" s="101"/>
      <c r="I37" s="101">
        <f>1457.33+513+3698.54+10.84+412.8+103.2+814.26+55000+5325.6+3312.07+118+13927+23767</f>
        <v>108459.64000000001</v>
      </c>
      <c r="J37" s="160" t="s">
        <v>1082</v>
      </c>
    </row>
    <row r="38" spans="1:13" x14ac:dyDescent="0.3">
      <c r="A38" s="24" t="s">
        <v>721</v>
      </c>
      <c r="B38" s="5">
        <v>153</v>
      </c>
      <c r="D38" s="5">
        <v>2</v>
      </c>
      <c r="E38" s="21" t="s">
        <v>722</v>
      </c>
      <c r="F38" s="6" t="s">
        <v>723</v>
      </c>
      <c r="G38" s="26">
        <f t="shared" ref="G38" si="4">+G37+G36+G35+G34+G33+G27+G20+G19+G18</f>
        <v>0</v>
      </c>
      <c r="H38" s="26">
        <f>+H37+H36+H35+H34+H33+H27+H20+H19+H18</f>
        <v>0</v>
      </c>
      <c r="I38" s="26">
        <f>+I37+I36+I35+I34+I33+I27+I20+I19+I18</f>
        <v>1161383.31</v>
      </c>
    </row>
    <row r="39" spans="1:13" x14ac:dyDescent="0.3">
      <c r="A39" s="20" t="s">
        <v>724</v>
      </c>
      <c r="B39" s="5">
        <v>913</v>
      </c>
      <c r="D39" s="5">
        <v>1</v>
      </c>
      <c r="E39" s="19" t="s">
        <v>725</v>
      </c>
      <c r="F39" s="6" t="s">
        <v>726</v>
      </c>
      <c r="G39" s="26">
        <f t="shared" ref="G39:H39" si="5">+G16-G38</f>
        <v>0</v>
      </c>
      <c r="H39" s="26">
        <f t="shared" si="5"/>
        <v>0</v>
      </c>
      <c r="I39" s="26">
        <f>+I16-I38</f>
        <v>-5099.2000000001863</v>
      </c>
    </row>
    <row r="40" spans="1:13" x14ac:dyDescent="0.3">
      <c r="A40" s="20" t="s">
        <v>727</v>
      </c>
      <c r="D40" s="5">
        <v>1</v>
      </c>
      <c r="E40" s="19" t="s">
        <v>728</v>
      </c>
      <c r="F40" s="6" t="s">
        <v>729</v>
      </c>
      <c r="G40" s="52" t="s">
        <v>86</v>
      </c>
      <c r="H40" s="52" t="s">
        <v>86</v>
      </c>
      <c r="I40" s="52" t="s">
        <v>86</v>
      </c>
    </row>
    <row r="41" spans="1:13" ht="24" x14ac:dyDescent="0.3">
      <c r="A41" s="75" t="s">
        <v>730</v>
      </c>
      <c r="B41" s="6"/>
      <c r="D41" s="5">
        <v>2</v>
      </c>
      <c r="E41" s="53" t="s">
        <v>731</v>
      </c>
      <c r="F41" s="6" t="s">
        <v>732</v>
      </c>
      <c r="G41" s="55" t="s">
        <v>86</v>
      </c>
      <c r="H41" s="55" t="s">
        <v>86</v>
      </c>
      <c r="I41" s="55" t="s">
        <v>86</v>
      </c>
    </row>
    <row r="42" spans="1:13" x14ac:dyDescent="0.3">
      <c r="A42" s="29" t="s">
        <v>733</v>
      </c>
      <c r="B42" s="5">
        <v>1</v>
      </c>
      <c r="D42" s="5">
        <v>3</v>
      </c>
      <c r="E42" s="23" t="s">
        <v>734</v>
      </c>
      <c r="F42" s="6" t="s">
        <v>735</v>
      </c>
      <c r="G42" s="101">
        <v>0</v>
      </c>
      <c r="H42" s="101">
        <v>0</v>
      </c>
      <c r="I42" s="101">
        <v>0</v>
      </c>
    </row>
    <row r="43" spans="1:13" x14ac:dyDescent="0.3">
      <c r="A43" s="29" t="s">
        <v>736</v>
      </c>
      <c r="B43" s="5">
        <v>1</v>
      </c>
      <c r="D43" s="5">
        <v>3</v>
      </c>
      <c r="E43" s="23" t="s">
        <v>737</v>
      </c>
      <c r="F43" s="6" t="s">
        <v>738</v>
      </c>
      <c r="G43" s="101">
        <v>0</v>
      </c>
      <c r="H43" s="101">
        <v>0</v>
      </c>
      <c r="I43" s="101">
        <v>0</v>
      </c>
    </row>
    <row r="44" spans="1:13" x14ac:dyDescent="0.3">
      <c r="A44" s="29" t="s">
        <v>649</v>
      </c>
      <c r="B44" s="5">
        <v>2</v>
      </c>
      <c r="D44" s="5">
        <v>3</v>
      </c>
      <c r="E44" s="23" t="s">
        <v>739</v>
      </c>
      <c r="F44" s="6" t="s">
        <v>740</v>
      </c>
      <c r="G44" s="101">
        <v>0</v>
      </c>
      <c r="H44" s="101">
        <v>0</v>
      </c>
      <c r="I44" s="101">
        <v>0</v>
      </c>
    </row>
    <row r="45" spans="1:13" x14ac:dyDescent="0.3">
      <c r="A45" s="31" t="s">
        <v>741</v>
      </c>
      <c r="B45" s="5">
        <v>4</v>
      </c>
      <c r="D45" s="5">
        <v>3</v>
      </c>
      <c r="E45" s="23" t="s">
        <v>742</v>
      </c>
      <c r="F45" s="6" t="s">
        <v>743</v>
      </c>
      <c r="G45" s="26">
        <f t="shared" ref="G45:H45" si="6">SUM(G42:G44)</f>
        <v>0</v>
      </c>
      <c r="H45" s="26">
        <f t="shared" si="6"/>
        <v>0</v>
      </c>
      <c r="I45" s="26">
        <f>SUM(I42:I44)</f>
        <v>0</v>
      </c>
    </row>
    <row r="46" spans="1:13" x14ac:dyDescent="0.3">
      <c r="A46" s="23" t="s">
        <v>744</v>
      </c>
      <c r="D46" s="5">
        <v>2</v>
      </c>
      <c r="E46" s="53" t="s">
        <v>745</v>
      </c>
      <c r="F46" s="6" t="s">
        <v>746</v>
      </c>
      <c r="G46" s="52" t="s">
        <v>86</v>
      </c>
      <c r="H46" s="52" t="s">
        <v>86</v>
      </c>
      <c r="I46" s="52" t="s">
        <v>86</v>
      </c>
    </row>
    <row r="47" spans="1:13" ht="21.6" x14ac:dyDescent="0.3">
      <c r="A47" s="76" t="s">
        <v>747</v>
      </c>
      <c r="B47" s="6"/>
      <c r="D47" s="5">
        <v>3</v>
      </c>
      <c r="E47" s="23" t="s">
        <v>748</v>
      </c>
      <c r="F47" s="6" t="s">
        <v>749</v>
      </c>
      <c r="G47" s="55" t="s">
        <v>86</v>
      </c>
      <c r="H47" s="55" t="s">
        <v>86</v>
      </c>
      <c r="I47" s="55" t="s">
        <v>86</v>
      </c>
    </row>
    <row r="48" spans="1:13" x14ac:dyDescent="0.3">
      <c r="A48" s="29" t="s">
        <v>733</v>
      </c>
      <c r="B48" s="5">
        <v>1</v>
      </c>
      <c r="D48" s="5">
        <v>4</v>
      </c>
      <c r="E48" s="30" t="s">
        <v>734</v>
      </c>
      <c r="F48" s="6" t="s">
        <v>750</v>
      </c>
      <c r="G48" s="101">
        <v>0</v>
      </c>
      <c r="H48" s="101">
        <v>0</v>
      </c>
      <c r="I48" s="101">
        <v>0</v>
      </c>
    </row>
    <row r="49" spans="1:9" x14ac:dyDescent="0.3">
      <c r="A49" s="29" t="s">
        <v>736</v>
      </c>
      <c r="B49" s="5">
        <v>1</v>
      </c>
      <c r="D49" s="5">
        <v>4</v>
      </c>
      <c r="E49" s="30" t="s">
        <v>737</v>
      </c>
      <c r="F49" s="6" t="s">
        <v>751</v>
      </c>
      <c r="G49" s="101">
        <v>0</v>
      </c>
      <c r="H49" s="101">
        <v>0</v>
      </c>
      <c r="I49" s="101">
        <v>0</v>
      </c>
    </row>
    <row r="50" spans="1:9" x14ac:dyDescent="0.3">
      <c r="A50" s="29" t="s">
        <v>752</v>
      </c>
      <c r="B50" s="5">
        <v>1</v>
      </c>
      <c r="D50" s="5">
        <v>4</v>
      </c>
      <c r="E50" s="30" t="s">
        <v>753</v>
      </c>
      <c r="F50" s="6" t="s">
        <v>754</v>
      </c>
      <c r="G50" s="101">
        <v>0</v>
      </c>
      <c r="H50" s="101">
        <v>0</v>
      </c>
      <c r="I50" s="101">
        <v>0</v>
      </c>
    </row>
    <row r="51" spans="1:9" x14ac:dyDescent="0.3">
      <c r="A51" s="29" t="s">
        <v>649</v>
      </c>
      <c r="B51" s="5">
        <v>1</v>
      </c>
      <c r="D51" s="5">
        <v>4</v>
      </c>
      <c r="E51" s="30" t="s">
        <v>755</v>
      </c>
      <c r="F51" s="6" t="s">
        <v>756</v>
      </c>
      <c r="G51" s="101"/>
      <c r="H51" s="101"/>
      <c r="I51" s="101"/>
    </row>
    <row r="52" spans="1:9" x14ac:dyDescent="0.3">
      <c r="A52" s="31" t="s">
        <v>757</v>
      </c>
      <c r="B52" s="5">
        <v>4</v>
      </c>
      <c r="D52" s="5">
        <v>4</v>
      </c>
      <c r="E52" s="30" t="s">
        <v>758</v>
      </c>
      <c r="F52" s="6" t="s">
        <v>759</v>
      </c>
      <c r="G52" s="26">
        <f t="shared" ref="G52:H52" si="7">SUM(G48:G51)</f>
        <v>0</v>
      </c>
      <c r="H52" s="26">
        <f t="shared" si="7"/>
        <v>0</v>
      </c>
      <c r="I52" s="26">
        <f>SUM(I48:I51)</f>
        <v>0</v>
      </c>
    </row>
    <row r="53" spans="1:9" x14ac:dyDescent="0.3">
      <c r="A53" s="35" t="s">
        <v>760</v>
      </c>
      <c r="B53" s="5">
        <v>2</v>
      </c>
      <c r="D53" s="5">
        <v>3</v>
      </c>
      <c r="E53" s="23" t="s">
        <v>761</v>
      </c>
      <c r="F53" s="6" t="s">
        <v>762</v>
      </c>
      <c r="G53" s="101">
        <v>0</v>
      </c>
      <c r="H53" s="101">
        <v>0</v>
      </c>
      <c r="I53" s="101">
        <v>0</v>
      </c>
    </row>
    <row r="54" spans="1:9" x14ac:dyDescent="0.3">
      <c r="A54" s="35" t="s">
        <v>763</v>
      </c>
      <c r="B54" s="5">
        <v>2</v>
      </c>
      <c r="D54" s="5">
        <v>3</v>
      </c>
      <c r="E54" s="23" t="s">
        <v>764</v>
      </c>
      <c r="F54" s="6" t="s">
        <v>765</v>
      </c>
      <c r="G54" s="101">
        <v>0</v>
      </c>
      <c r="H54" s="101">
        <v>0</v>
      </c>
      <c r="I54" s="101">
        <v>0</v>
      </c>
    </row>
    <row r="55" spans="1:9" ht="21.6" x14ac:dyDescent="0.3">
      <c r="A55" s="76" t="s">
        <v>766</v>
      </c>
      <c r="D55" s="5">
        <v>3</v>
      </c>
      <c r="E55" s="23" t="s">
        <v>767</v>
      </c>
      <c r="F55" s="6" t="s">
        <v>768</v>
      </c>
      <c r="G55" s="52" t="s">
        <v>86</v>
      </c>
      <c r="H55" s="52" t="s">
        <v>86</v>
      </c>
      <c r="I55" s="52" t="s">
        <v>86</v>
      </c>
    </row>
    <row r="56" spans="1:9" x14ac:dyDescent="0.3">
      <c r="A56" s="29" t="s">
        <v>733</v>
      </c>
      <c r="B56" s="5">
        <v>1</v>
      </c>
      <c r="D56" s="5">
        <v>4</v>
      </c>
      <c r="E56" s="30" t="s">
        <v>734</v>
      </c>
      <c r="F56" s="6" t="s">
        <v>769</v>
      </c>
      <c r="G56" s="101">
        <v>0</v>
      </c>
      <c r="H56" s="101">
        <v>0</v>
      </c>
      <c r="I56" s="101">
        <v>0</v>
      </c>
    </row>
    <row r="57" spans="1:9" x14ac:dyDescent="0.3">
      <c r="A57" s="29" t="s">
        <v>736</v>
      </c>
      <c r="B57" s="5">
        <v>1</v>
      </c>
      <c r="D57" s="5">
        <v>4</v>
      </c>
      <c r="E57" s="30" t="s">
        <v>737</v>
      </c>
      <c r="F57" s="6" t="s">
        <v>770</v>
      </c>
      <c r="G57" s="101">
        <v>0</v>
      </c>
      <c r="H57" s="101">
        <v>0</v>
      </c>
      <c r="I57" s="101">
        <v>0</v>
      </c>
    </row>
    <row r="58" spans="1:9" x14ac:dyDescent="0.3">
      <c r="A58" s="29" t="s">
        <v>752</v>
      </c>
      <c r="B58" s="5">
        <v>1</v>
      </c>
      <c r="D58" s="5">
        <v>4</v>
      </c>
      <c r="E58" s="30" t="s">
        <v>753</v>
      </c>
      <c r="F58" s="6" t="s">
        <v>771</v>
      </c>
      <c r="G58" s="101">
        <v>0</v>
      </c>
      <c r="H58" s="101">
        <v>0</v>
      </c>
      <c r="I58" s="101">
        <v>0</v>
      </c>
    </row>
    <row r="59" spans="1:9" x14ac:dyDescent="0.3">
      <c r="A59" s="29" t="s">
        <v>649</v>
      </c>
      <c r="B59" s="5">
        <v>1</v>
      </c>
      <c r="D59" s="5">
        <v>4</v>
      </c>
      <c r="E59" s="30" t="s">
        <v>755</v>
      </c>
      <c r="F59" s="6" t="s">
        <v>772</v>
      </c>
      <c r="G59" s="101">
        <v>0</v>
      </c>
      <c r="H59" s="101">
        <v>0</v>
      </c>
      <c r="I59" s="101">
        <v>0</v>
      </c>
    </row>
    <row r="60" spans="1:9" x14ac:dyDescent="0.3">
      <c r="A60" s="31" t="s">
        <v>773</v>
      </c>
      <c r="B60" s="5">
        <v>4</v>
      </c>
      <c r="D60" s="5">
        <v>4</v>
      </c>
      <c r="E60" s="30" t="s">
        <v>774</v>
      </c>
      <c r="F60" s="6" t="s">
        <v>775</v>
      </c>
      <c r="G60" s="26">
        <f t="shared" ref="G60:H60" si="8">SUM(G56:G59)</f>
        <v>0</v>
      </c>
      <c r="H60" s="26">
        <f t="shared" si="8"/>
        <v>0</v>
      </c>
      <c r="I60" s="26">
        <f>SUM(I56:I59)</f>
        <v>0</v>
      </c>
    </row>
    <row r="61" spans="1:9" x14ac:dyDescent="0.3">
      <c r="A61" s="31" t="s">
        <v>776</v>
      </c>
      <c r="B61" s="5">
        <v>12</v>
      </c>
      <c r="D61" s="5">
        <v>3</v>
      </c>
      <c r="E61" s="23" t="s">
        <v>777</v>
      </c>
      <c r="F61" s="6" t="s">
        <v>778</v>
      </c>
      <c r="G61" s="26">
        <f t="shared" ref="G61:H61" si="9">+G60+G54+G53+G52</f>
        <v>0</v>
      </c>
      <c r="H61" s="26">
        <f t="shared" si="9"/>
        <v>0</v>
      </c>
      <c r="I61" s="26">
        <f>+I60+I54+I53+I52</f>
        <v>0</v>
      </c>
    </row>
    <row r="62" spans="1:9" x14ac:dyDescent="0.3">
      <c r="A62" s="23" t="s">
        <v>779</v>
      </c>
      <c r="D62" s="5">
        <v>2</v>
      </c>
      <c r="E62" s="53" t="s">
        <v>780</v>
      </c>
      <c r="F62" s="6" t="s">
        <v>781</v>
      </c>
      <c r="G62" s="52" t="s">
        <v>86</v>
      </c>
      <c r="H62" s="52" t="s">
        <v>86</v>
      </c>
      <c r="I62" s="52" t="s">
        <v>86</v>
      </c>
    </row>
    <row r="63" spans="1:9" x14ac:dyDescent="0.3">
      <c r="A63" s="29" t="s">
        <v>782</v>
      </c>
      <c r="B63" s="5">
        <v>2</v>
      </c>
      <c r="D63" s="5">
        <v>3</v>
      </c>
      <c r="E63" s="23" t="s">
        <v>783</v>
      </c>
      <c r="F63" s="6" t="s">
        <v>784</v>
      </c>
      <c r="G63" s="101">
        <v>0</v>
      </c>
      <c r="H63" s="101">
        <v>0</v>
      </c>
      <c r="I63" s="101">
        <v>0</v>
      </c>
    </row>
    <row r="64" spans="1:9" x14ac:dyDescent="0.3">
      <c r="A64" s="29" t="s">
        <v>785</v>
      </c>
      <c r="B64" s="5">
        <v>2</v>
      </c>
      <c r="D64" s="5">
        <v>3</v>
      </c>
      <c r="E64" s="23" t="s">
        <v>786</v>
      </c>
      <c r="F64" s="6" t="s">
        <v>787</v>
      </c>
      <c r="G64" s="101">
        <v>0</v>
      </c>
      <c r="H64" s="101">
        <v>0</v>
      </c>
      <c r="I64" s="101">
        <v>0</v>
      </c>
    </row>
    <row r="65" spans="1:9" x14ac:dyDescent="0.3">
      <c r="A65" s="29" t="s">
        <v>788</v>
      </c>
      <c r="B65" s="5">
        <v>2</v>
      </c>
      <c r="D65" s="5">
        <v>3</v>
      </c>
      <c r="E65" s="23" t="s">
        <v>789</v>
      </c>
      <c r="F65" s="6" t="s">
        <v>790</v>
      </c>
      <c r="G65" s="101">
        <v>0</v>
      </c>
      <c r="H65" s="101">
        <v>0</v>
      </c>
      <c r="I65" s="101">
        <v>0</v>
      </c>
    </row>
    <row r="66" spans="1:9" x14ac:dyDescent="0.3">
      <c r="A66" s="29" t="s">
        <v>990</v>
      </c>
      <c r="B66" s="5">
        <v>23</v>
      </c>
      <c r="D66" s="5">
        <v>3</v>
      </c>
      <c r="E66" s="23" t="s">
        <v>791</v>
      </c>
      <c r="F66" s="6" t="s">
        <v>792</v>
      </c>
      <c r="G66" s="101"/>
      <c r="H66" s="101"/>
      <c r="I66" s="101">
        <v>3380</v>
      </c>
    </row>
    <row r="67" spans="1:9" x14ac:dyDescent="0.3">
      <c r="A67" s="31" t="s">
        <v>793</v>
      </c>
      <c r="B67" s="5">
        <v>29</v>
      </c>
      <c r="D67" s="5">
        <v>3</v>
      </c>
      <c r="E67" s="23" t="s">
        <v>794</v>
      </c>
      <c r="F67" s="6" t="s">
        <v>795</v>
      </c>
      <c r="G67" s="26">
        <f t="shared" ref="G67:H67" si="10">SUM(G63:G66)</f>
        <v>0</v>
      </c>
      <c r="H67" s="26">
        <f t="shared" si="10"/>
        <v>0</v>
      </c>
      <c r="I67" s="26">
        <f>SUM(I63:I66)</f>
        <v>3380</v>
      </c>
    </row>
    <row r="68" spans="1:9" x14ac:dyDescent="0.3">
      <c r="A68" s="23" t="s">
        <v>796</v>
      </c>
      <c r="B68" s="5">
        <v>3</v>
      </c>
      <c r="D68" s="5">
        <v>2</v>
      </c>
      <c r="E68" s="53" t="s">
        <v>797</v>
      </c>
      <c r="F68" s="6" t="s">
        <v>798</v>
      </c>
      <c r="G68" s="101"/>
      <c r="H68" s="101"/>
      <c r="I68" s="101">
        <v>0</v>
      </c>
    </row>
    <row r="69" spans="1:9" x14ac:dyDescent="0.3">
      <c r="A69" s="24" t="s">
        <v>799</v>
      </c>
      <c r="B69" s="5">
        <v>-10</v>
      </c>
      <c r="D69" s="5">
        <v>2</v>
      </c>
      <c r="E69" s="53" t="s">
        <v>800</v>
      </c>
      <c r="F69" s="6" t="s">
        <v>801</v>
      </c>
      <c r="G69" s="26">
        <f t="shared" ref="G69:H69" si="11">+G45+G61-G67-G68</f>
        <v>0</v>
      </c>
      <c r="H69" s="26">
        <f t="shared" si="11"/>
        <v>0</v>
      </c>
      <c r="I69" s="26">
        <f>+I45+I61-I67-I68</f>
        <v>-3380</v>
      </c>
    </row>
    <row r="70" spans="1:9" x14ac:dyDescent="0.3">
      <c r="A70" s="20" t="s">
        <v>802</v>
      </c>
      <c r="D70" s="5">
        <v>1</v>
      </c>
      <c r="E70" s="19" t="s">
        <v>803</v>
      </c>
      <c r="F70" s="6" t="s">
        <v>804</v>
      </c>
      <c r="G70" s="52" t="s">
        <v>86</v>
      </c>
      <c r="H70" s="52" t="s">
        <v>86</v>
      </c>
      <c r="I70" s="52" t="s">
        <v>86</v>
      </c>
    </row>
    <row r="71" spans="1:9" x14ac:dyDescent="0.3">
      <c r="A71" s="23" t="s">
        <v>805</v>
      </c>
      <c r="D71" s="5">
        <v>2</v>
      </c>
      <c r="E71" s="53" t="s">
        <v>806</v>
      </c>
      <c r="F71" s="6" t="s">
        <v>807</v>
      </c>
      <c r="G71" s="52" t="s">
        <v>86</v>
      </c>
      <c r="H71" s="52" t="s">
        <v>86</v>
      </c>
      <c r="I71" s="52" t="s">
        <v>86</v>
      </c>
    </row>
    <row r="72" spans="1:9" x14ac:dyDescent="0.3">
      <c r="A72" s="35" t="s">
        <v>808</v>
      </c>
      <c r="B72" s="5">
        <v>2</v>
      </c>
      <c r="D72" s="5">
        <v>3</v>
      </c>
      <c r="E72" s="23" t="s">
        <v>809</v>
      </c>
      <c r="F72" s="6" t="s">
        <v>810</v>
      </c>
      <c r="G72" s="101">
        <v>0</v>
      </c>
      <c r="H72" s="101">
        <v>0</v>
      </c>
      <c r="I72" s="101">
        <v>0</v>
      </c>
    </row>
    <row r="73" spans="1:9" x14ac:dyDescent="0.3">
      <c r="A73" s="35" t="s">
        <v>811</v>
      </c>
      <c r="B73" s="5">
        <v>2</v>
      </c>
      <c r="D73" s="5">
        <v>3</v>
      </c>
      <c r="E73" s="23" t="s">
        <v>812</v>
      </c>
      <c r="F73" s="6" t="s">
        <v>813</v>
      </c>
      <c r="G73" s="101">
        <v>0</v>
      </c>
      <c r="H73" s="101">
        <v>0</v>
      </c>
      <c r="I73" s="101">
        <v>0</v>
      </c>
    </row>
    <row r="74" spans="1:9" x14ac:dyDescent="0.3">
      <c r="A74" s="35" t="s">
        <v>814</v>
      </c>
      <c r="B74" s="5">
        <v>2</v>
      </c>
      <c r="D74" s="5">
        <v>3</v>
      </c>
      <c r="E74" s="23" t="s">
        <v>815</v>
      </c>
      <c r="F74" s="6" t="s">
        <v>816</v>
      </c>
      <c r="G74" s="101">
        <v>0</v>
      </c>
      <c r="H74" s="101">
        <v>0</v>
      </c>
      <c r="I74" s="101">
        <v>0</v>
      </c>
    </row>
    <row r="75" spans="1:9" x14ac:dyDescent="0.3">
      <c r="A75" s="77" t="s">
        <v>817</v>
      </c>
      <c r="E75" s="23"/>
      <c r="G75" s="101">
        <v>0</v>
      </c>
      <c r="H75" s="101">
        <v>0</v>
      </c>
      <c r="I75" s="101">
        <v>0</v>
      </c>
    </row>
    <row r="76" spans="1:9" x14ac:dyDescent="0.3">
      <c r="A76" s="31" t="s">
        <v>818</v>
      </c>
      <c r="B76" s="5">
        <v>6</v>
      </c>
      <c r="D76" s="5">
        <v>3</v>
      </c>
      <c r="E76" s="23" t="s">
        <v>819</v>
      </c>
      <c r="F76" s="6" t="s">
        <v>820</v>
      </c>
      <c r="G76" s="26">
        <f t="shared" ref="G76:H76" si="12">SUM(G72:G75)</f>
        <v>0</v>
      </c>
      <c r="H76" s="26">
        <f t="shared" si="12"/>
        <v>0</v>
      </c>
      <c r="I76" s="26">
        <f>SUM(I72:I75)</f>
        <v>0</v>
      </c>
    </row>
    <row r="77" spans="1:9" x14ac:dyDescent="0.3">
      <c r="A77" s="23" t="s">
        <v>821</v>
      </c>
      <c r="D77" s="5">
        <v>2</v>
      </c>
      <c r="E77" s="53" t="s">
        <v>822</v>
      </c>
      <c r="F77" s="6" t="s">
        <v>823</v>
      </c>
      <c r="G77" s="52" t="s">
        <v>86</v>
      </c>
      <c r="H77" s="52" t="s">
        <v>86</v>
      </c>
      <c r="I77" s="52" t="s">
        <v>86</v>
      </c>
    </row>
    <row r="78" spans="1:9" x14ac:dyDescent="0.3">
      <c r="A78" s="35" t="s">
        <v>808</v>
      </c>
      <c r="B78" s="5">
        <v>3</v>
      </c>
      <c r="D78" s="5">
        <v>3</v>
      </c>
      <c r="E78" s="23" t="s">
        <v>809</v>
      </c>
      <c r="F78" s="6" t="s">
        <v>824</v>
      </c>
      <c r="G78" s="101">
        <v>0</v>
      </c>
      <c r="H78" s="101">
        <v>0</v>
      </c>
      <c r="I78" s="101">
        <v>0</v>
      </c>
    </row>
    <row r="79" spans="1:9" x14ac:dyDescent="0.3">
      <c r="A79" s="35" t="s">
        <v>811</v>
      </c>
      <c r="B79" s="5">
        <v>3</v>
      </c>
      <c r="D79" s="5">
        <v>3</v>
      </c>
      <c r="E79" s="23" t="s">
        <v>812</v>
      </c>
      <c r="F79" s="6" t="s">
        <v>825</v>
      </c>
      <c r="G79" s="101">
        <v>0</v>
      </c>
      <c r="H79" s="101">
        <v>0</v>
      </c>
      <c r="I79" s="101">
        <v>0</v>
      </c>
    </row>
    <row r="80" spans="1:9" x14ac:dyDescent="0.3">
      <c r="A80" s="35" t="s">
        <v>826</v>
      </c>
      <c r="B80" s="5">
        <v>3</v>
      </c>
      <c r="D80" s="5">
        <v>3</v>
      </c>
      <c r="E80" s="23" t="s">
        <v>815</v>
      </c>
      <c r="F80" s="6" t="s">
        <v>827</v>
      </c>
      <c r="G80" s="101">
        <v>0</v>
      </c>
      <c r="H80" s="101">
        <v>0</v>
      </c>
      <c r="I80" s="101">
        <v>0</v>
      </c>
    </row>
    <row r="81" spans="1:9" x14ac:dyDescent="0.3">
      <c r="A81" s="35" t="s">
        <v>817</v>
      </c>
      <c r="E81" s="23"/>
      <c r="G81" s="101">
        <v>0</v>
      </c>
      <c r="H81" s="101">
        <v>0</v>
      </c>
      <c r="I81" s="101">
        <v>0</v>
      </c>
    </row>
    <row r="82" spans="1:9" x14ac:dyDescent="0.3">
      <c r="A82" s="31" t="s">
        <v>828</v>
      </c>
      <c r="B82" s="5">
        <v>9</v>
      </c>
      <c r="D82" s="5">
        <v>3</v>
      </c>
      <c r="E82" s="23" t="s">
        <v>829</v>
      </c>
      <c r="F82" s="6" t="s">
        <v>830</v>
      </c>
      <c r="G82" s="26">
        <f t="shared" ref="G82:H82" si="13">SUM(G78:G81)</f>
        <v>0</v>
      </c>
      <c r="H82" s="26">
        <f t="shared" si="13"/>
        <v>0</v>
      </c>
      <c r="I82" s="26">
        <f>SUM(I78:I81)</f>
        <v>0</v>
      </c>
    </row>
    <row r="83" spans="1:9" x14ac:dyDescent="0.3">
      <c r="A83" s="24" t="s">
        <v>831</v>
      </c>
      <c r="B83" s="5">
        <v>-3</v>
      </c>
      <c r="D83" s="5">
        <v>2</v>
      </c>
      <c r="E83" s="53" t="s">
        <v>832</v>
      </c>
      <c r="F83" s="6" t="s">
        <v>833</v>
      </c>
      <c r="G83" s="38">
        <f t="shared" ref="G83:H83" si="14">+G76-G82</f>
        <v>0</v>
      </c>
      <c r="H83" s="38">
        <f t="shared" si="14"/>
        <v>0</v>
      </c>
      <c r="I83" s="38">
        <f>+I76-I82</f>
        <v>0</v>
      </c>
    </row>
    <row r="84" spans="1:9" x14ac:dyDescent="0.3">
      <c r="A84" s="20" t="s">
        <v>834</v>
      </c>
      <c r="B84" s="5">
        <v>892</v>
      </c>
      <c r="D84" s="5">
        <v>1</v>
      </c>
      <c r="E84" s="19" t="s">
        <v>835</v>
      </c>
      <c r="F84" s="6" t="s">
        <v>836</v>
      </c>
      <c r="G84" s="26">
        <f t="shared" ref="G84:H84" si="15">+G39+G69+G83</f>
        <v>0</v>
      </c>
      <c r="H84" s="26">
        <f t="shared" si="15"/>
        <v>0</v>
      </c>
      <c r="I84" s="26">
        <f>+I39+I69+I83</f>
        <v>-8479.2000000001863</v>
      </c>
    </row>
    <row r="85" spans="1:9" x14ac:dyDescent="0.3">
      <c r="A85" s="53" t="s">
        <v>837</v>
      </c>
      <c r="D85" s="5">
        <v>1</v>
      </c>
      <c r="E85" s="56" t="s">
        <v>838</v>
      </c>
      <c r="F85" s="6" t="s">
        <v>839</v>
      </c>
      <c r="G85" s="52" t="s">
        <v>86</v>
      </c>
      <c r="H85" s="52" t="s">
        <v>86</v>
      </c>
      <c r="I85" s="52" t="s">
        <v>86</v>
      </c>
    </row>
    <row r="86" spans="1:9" x14ac:dyDescent="0.3">
      <c r="A86" s="23" t="s">
        <v>840</v>
      </c>
      <c r="B86" s="5">
        <v>30</v>
      </c>
      <c r="D86" s="5">
        <v>2</v>
      </c>
      <c r="E86" s="56" t="s">
        <v>841</v>
      </c>
      <c r="F86" s="6" t="s">
        <v>842</v>
      </c>
      <c r="G86" s="101"/>
      <c r="H86" s="101"/>
      <c r="I86" s="101"/>
    </row>
    <row r="87" spans="1:9" x14ac:dyDescent="0.3">
      <c r="A87" s="23" t="s">
        <v>843</v>
      </c>
      <c r="B87" s="5">
        <v>4</v>
      </c>
      <c r="D87" s="5">
        <v>2</v>
      </c>
      <c r="E87" s="56" t="s">
        <v>844</v>
      </c>
      <c r="F87" s="6" t="s">
        <v>845</v>
      </c>
      <c r="G87" s="101"/>
      <c r="H87" s="101"/>
      <c r="I87" s="101"/>
    </row>
    <row r="88" spans="1:9" x14ac:dyDescent="0.3">
      <c r="A88" s="23" t="s">
        <v>846</v>
      </c>
      <c r="B88" s="5">
        <v>4</v>
      </c>
      <c r="D88" s="5">
        <v>2</v>
      </c>
      <c r="E88" s="56" t="s">
        <v>847</v>
      </c>
      <c r="F88" s="6" t="s">
        <v>848</v>
      </c>
      <c r="G88" s="101">
        <v>0</v>
      </c>
      <c r="H88" s="101">
        <v>0</v>
      </c>
      <c r="I88" s="101">
        <v>0</v>
      </c>
    </row>
    <row r="89" spans="1:9" x14ac:dyDescent="0.3">
      <c r="A89" s="23" t="s">
        <v>849</v>
      </c>
      <c r="B89" s="5">
        <v>4</v>
      </c>
      <c r="D89" s="5">
        <v>2</v>
      </c>
      <c r="E89" s="56" t="s">
        <v>850</v>
      </c>
      <c r="F89" s="6" t="s">
        <v>851</v>
      </c>
      <c r="G89" s="101">
        <v>0</v>
      </c>
      <c r="H89" s="101">
        <v>0</v>
      </c>
      <c r="I89" s="101">
        <v>0</v>
      </c>
    </row>
    <row r="90" spans="1:9" x14ac:dyDescent="0.3">
      <c r="A90" s="54" t="s">
        <v>852</v>
      </c>
      <c r="B90" s="5">
        <v>42</v>
      </c>
      <c r="D90" s="5">
        <v>2</v>
      </c>
      <c r="E90" s="56" t="s">
        <v>853</v>
      </c>
      <c r="F90" s="6" t="s">
        <v>854</v>
      </c>
      <c r="G90" s="26">
        <f t="shared" ref="G90:H90" si="16">+G86+G87+G88-G89</f>
        <v>0</v>
      </c>
      <c r="H90" s="26">
        <f t="shared" si="16"/>
        <v>0</v>
      </c>
      <c r="I90" s="26">
        <f>+I86+I87+I88-I89</f>
        <v>0</v>
      </c>
    </row>
    <row r="91" spans="1:9" x14ac:dyDescent="0.3">
      <c r="A91" s="20" t="s">
        <v>855</v>
      </c>
      <c r="B91" s="5">
        <v>850</v>
      </c>
      <c r="D91" s="5">
        <v>1</v>
      </c>
      <c r="E91" s="19" t="s">
        <v>455</v>
      </c>
      <c r="F91" s="6" t="s">
        <v>856</v>
      </c>
      <c r="G91" s="26">
        <f t="shared" ref="G91:H91" si="17">+G84-G90</f>
        <v>0</v>
      </c>
      <c r="H91" s="26">
        <f t="shared" si="17"/>
        <v>0</v>
      </c>
      <c r="I91" s="26">
        <f>+I84-I90</f>
        <v>-8479.2000000001863</v>
      </c>
    </row>
    <row r="93" spans="1:9" x14ac:dyDescent="0.3">
      <c r="G93" s="45">
        <f>+G91-SP!H158</f>
        <v>0</v>
      </c>
      <c r="H93" s="45">
        <f>+H91-SP!I158</f>
        <v>0</v>
      </c>
      <c r="I93" s="45">
        <f>+I91-SP!J158</f>
        <v>-1.8553691916167736E-10</v>
      </c>
    </row>
  </sheetData>
  <conditionalFormatting sqref="A4">
    <cfRule type="expression" dxfId="74" priority="291" stopIfTrue="1">
      <formula>ABS(SUM(A4)-SUM(#REF!))&gt;=1</formula>
    </cfRule>
  </conditionalFormatting>
  <conditionalFormatting sqref="G21:I21">
    <cfRule type="expression" dxfId="73" priority="308" stopIfTrue="1">
      <formula>ABS(SUM(G21)-SUM(#REF!))&gt;=1</formula>
    </cfRule>
  </conditionalFormatting>
  <conditionalFormatting sqref="G90:I90">
    <cfRule type="expression" dxfId="72" priority="97" stopIfTrue="1">
      <formula>ABS(SUM(G90)-SUM(#REF!))&gt;=1</formula>
    </cfRule>
  </conditionalFormatting>
  <conditionalFormatting sqref="G91:I91">
    <cfRule type="expression" dxfId="71" priority="98" stopIfTrue="1">
      <formula>ABS(SUM(G91)-SUM(#REF!))&gt;=1</formula>
    </cfRule>
  </conditionalFormatting>
  <conditionalFormatting sqref="G84:I84">
    <cfRule type="expression" dxfId="70" priority="99" stopIfTrue="1">
      <formula>ABS(SUM(G84)-SUM(#REF!))&gt;=1</formula>
    </cfRule>
  </conditionalFormatting>
  <conditionalFormatting sqref="G82:I82">
    <cfRule type="expression" dxfId="69" priority="102" stopIfTrue="1">
      <formula>ABS(SUM(G82)-SUM(#REF!))&gt;=1</formula>
    </cfRule>
  </conditionalFormatting>
  <conditionalFormatting sqref="G76:I76">
    <cfRule type="expression" dxfId="68" priority="103" stopIfTrue="1">
      <formula>ABS(SUM(G76)-SUM(#REF!))&gt;=1</formula>
    </cfRule>
  </conditionalFormatting>
  <conditionalFormatting sqref="G69:I69">
    <cfRule type="expression" dxfId="67" priority="104" stopIfTrue="1">
      <formula>ABS(SUM(G69)-SUM(#REF!))&gt;=1</formula>
    </cfRule>
  </conditionalFormatting>
  <conditionalFormatting sqref="G67:I67">
    <cfRule type="expression" dxfId="66" priority="105" stopIfTrue="1">
      <formula>ABS(SUM(G67)-SUM(#REF!))&gt;=1</formula>
    </cfRule>
  </conditionalFormatting>
  <conditionalFormatting sqref="G60:I61">
    <cfRule type="expression" dxfId="65" priority="106" stopIfTrue="1">
      <formula>ABS(SUM(G60)-SUM(#REF!))&gt;=1</formula>
    </cfRule>
  </conditionalFormatting>
  <conditionalFormatting sqref="G52:I52">
    <cfRule type="expression" dxfId="64" priority="107" stopIfTrue="1">
      <formula>ABS(SUM(G52)-SUM(#REF!))&gt;=1</formula>
    </cfRule>
  </conditionalFormatting>
  <conditionalFormatting sqref="G45:I45">
    <cfRule type="expression" dxfId="63" priority="108" stopIfTrue="1">
      <formula>ABS(SUM(G45)-SUM(#REF!))&gt;=1</formula>
    </cfRule>
  </conditionalFormatting>
  <conditionalFormatting sqref="G39:I39">
    <cfRule type="expression" dxfId="62" priority="109" stopIfTrue="1">
      <formula>ABS(SUM(G39)-SUM(#REF!))&gt;=1</formula>
    </cfRule>
  </conditionalFormatting>
  <conditionalFormatting sqref="G38:I38">
    <cfRule type="expression" dxfId="61" priority="110" stopIfTrue="1">
      <formula>ABS(SUM(G38)-SUM(#REF!))&gt;=1</formula>
    </cfRule>
  </conditionalFormatting>
  <conditionalFormatting sqref="G33:I33">
    <cfRule type="expression" dxfId="60" priority="111" stopIfTrue="1">
      <formula>ABS(SUM(G33)-SUM(#REF!))&gt;=1</formula>
    </cfRule>
  </conditionalFormatting>
  <conditionalFormatting sqref="G27:I27">
    <cfRule type="expression" dxfId="59" priority="112" stopIfTrue="1">
      <formula>ABS(SUM(G27)-SUM(#REF!))&gt;=1</formula>
    </cfRule>
  </conditionalFormatting>
  <conditionalFormatting sqref="I6:I7">
    <cfRule type="expression" dxfId="58" priority="114" stopIfTrue="1">
      <formula>ABS(SUM(I6)-SUM(#REF!))&gt;=10</formula>
    </cfRule>
  </conditionalFormatting>
  <conditionalFormatting sqref="G17:I17 G28:I28 G40:I41 G46:I47 G62:I62 G70:I71 G77:I77 G83:I83 G85:I85">
    <cfRule type="expression" dxfId="57" priority="115" stopIfTrue="1">
      <formula>ABS(SUM(G17)-SUM(#REF!))&gt;=1</formula>
    </cfRule>
  </conditionalFormatting>
  <conditionalFormatting sqref="G16:I16">
    <cfRule type="expression" dxfId="56" priority="79" stopIfTrue="1">
      <formula>ABS(SUM(G16)-SUM(#REF!))&gt;=1</formula>
    </cfRule>
  </conditionalFormatting>
  <conditionalFormatting sqref="G12:I12">
    <cfRule type="expression" dxfId="55" priority="67" stopIfTrue="1">
      <formula>ABS(SUM(G12)-SUM(#REF!))&gt;=1</formula>
    </cfRule>
  </conditionalFormatting>
  <conditionalFormatting sqref="G55:I55">
    <cfRule type="expression" dxfId="54" priority="59" stopIfTrue="1">
      <formula>ABS(SUM(G55)-SUM(#REF!))&gt;=1</formula>
    </cfRule>
  </conditionalFormatting>
  <conditionalFormatting sqref="G8:I11">
    <cfRule type="expression" dxfId="53" priority="15" stopIfTrue="1">
      <formula>ABS(SUM(G8)-SUM(#REF!))&gt;=1</formula>
    </cfRule>
  </conditionalFormatting>
  <conditionalFormatting sqref="G13:I14">
    <cfRule type="expression" dxfId="52" priority="14" stopIfTrue="1">
      <formula>ABS(SUM(G13)-SUM(#REF!))&gt;=1</formula>
    </cfRule>
  </conditionalFormatting>
  <conditionalFormatting sqref="G18:I20">
    <cfRule type="expression" dxfId="51" priority="13" stopIfTrue="1">
      <formula>ABS(SUM(G18)-SUM(#REF!))&gt;=1</formula>
    </cfRule>
  </conditionalFormatting>
  <conditionalFormatting sqref="G22:I26">
    <cfRule type="expression" dxfId="50" priority="12" stopIfTrue="1">
      <formula>ABS(SUM(G22)-SUM(#REF!))&gt;=1</formula>
    </cfRule>
  </conditionalFormatting>
  <conditionalFormatting sqref="G29:I32">
    <cfRule type="expression" dxfId="49" priority="11" stopIfTrue="1">
      <formula>ABS(SUM(G29)-SUM(#REF!))&gt;=1</formula>
    </cfRule>
  </conditionalFormatting>
  <conditionalFormatting sqref="G34:I37">
    <cfRule type="expression" dxfId="48" priority="10" stopIfTrue="1">
      <formula>ABS(SUM(G34)-SUM(#REF!))&gt;=1</formula>
    </cfRule>
  </conditionalFormatting>
  <conditionalFormatting sqref="G42:I44">
    <cfRule type="expression" dxfId="47" priority="9" stopIfTrue="1">
      <formula>ABS(SUM(G42)-SUM(#REF!))&gt;=1</formula>
    </cfRule>
  </conditionalFormatting>
  <conditionalFormatting sqref="G48:I51">
    <cfRule type="expression" dxfId="46" priority="8" stopIfTrue="1">
      <formula>ABS(SUM(G48)-SUM(#REF!))&gt;=1</formula>
    </cfRule>
  </conditionalFormatting>
  <conditionalFormatting sqref="G53:I54">
    <cfRule type="expression" dxfId="45" priority="7" stopIfTrue="1">
      <formula>ABS(SUM(G53)-SUM(#REF!))&gt;=1</formula>
    </cfRule>
  </conditionalFormatting>
  <conditionalFormatting sqref="G56:I59">
    <cfRule type="expression" dxfId="44" priority="6" stopIfTrue="1">
      <formula>ABS(SUM(G56)-SUM(#REF!))&gt;=1</formula>
    </cfRule>
  </conditionalFormatting>
  <conditionalFormatting sqref="G63:I66">
    <cfRule type="expression" dxfId="43" priority="5" stopIfTrue="1">
      <formula>ABS(SUM(G63)-SUM(#REF!))&gt;=1</formula>
    </cfRule>
  </conditionalFormatting>
  <conditionalFormatting sqref="G68:I68">
    <cfRule type="expression" dxfId="42" priority="4" stopIfTrue="1">
      <formula>ABS(SUM(G68)-SUM(#REF!))&gt;=1</formula>
    </cfRule>
  </conditionalFormatting>
  <conditionalFormatting sqref="G72:I75">
    <cfRule type="expression" dxfId="41" priority="3" stopIfTrue="1">
      <formula>ABS(SUM(G72)-SUM(#REF!))&gt;=1</formula>
    </cfRule>
  </conditionalFormatting>
  <conditionalFormatting sqref="G78:I81">
    <cfRule type="expression" dxfId="40" priority="2" stopIfTrue="1">
      <formula>ABS(SUM(G78)-SUM(#REF!))&gt;=1</formula>
    </cfRule>
  </conditionalFormatting>
  <conditionalFormatting sqref="G86:I89">
    <cfRule type="expression" dxfId="39" priority="1" stopIfTrue="1">
      <formula>ABS(SUM(G86)-SUM(#REF!))&gt;=1</formula>
    </cfRule>
  </conditionalFormatting>
  <dataValidations count="2">
    <dataValidation type="whole" allowBlank="1" showInputMessage="1" showErrorMessage="1" sqref="IU65533:IU65627 SQ65533:SQ65627 ACM65533:ACM65627 AMI65533:AMI65627 AWE65533:AWE65627 BGA65533:BGA65627 BPW65533:BPW65627 BZS65533:BZS65627 CJO65533:CJO65627 CTK65533:CTK65627 DDG65533:DDG65627 DNC65533:DNC65627 DWY65533:DWY65627 EGU65533:EGU65627 EQQ65533:EQQ65627 FAM65533:FAM65627 FKI65533:FKI65627 FUE65533:FUE65627 GEA65533:GEA65627 GNW65533:GNW65627 GXS65533:GXS65627 HHO65533:HHO65627 HRK65533:HRK65627 IBG65533:IBG65627 ILC65533:ILC65627 IUY65533:IUY65627 JEU65533:JEU65627 JOQ65533:JOQ65627 JYM65533:JYM65627 KII65533:KII65627 KSE65533:KSE65627 LCA65533:LCA65627 LLW65533:LLW65627 LVS65533:LVS65627 MFO65533:MFO65627 MPK65533:MPK65627 MZG65533:MZG65627 NJC65533:NJC65627 NSY65533:NSY65627 OCU65533:OCU65627 OMQ65533:OMQ65627 OWM65533:OWM65627 PGI65533:PGI65627 PQE65533:PQE65627 QAA65533:QAA65627 QJW65533:QJW65627 QTS65533:QTS65627 RDO65533:RDO65627 RNK65533:RNK65627 RXG65533:RXG65627 SHC65533:SHC65627 SQY65533:SQY65627 TAU65533:TAU65627 TKQ65533:TKQ65627 TUM65533:TUM65627 UEI65533:UEI65627 UOE65533:UOE65627 UYA65533:UYA65627 VHW65533:VHW65627 VRS65533:VRS65627 WBO65533:WBO65627 WLK65533:WLK65627 WVG65533:WVG65627 IU131069:IU131163 SQ131069:SQ131163 ACM131069:ACM131163 AMI131069:AMI131163 AWE131069:AWE131163 BGA131069:BGA131163 BPW131069:BPW131163 BZS131069:BZS131163 CJO131069:CJO131163 CTK131069:CTK131163 DDG131069:DDG131163 DNC131069:DNC131163 DWY131069:DWY131163 EGU131069:EGU131163 EQQ131069:EQQ131163 FAM131069:FAM131163 FKI131069:FKI131163 FUE131069:FUE131163 GEA131069:GEA131163 GNW131069:GNW131163 GXS131069:GXS131163 HHO131069:HHO131163 HRK131069:HRK131163 IBG131069:IBG131163 ILC131069:ILC131163 IUY131069:IUY131163 JEU131069:JEU131163 JOQ131069:JOQ131163 JYM131069:JYM131163 KII131069:KII131163 KSE131069:KSE131163 LCA131069:LCA131163 LLW131069:LLW131163 LVS131069:LVS131163 MFO131069:MFO131163 MPK131069:MPK131163 MZG131069:MZG131163 NJC131069:NJC131163 NSY131069:NSY131163 OCU131069:OCU131163 OMQ131069:OMQ131163 OWM131069:OWM131163 PGI131069:PGI131163 PQE131069:PQE131163 QAA131069:QAA131163 QJW131069:QJW131163 QTS131069:QTS131163 RDO131069:RDO131163 RNK131069:RNK131163 RXG131069:RXG131163 SHC131069:SHC131163 SQY131069:SQY131163 TAU131069:TAU131163 TKQ131069:TKQ131163 TUM131069:TUM131163 UEI131069:UEI131163 UOE131069:UOE131163 UYA131069:UYA131163 VHW131069:VHW131163 VRS131069:VRS131163 WBO131069:WBO131163 WLK131069:WLK131163 WVG131069:WVG131163 IU196605:IU196699 SQ196605:SQ196699 ACM196605:ACM196699 AMI196605:AMI196699 AWE196605:AWE196699 BGA196605:BGA196699 BPW196605:BPW196699 BZS196605:BZS196699 CJO196605:CJO196699 CTK196605:CTK196699 DDG196605:DDG196699 DNC196605:DNC196699 DWY196605:DWY196699 EGU196605:EGU196699 EQQ196605:EQQ196699 FAM196605:FAM196699 FKI196605:FKI196699 FUE196605:FUE196699 GEA196605:GEA196699 GNW196605:GNW196699 GXS196605:GXS196699 HHO196605:HHO196699 HRK196605:HRK196699 IBG196605:IBG196699 ILC196605:ILC196699 IUY196605:IUY196699 JEU196605:JEU196699 JOQ196605:JOQ196699 JYM196605:JYM196699 KII196605:KII196699 KSE196605:KSE196699 LCA196605:LCA196699 LLW196605:LLW196699 LVS196605:LVS196699 MFO196605:MFO196699 MPK196605:MPK196699 MZG196605:MZG196699 NJC196605:NJC196699 NSY196605:NSY196699 OCU196605:OCU196699 OMQ196605:OMQ196699 OWM196605:OWM196699 PGI196605:PGI196699 PQE196605:PQE196699 QAA196605:QAA196699 QJW196605:QJW196699 QTS196605:QTS196699 RDO196605:RDO196699 RNK196605:RNK196699 RXG196605:RXG196699 SHC196605:SHC196699 SQY196605:SQY196699 TAU196605:TAU196699 TKQ196605:TKQ196699 TUM196605:TUM196699 UEI196605:UEI196699 UOE196605:UOE196699 UYA196605:UYA196699 VHW196605:VHW196699 VRS196605:VRS196699 WBO196605:WBO196699 WLK196605:WLK196699 WVG196605:WVG196699 IU262141:IU262235 SQ262141:SQ262235 ACM262141:ACM262235 AMI262141:AMI262235 AWE262141:AWE262235 BGA262141:BGA262235 BPW262141:BPW262235 BZS262141:BZS262235 CJO262141:CJO262235 CTK262141:CTK262235 DDG262141:DDG262235 DNC262141:DNC262235 DWY262141:DWY262235 EGU262141:EGU262235 EQQ262141:EQQ262235 FAM262141:FAM262235 FKI262141:FKI262235 FUE262141:FUE262235 GEA262141:GEA262235 GNW262141:GNW262235 GXS262141:GXS262235 HHO262141:HHO262235 HRK262141:HRK262235 IBG262141:IBG262235 ILC262141:ILC262235 IUY262141:IUY262235 JEU262141:JEU262235 JOQ262141:JOQ262235 JYM262141:JYM262235 KII262141:KII262235 KSE262141:KSE262235 LCA262141:LCA262235 LLW262141:LLW262235 LVS262141:LVS262235 MFO262141:MFO262235 MPK262141:MPK262235 MZG262141:MZG262235 NJC262141:NJC262235 NSY262141:NSY262235 OCU262141:OCU262235 OMQ262141:OMQ262235 OWM262141:OWM262235 PGI262141:PGI262235 PQE262141:PQE262235 QAA262141:QAA262235 QJW262141:QJW262235 QTS262141:QTS262235 RDO262141:RDO262235 RNK262141:RNK262235 RXG262141:RXG262235 SHC262141:SHC262235 SQY262141:SQY262235 TAU262141:TAU262235 TKQ262141:TKQ262235 TUM262141:TUM262235 UEI262141:UEI262235 UOE262141:UOE262235 UYA262141:UYA262235 VHW262141:VHW262235 VRS262141:VRS262235 WBO262141:WBO262235 WLK262141:WLK262235 WVG262141:WVG262235 IU327677:IU327771 SQ327677:SQ327771 ACM327677:ACM327771 AMI327677:AMI327771 AWE327677:AWE327771 BGA327677:BGA327771 BPW327677:BPW327771 BZS327677:BZS327771 CJO327677:CJO327771 CTK327677:CTK327771 DDG327677:DDG327771 DNC327677:DNC327771 DWY327677:DWY327771 EGU327677:EGU327771 EQQ327677:EQQ327771 FAM327677:FAM327771 FKI327677:FKI327771 FUE327677:FUE327771 GEA327677:GEA327771 GNW327677:GNW327771 GXS327677:GXS327771 HHO327677:HHO327771 HRK327677:HRK327771 IBG327677:IBG327771 ILC327677:ILC327771 IUY327677:IUY327771 JEU327677:JEU327771 JOQ327677:JOQ327771 JYM327677:JYM327771 KII327677:KII327771 KSE327677:KSE327771 LCA327677:LCA327771 LLW327677:LLW327771 LVS327677:LVS327771 MFO327677:MFO327771 MPK327677:MPK327771 MZG327677:MZG327771 NJC327677:NJC327771 NSY327677:NSY327771 OCU327677:OCU327771 OMQ327677:OMQ327771 OWM327677:OWM327771 PGI327677:PGI327771 PQE327677:PQE327771 QAA327677:QAA327771 QJW327677:QJW327771 QTS327677:QTS327771 RDO327677:RDO327771 RNK327677:RNK327771 RXG327677:RXG327771 SHC327677:SHC327771 SQY327677:SQY327771 TAU327677:TAU327771 TKQ327677:TKQ327771 TUM327677:TUM327771 UEI327677:UEI327771 UOE327677:UOE327771 UYA327677:UYA327771 VHW327677:VHW327771 VRS327677:VRS327771 WBO327677:WBO327771 WLK327677:WLK327771 WVG327677:WVG327771 IU393213:IU393307 SQ393213:SQ393307 ACM393213:ACM393307 AMI393213:AMI393307 AWE393213:AWE393307 BGA393213:BGA393307 BPW393213:BPW393307 BZS393213:BZS393307 CJO393213:CJO393307 CTK393213:CTK393307 DDG393213:DDG393307 DNC393213:DNC393307 DWY393213:DWY393307 EGU393213:EGU393307 EQQ393213:EQQ393307 FAM393213:FAM393307 FKI393213:FKI393307 FUE393213:FUE393307 GEA393213:GEA393307 GNW393213:GNW393307 GXS393213:GXS393307 HHO393213:HHO393307 HRK393213:HRK393307 IBG393213:IBG393307 ILC393213:ILC393307 IUY393213:IUY393307 JEU393213:JEU393307 JOQ393213:JOQ393307 JYM393213:JYM393307 KII393213:KII393307 KSE393213:KSE393307 LCA393213:LCA393307 LLW393213:LLW393307 LVS393213:LVS393307 MFO393213:MFO393307 MPK393213:MPK393307 MZG393213:MZG393307 NJC393213:NJC393307 NSY393213:NSY393307 OCU393213:OCU393307 OMQ393213:OMQ393307 OWM393213:OWM393307 PGI393213:PGI393307 PQE393213:PQE393307 QAA393213:QAA393307 QJW393213:QJW393307 QTS393213:QTS393307 RDO393213:RDO393307 RNK393213:RNK393307 RXG393213:RXG393307 SHC393213:SHC393307 SQY393213:SQY393307 TAU393213:TAU393307 TKQ393213:TKQ393307 TUM393213:TUM393307 UEI393213:UEI393307 UOE393213:UOE393307 UYA393213:UYA393307 VHW393213:VHW393307 VRS393213:VRS393307 WBO393213:WBO393307 WLK393213:WLK393307 WVG393213:WVG393307 IU458749:IU458843 SQ458749:SQ458843 ACM458749:ACM458843 AMI458749:AMI458843 AWE458749:AWE458843 BGA458749:BGA458843 BPW458749:BPW458843 BZS458749:BZS458843 CJO458749:CJO458843 CTK458749:CTK458843 DDG458749:DDG458843 DNC458749:DNC458843 DWY458749:DWY458843 EGU458749:EGU458843 EQQ458749:EQQ458843 FAM458749:FAM458843 FKI458749:FKI458843 FUE458749:FUE458843 GEA458749:GEA458843 GNW458749:GNW458843 GXS458749:GXS458843 HHO458749:HHO458843 HRK458749:HRK458843 IBG458749:IBG458843 ILC458749:ILC458843 IUY458749:IUY458843 JEU458749:JEU458843 JOQ458749:JOQ458843 JYM458749:JYM458843 KII458749:KII458843 KSE458749:KSE458843 LCA458749:LCA458843 LLW458749:LLW458843 LVS458749:LVS458843 MFO458749:MFO458843 MPK458749:MPK458843 MZG458749:MZG458843 NJC458749:NJC458843 NSY458749:NSY458843 OCU458749:OCU458843 OMQ458749:OMQ458843 OWM458749:OWM458843 PGI458749:PGI458843 PQE458749:PQE458843 QAA458749:QAA458843 QJW458749:QJW458843 QTS458749:QTS458843 RDO458749:RDO458843 RNK458749:RNK458843 RXG458749:RXG458843 SHC458749:SHC458843 SQY458749:SQY458843 TAU458749:TAU458843 TKQ458749:TKQ458843 TUM458749:TUM458843 UEI458749:UEI458843 UOE458749:UOE458843 UYA458749:UYA458843 VHW458749:VHW458843 VRS458749:VRS458843 WBO458749:WBO458843 WLK458749:WLK458843 WVG458749:WVG458843 IU524285:IU524379 SQ524285:SQ524379 ACM524285:ACM524379 AMI524285:AMI524379 AWE524285:AWE524379 BGA524285:BGA524379 BPW524285:BPW524379 BZS524285:BZS524379 CJO524285:CJO524379 CTK524285:CTK524379 DDG524285:DDG524379 DNC524285:DNC524379 DWY524285:DWY524379 EGU524285:EGU524379 EQQ524285:EQQ524379 FAM524285:FAM524379 FKI524285:FKI524379 FUE524285:FUE524379 GEA524285:GEA524379 GNW524285:GNW524379 GXS524285:GXS524379 HHO524285:HHO524379 HRK524285:HRK524379 IBG524285:IBG524379 ILC524285:ILC524379 IUY524285:IUY524379 JEU524285:JEU524379 JOQ524285:JOQ524379 JYM524285:JYM524379 KII524285:KII524379 KSE524285:KSE524379 LCA524285:LCA524379 LLW524285:LLW524379 LVS524285:LVS524379 MFO524285:MFO524379 MPK524285:MPK524379 MZG524285:MZG524379 NJC524285:NJC524379 NSY524285:NSY524379 OCU524285:OCU524379 OMQ524285:OMQ524379 OWM524285:OWM524379 PGI524285:PGI524379 PQE524285:PQE524379 QAA524285:QAA524379 QJW524285:QJW524379 QTS524285:QTS524379 RDO524285:RDO524379 RNK524285:RNK524379 RXG524285:RXG524379 SHC524285:SHC524379 SQY524285:SQY524379 TAU524285:TAU524379 TKQ524285:TKQ524379 TUM524285:TUM524379 UEI524285:UEI524379 UOE524285:UOE524379 UYA524285:UYA524379 VHW524285:VHW524379 VRS524285:VRS524379 WBO524285:WBO524379 WLK524285:WLK524379 WVG524285:WVG524379 IU589821:IU589915 SQ589821:SQ589915 ACM589821:ACM589915 AMI589821:AMI589915 AWE589821:AWE589915 BGA589821:BGA589915 BPW589821:BPW589915 BZS589821:BZS589915 CJO589821:CJO589915 CTK589821:CTK589915 DDG589821:DDG589915 DNC589821:DNC589915 DWY589821:DWY589915 EGU589821:EGU589915 EQQ589821:EQQ589915 FAM589821:FAM589915 FKI589821:FKI589915 FUE589821:FUE589915 GEA589821:GEA589915 GNW589821:GNW589915 GXS589821:GXS589915 HHO589821:HHO589915 HRK589821:HRK589915 IBG589821:IBG589915 ILC589821:ILC589915 IUY589821:IUY589915 JEU589821:JEU589915 JOQ589821:JOQ589915 JYM589821:JYM589915 KII589821:KII589915 KSE589821:KSE589915 LCA589821:LCA589915 LLW589821:LLW589915 LVS589821:LVS589915 MFO589821:MFO589915 MPK589821:MPK589915 MZG589821:MZG589915 NJC589821:NJC589915 NSY589821:NSY589915 OCU589821:OCU589915 OMQ589821:OMQ589915 OWM589821:OWM589915 PGI589821:PGI589915 PQE589821:PQE589915 QAA589821:QAA589915 QJW589821:QJW589915 QTS589821:QTS589915 RDO589821:RDO589915 RNK589821:RNK589915 RXG589821:RXG589915 SHC589821:SHC589915 SQY589821:SQY589915 TAU589821:TAU589915 TKQ589821:TKQ589915 TUM589821:TUM589915 UEI589821:UEI589915 UOE589821:UOE589915 UYA589821:UYA589915 VHW589821:VHW589915 VRS589821:VRS589915 WBO589821:WBO589915 WLK589821:WLK589915 WVG589821:WVG589915 IU655357:IU655451 SQ655357:SQ655451 ACM655357:ACM655451 AMI655357:AMI655451 AWE655357:AWE655451 BGA655357:BGA655451 BPW655357:BPW655451 BZS655357:BZS655451 CJO655357:CJO655451 CTK655357:CTK655451 DDG655357:DDG655451 DNC655357:DNC655451 DWY655357:DWY655451 EGU655357:EGU655451 EQQ655357:EQQ655451 FAM655357:FAM655451 FKI655357:FKI655451 FUE655357:FUE655451 GEA655357:GEA655451 GNW655357:GNW655451 GXS655357:GXS655451 HHO655357:HHO655451 HRK655357:HRK655451 IBG655357:IBG655451 ILC655357:ILC655451 IUY655357:IUY655451 JEU655357:JEU655451 JOQ655357:JOQ655451 JYM655357:JYM655451 KII655357:KII655451 KSE655357:KSE655451 LCA655357:LCA655451 LLW655357:LLW655451 LVS655357:LVS655451 MFO655357:MFO655451 MPK655357:MPK655451 MZG655357:MZG655451 NJC655357:NJC655451 NSY655357:NSY655451 OCU655357:OCU655451 OMQ655357:OMQ655451 OWM655357:OWM655451 PGI655357:PGI655451 PQE655357:PQE655451 QAA655357:QAA655451 QJW655357:QJW655451 QTS655357:QTS655451 RDO655357:RDO655451 RNK655357:RNK655451 RXG655357:RXG655451 SHC655357:SHC655451 SQY655357:SQY655451 TAU655357:TAU655451 TKQ655357:TKQ655451 TUM655357:TUM655451 UEI655357:UEI655451 UOE655357:UOE655451 UYA655357:UYA655451 VHW655357:VHW655451 VRS655357:VRS655451 WBO655357:WBO655451 WLK655357:WLK655451 WVG655357:WVG655451 IU720893:IU720987 SQ720893:SQ720987 ACM720893:ACM720987 AMI720893:AMI720987 AWE720893:AWE720987 BGA720893:BGA720987 BPW720893:BPW720987 BZS720893:BZS720987 CJO720893:CJO720987 CTK720893:CTK720987 DDG720893:DDG720987 DNC720893:DNC720987 DWY720893:DWY720987 EGU720893:EGU720987 EQQ720893:EQQ720987 FAM720893:FAM720987 FKI720893:FKI720987 FUE720893:FUE720987 GEA720893:GEA720987 GNW720893:GNW720987 GXS720893:GXS720987 HHO720893:HHO720987 HRK720893:HRK720987 IBG720893:IBG720987 ILC720893:ILC720987 IUY720893:IUY720987 JEU720893:JEU720987 JOQ720893:JOQ720987 JYM720893:JYM720987 KII720893:KII720987 KSE720893:KSE720987 LCA720893:LCA720987 LLW720893:LLW720987 LVS720893:LVS720987 MFO720893:MFO720987 MPK720893:MPK720987 MZG720893:MZG720987 NJC720893:NJC720987 NSY720893:NSY720987 OCU720893:OCU720987 OMQ720893:OMQ720987 OWM720893:OWM720987 PGI720893:PGI720987 PQE720893:PQE720987 QAA720893:QAA720987 QJW720893:QJW720987 QTS720893:QTS720987 RDO720893:RDO720987 RNK720893:RNK720987 RXG720893:RXG720987 SHC720893:SHC720987 SQY720893:SQY720987 TAU720893:TAU720987 TKQ720893:TKQ720987 TUM720893:TUM720987 UEI720893:UEI720987 UOE720893:UOE720987 UYA720893:UYA720987 VHW720893:VHW720987 VRS720893:VRS720987 WBO720893:WBO720987 WLK720893:WLK720987 WVG720893:WVG720987 IU786429:IU786523 SQ786429:SQ786523 ACM786429:ACM786523 AMI786429:AMI786523 AWE786429:AWE786523 BGA786429:BGA786523 BPW786429:BPW786523 BZS786429:BZS786523 CJO786429:CJO786523 CTK786429:CTK786523 DDG786429:DDG786523 DNC786429:DNC786523 DWY786429:DWY786523 EGU786429:EGU786523 EQQ786429:EQQ786523 FAM786429:FAM786523 FKI786429:FKI786523 FUE786429:FUE786523 GEA786429:GEA786523 GNW786429:GNW786523 GXS786429:GXS786523 HHO786429:HHO786523 HRK786429:HRK786523 IBG786429:IBG786523 ILC786429:ILC786523 IUY786429:IUY786523 JEU786429:JEU786523 JOQ786429:JOQ786523 JYM786429:JYM786523 KII786429:KII786523 KSE786429:KSE786523 LCA786429:LCA786523 LLW786429:LLW786523 LVS786429:LVS786523 MFO786429:MFO786523 MPK786429:MPK786523 MZG786429:MZG786523 NJC786429:NJC786523 NSY786429:NSY786523 OCU786429:OCU786523 OMQ786429:OMQ786523 OWM786429:OWM786523 PGI786429:PGI786523 PQE786429:PQE786523 QAA786429:QAA786523 QJW786429:QJW786523 QTS786429:QTS786523 RDO786429:RDO786523 RNK786429:RNK786523 RXG786429:RXG786523 SHC786429:SHC786523 SQY786429:SQY786523 TAU786429:TAU786523 TKQ786429:TKQ786523 TUM786429:TUM786523 UEI786429:UEI786523 UOE786429:UOE786523 UYA786429:UYA786523 VHW786429:VHW786523 VRS786429:VRS786523 WBO786429:WBO786523 WLK786429:WLK786523 WVG786429:WVG786523 IU851965:IU852059 SQ851965:SQ852059 ACM851965:ACM852059 AMI851965:AMI852059 AWE851965:AWE852059 BGA851965:BGA852059 BPW851965:BPW852059 BZS851965:BZS852059 CJO851965:CJO852059 CTK851965:CTK852059 DDG851965:DDG852059 DNC851965:DNC852059 DWY851965:DWY852059 EGU851965:EGU852059 EQQ851965:EQQ852059 FAM851965:FAM852059 FKI851965:FKI852059 FUE851965:FUE852059 GEA851965:GEA852059 GNW851965:GNW852059 GXS851965:GXS852059 HHO851965:HHO852059 HRK851965:HRK852059 IBG851965:IBG852059 ILC851965:ILC852059 IUY851965:IUY852059 JEU851965:JEU852059 JOQ851965:JOQ852059 JYM851965:JYM852059 KII851965:KII852059 KSE851965:KSE852059 LCA851965:LCA852059 LLW851965:LLW852059 LVS851965:LVS852059 MFO851965:MFO852059 MPK851965:MPK852059 MZG851965:MZG852059 NJC851965:NJC852059 NSY851965:NSY852059 OCU851965:OCU852059 OMQ851965:OMQ852059 OWM851965:OWM852059 PGI851965:PGI852059 PQE851965:PQE852059 QAA851965:QAA852059 QJW851965:QJW852059 QTS851965:QTS852059 RDO851965:RDO852059 RNK851965:RNK852059 RXG851965:RXG852059 SHC851965:SHC852059 SQY851965:SQY852059 TAU851965:TAU852059 TKQ851965:TKQ852059 TUM851965:TUM852059 UEI851965:UEI852059 UOE851965:UOE852059 UYA851965:UYA852059 VHW851965:VHW852059 VRS851965:VRS852059 WBO851965:WBO852059 WLK851965:WLK852059 WVG851965:WVG852059 IU917501:IU917595 SQ917501:SQ917595 ACM917501:ACM917595 AMI917501:AMI917595 AWE917501:AWE917595 BGA917501:BGA917595 BPW917501:BPW917595 BZS917501:BZS917595 CJO917501:CJO917595 CTK917501:CTK917595 DDG917501:DDG917595 DNC917501:DNC917595 DWY917501:DWY917595 EGU917501:EGU917595 EQQ917501:EQQ917595 FAM917501:FAM917595 FKI917501:FKI917595 FUE917501:FUE917595 GEA917501:GEA917595 GNW917501:GNW917595 GXS917501:GXS917595 HHO917501:HHO917595 HRK917501:HRK917595 IBG917501:IBG917595 ILC917501:ILC917595 IUY917501:IUY917595 JEU917501:JEU917595 JOQ917501:JOQ917595 JYM917501:JYM917595 KII917501:KII917595 KSE917501:KSE917595 LCA917501:LCA917595 LLW917501:LLW917595 LVS917501:LVS917595 MFO917501:MFO917595 MPK917501:MPK917595 MZG917501:MZG917595 NJC917501:NJC917595 NSY917501:NSY917595 OCU917501:OCU917595 OMQ917501:OMQ917595 OWM917501:OWM917595 PGI917501:PGI917595 PQE917501:PQE917595 QAA917501:QAA917595 QJW917501:QJW917595 QTS917501:QTS917595 RDO917501:RDO917595 RNK917501:RNK917595 RXG917501:RXG917595 SHC917501:SHC917595 SQY917501:SQY917595 TAU917501:TAU917595 TKQ917501:TKQ917595 TUM917501:TUM917595 UEI917501:UEI917595 UOE917501:UOE917595 UYA917501:UYA917595 VHW917501:VHW917595 VRS917501:VRS917595 WBO917501:WBO917595 WLK917501:WLK917595 WVG917501:WVG917595 IU983037:IU983131 SQ983037:SQ983131 ACM983037:ACM983131 AMI983037:AMI983131 AWE983037:AWE983131 BGA983037:BGA983131 BPW983037:BPW983131 BZS983037:BZS983131 CJO983037:CJO983131 CTK983037:CTK983131 DDG983037:DDG983131 DNC983037:DNC983131 DWY983037:DWY983131 EGU983037:EGU983131 EQQ983037:EQQ983131 FAM983037:FAM983131 FKI983037:FKI983131 FUE983037:FUE983131 GEA983037:GEA983131 GNW983037:GNW983131 GXS983037:GXS983131 HHO983037:HHO983131 HRK983037:HRK983131 IBG983037:IBG983131 ILC983037:ILC983131 IUY983037:IUY983131 JEU983037:JEU983131 JOQ983037:JOQ983131 JYM983037:JYM983131 KII983037:KII983131 KSE983037:KSE983131 LCA983037:LCA983131 LLW983037:LLW983131 LVS983037:LVS983131 MFO983037:MFO983131 MPK983037:MPK983131 MZG983037:MZG983131 NJC983037:NJC983131 NSY983037:NSY983131 OCU983037:OCU983131 OMQ983037:OMQ983131 OWM983037:OWM983131 PGI983037:PGI983131 PQE983037:PQE983131 QAA983037:QAA983131 QJW983037:QJW983131 QTS983037:QTS983131 RDO983037:RDO983131 RNK983037:RNK983131 RXG983037:RXG983131 SHC983037:SHC983131 SQY983037:SQY983131 TAU983037:TAU983131 TKQ983037:TKQ983131 TUM983037:TUM983131 UEI983037:UEI983131 UOE983037:UOE983131 UYA983037:UYA983131 VHW983037:VHW983131 VRS983037:VRS983131 WBO983037:WBO983131 WLK983037:WLK983131 WVG983037:WVG983131 WVG8:WVG91 WLK8:WLK91 WBO8:WBO91 VRS8:VRS91 VHW8:VHW91 UYA8:UYA91 UOE8:UOE91 UEI8:UEI91 TUM8:TUM91 TKQ8:TKQ91 TAU8:TAU91 SQY8:SQY91 SHC8:SHC91 RXG8:RXG91 RNK8:RNK91 RDO8:RDO91 QTS8:QTS91 QJW8:QJW91 QAA8:QAA91 PQE8:PQE91 PGI8:PGI91 OWM8:OWM91 OMQ8:OMQ91 OCU8:OCU91 NSY8:NSY91 NJC8:NJC91 MZG8:MZG91 MPK8:MPK91 MFO8:MFO91 LVS8:LVS91 LLW8:LLW91 LCA8:LCA91 KSE8:KSE91 KII8:KII91 JYM8:JYM91 JOQ8:JOQ91 JEU8:JEU91 IUY8:IUY91 ILC8:ILC91 IBG8:IBG91 HRK8:HRK91 HHO8:HHO91 GXS8:GXS91 GNW8:GNW91 GEA8:GEA91 FUE8:FUE91 FKI8:FKI91 FAM8:FAM91 EQQ8:EQQ91 EGU8:EGU91 DWY8:DWY91 DNC8:DNC91 DDG8:DDG91 CTK8:CTK91 CJO8:CJO91 BZS8:BZS91 BPW8:BPW91 BGA8:BGA91 AWE8:AWE91 AMI8:AMI91 ACM8:ACM91 SQ8:SQ91 IU8:IU91" xr:uid="{00000000-0002-0000-0200-000000000000}">
      <formula1>-9.99999999999999E+30</formula1>
      <formula2>9.99999999999999E+32</formula2>
    </dataValidation>
    <dataValidation type="whole" allowBlank="1" showInputMessage="1" showErrorMessage="1" sqref="WVE983037:WVE983131 RDM983037:RDM983131 IS65533:IS65627 SO65533:SO65627 ACK65533:ACK65627 AMG65533:AMG65627 AWC65533:AWC65627 BFY65533:BFY65627 BPU65533:BPU65627 BZQ65533:BZQ65627 CJM65533:CJM65627 CTI65533:CTI65627 DDE65533:DDE65627 DNA65533:DNA65627 DWW65533:DWW65627 EGS65533:EGS65627 EQO65533:EQO65627 FAK65533:FAK65627 FKG65533:FKG65627 FUC65533:FUC65627 GDY65533:GDY65627 GNU65533:GNU65627 GXQ65533:GXQ65627 HHM65533:HHM65627 HRI65533:HRI65627 IBE65533:IBE65627 ILA65533:ILA65627 IUW65533:IUW65627 JES65533:JES65627 JOO65533:JOO65627 JYK65533:JYK65627 KIG65533:KIG65627 KSC65533:KSC65627 LBY65533:LBY65627 LLU65533:LLU65627 LVQ65533:LVQ65627 MFM65533:MFM65627 MPI65533:MPI65627 MZE65533:MZE65627 NJA65533:NJA65627 NSW65533:NSW65627 OCS65533:OCS65627 OMO65533:OMO65627 OWK65533:OWK65627 PGG65533:PGG65627 PQC65533:PQC65627 PZY65533:PZY65627 QJU65533:QJU65627 QTQ65533:QTQ65627 RDM65533:RDM65627 RNI65533:RNI65627 RXE65533:RXE65627 SHA65533:SHA65627 SQW65533:SQW65627 TAS65533:TAS65627 TKO65533:TKO65627 TUK65533:TUK65627 UEG65533:UEG65627 UOC65533:UOC65627 UXY65533:UXY65627 VHU65533:VHU65627 VRQ65533:VRQ65627 WBM65533:WBM65627 WLI65533:WLI65627 WVE65533:WVE65627 RNI983037:RNI983131 IS131069:IS131163 SO131069:SO131163 ACK131069:ACK131163 AMG131069:AMG131163 AWC131069:AWC131163 BFY131069:BFY131163 BPU131069:BPU131163 BZQ131069:BZQ131163 CJM131069:CJM131163 CTI131069:CTI131163 DDE131069:DDE131163 DNA131069:DNA131163 DWW131069:DWW131163 EGS131069:EGS131163 EQO131069:EQO131163 FAK131069:FAK131163 FKG131069:FKG131163 FUC131069:FUC131163 GDY131069:GDY131163 GNU131069:GNU131163 GXQ131069:GXQ131163 HHM131069:HHM131163 HRI131069:HRI131163 IBE131069:IBE131163 ILA131069:ILA131163 IUW131069:IUW131163 JES131069:JES131163 JOO131069:JOO131163 JYK131069:JYK131163 KIG131069:KIG131163 KSC131069:KSC131163 LBY131069:LBY131163 LLU131069:LLU131163 LVQ131069:LVQ131163 MFM131069:MFM131163 MPI131069:MPI131163 MZE131069:MZE131163 NJA131069:NJA131163 NSW131069:NSW131163 OCS131069:OCS131163 OMO131069:OMO131163 OWK131069:OWK131163 PGG131069:PGG131163 PQC131069:PQC131163 PZY131069:PZY131163 QJU131069:QJU131163 QTQ131069:QTQ131163 RDM131069:RDM131163 RNI131069:RNI131163 RXE131069:RXE131163 SHA131069:SHA131163 SQW131069:SQW131163 TAS131069:TAS131163 TKO131069:TKO131163 TUK131069:TUK131163 UEG131069:UEG131163 UOC131069:UOC131163 UXY131069:UXY131163 VHU131069:VHU131163 VRQ131069:VRQ131163 WBM131069:WBM131163 WLI131069:WLI131163 WVE131069:WVE131163 RXE983037:RXE983131 IS196605:IS196699 SO196605:SO196699 ACK196605:ACK196699 AMG196605:AMG196699 AWC196605:AWC196699 BFY196605:BFY196699 BPU196605:BPU196699 BZQ196605:BZQ196699 CJM196605:CJM196699 CTI196605:CTI196699 DDE196605:DDE196699 DNA196605:DNA196699 DWW196605:DWW196699 EGS196605:EGS196699 EQO196605:EQO196699 FAK196605:FAK196699 FKG196605:FKG196699 FUC196605:FUC196699 GDY196605:GDY196699 GNU196605:GNU196699 GXQ196605:GXQ196699 HHM196605:HHM196699 HRI196605:HRI196699 IBE196605:IBE196699 ILA196605:ILA196699 IUW196605:IUW196699 JES196605:JES196699 JOO196605:JOO196699 JYK196605:JYK196699 KIG196605:KIG196699 KSC196605:KSC196699 LBY196605:LBY196699 LLU196605:LLU196699 LVQ196605:LVQ196699 MFM196605:MFM196699 MPI196605:MPI196699 MZE196605:MZE196699 NJA196605:NJA196699 NSW196605:NSW196699 OCS196605:OCS196699 OMO196605:OMO196699 OWK196605:OWK196699 PGG196605:PGG196699 PQC196605:PQC196699 PZY196605:PZY196699 QJU196605:QJU196699 QTQ196605:QTQ196699 RDM196605:RDM196699 RNI196605:RNI196699 RXE196605:RXE196699 SHA196605:SHA196699 SQW196605:SQW196699 TAS196605:TAS196699 TKO196605:TKO196699 TUK196605:TUK196699 UEG196605:UEG196699 UOC196605:UOC196699 UXY196605:UXY196699 VHU196605:VHU196699 VRQ196605:VRQ196699 WBM196605:WBM196699 WLI196605:WLI196699 WVE196605:WVE196699 SHA983037:SHA983131 IS262141:IS262235 SO262141:SO262235 ACK262141:ACK262235 AMG262141:AMG262235 AWC262141:AWC262235 BFY262141:BFY262235 BPU262141:BPU262235 BZQ262141:BZQ262235 CJM262141:CJM262235 CTI262141:CTI262235 DDE262141:DDE262235 DNA262141:DNA262235 DWW262141:DWW262235 EGS262141:EGS262235 EQO262141:EQO262235 FAK262141:FAK262235 FKG262141:FKG262235 FUC262141:FUC262235 GDY262141:GDY262235 GNU262141:GNU262235 GXQ262141:GXQ262235 HHM262141:HHM262235 HRI262141:HRI262235 IBE262141:IBE262235 ILA262141:ILA262235 IUW262141:IUW262235 JES262141:JES262235 JOO262141:JOO262235 JYK262141:JYK262235 KIG262141:KIG262235 KSC262141:KSC262235 LBY262141:LBY262235 LLU262141:LLU262235 LVQ262141:LVQ262235 MFM262141:MFM262235 MPI262141:MPI262235 MZE262141:MZE262235 NJA262141:NJA262235 NSW262141:NSW262235 OCS262141:OCS262235 OMO262141:OMO262235 OWK262141:OWK262235 PGG262141:PGG262235 PQC262141:PQC262235 PZY262141:PZY262235 QJU262141:QJU262235 QTQ262141:QTQ262235 RDM262141:RDM262235 RNI262141:RNI262235 RXE262141:RXE262235 SHA262141:SHA262235 SQW262141:SQW262235 TAS262141:TAS262235 TKO262141:TKO262235 TUK262141:TUK262235 UEG262141:UEG262235 UOC262141:UOC262235 UXY262141:UXY262235 VHU262141:VHU262235 VRQ262141:VRQ262235 WBM262141:WBM262235 WLI262141:WLI262235 WVE262141:WVE262235 SQW983037:SQW983131 IS327677:IS327771 SO327677:SO327771 ACK327677:ACK327771 AMG327677:AMG327771 AWC327677:AWC327771 BFY327677:BFY327771 BPU327677:BPU327771 BZQ327677:BZQ327771 CJM327677:CJM327771 CTI327677:CTI327771 DDE327677:DDE327771 DNA327677:DNA327771 DWW327677:DWW327771 EGS327677:EGS327771 EQO327677:EQO327771 FAK327677:FAK327771 FKG327677:FKG327771 FUC327677:FUC327771 GDY327677:GDY327771 GNU327677:GNU327771 GXQ327677:GXQ327771 HHM327677:HHM327771 HRI327677:HRI327771 IBE327677:IBE327771 ILA327677:ILA327771 IUW327677:IUW327771 JES327677:JES327771 JOO327677:JOO327771 JYK327677:JYK327771 KIG327677:KIG327771 KSC327677:KSC327771 LBY327677:LBY327771 LLU327677:LLU327771 LVQ327677:LVQ327771 MFM327677:MFM327771 MPI327677:MPI327771 MZE327677:MZE327771 NJA327677:NJA327771 NSW327677:NSW327771 OCS327677:OCS327771 OMO327677:OMO327771 OWK327677:OWK327771 PGG327677:PGG327771 PQC327677:PQC327771 PZY327677:PZY327771 QJU327677:QJU327771 QTQ327677:QTQ327771 RDM327677:RDM327771 RNI327677:RNI327771 RXE327677:RXE327771 SHA327677:SHA327771 SQW327677:SQW327771 TAS327677:TAS327771 TKO327677:TKO327771 TUK327677:TUK327771 UEG327677:UEG327771 UOC327677:UOC327771 UXY327677:UXY327771 VHU327677:VHU327771 VRQ327677:VRQ327771 WBM327677:WBM327771 WLI327677:WLI327771 WVE327677:WVE327771 TAS983037:TAS983131 IS393213:IS393307 SO393213:SO393307 ACK393213:ACK393307 AMG393213:AMG393307 AWC393213:AWC393307 BFY393213:BFY393307 BPU393213:BPU393307 BZQ393213:BZQ393307 CJM393213:CJM393307 CTI393213:CTI393307 DDE393213:DDE393307 DNA393213:DNA393307 DWW393213:DWW393307 EGS393213:EGS393307 EQO393213:EQO393307 FAK393213:FAK393307 FKG393213:FKG393307 FUC393213:FUC393307 GDY393213:GDY393307 GNU393213:GNU393307 GXQ393213:GXQ393307 HHM393213:HHM393307 HRI393213:HRI393307 IBE393213:IBE393307 ILA393213:ILA393307 IUW393213:IUW393307 JES393213:JES393307 JOO393213:JOO393307 JYK393213:JYK393307 KIG393213:KIG393307 KSC393213:KSC393307 LBY393213:LBY393307 LLU393213:LLU393307 LVQ393213:LVQ393307 MFM393213:MFM393307 MPI393213:MPI393307 MZE393213:MZE393307 NJA393213:NJA393307 NSW393213:NSW393307 OCS393213:OCS393307 OMO393213:OMO393307 OWK393213:OWK393307 PGG393213:PGG393307 PQC393213:PQC393307 PZY393213:PZY393307 QJU393213:QJU393307 QTQ393213:QTQ393307 RDM393213:RDM393307 RNI393213:RNI393307 RXE393213:RXE393307 SHA393213:SHA393307 SQW393213:SQW393307 TAS393213:TAS393307 TKO393213:TKO393307 TUK393213:TUK393307 UEG393213:UEG393307 UOC393213:UOC393307 UXY393213:UXY393307 VHU393213:VHU393307 VRQ393213:VRQ393307 WBM393213:WBM393307 WLI393213:WLI393307 WVE393213:WVE393307 TKO983037:TKO983131 IS458749:IS458843 SO458749:SO458843 ACK458749:ACK458843 AMG458749:AMG458843 AWC458749:AWC458843 BFY458749:BFY458843 BPU458749:BPU458843 BZQ458749:BZQ458843 CJM458749:CJM458843 CTI458749:CTI458843 DDE458749:DDE458843 DNA458749:DNA458843 DWW458749:DWW458843 EGS458749:EGS458843 EQO458749:EQO458843 FAK458749:FAK458843 FKG458749:FKG458843 FUC458749:FUC458843 GDY458749:GDY458843 GNU458749:GNU458843 GXQ458749:GXQ458843 HHM458749:HHM458843 HRI458749:HRI458843 IBE458749:IBE458843 ILA458749:ILA458843 IUW458749:IUW458843 JES458749:JES458843 JOO458749:JOO458843 JYK458749:JYK458843 KIG458749:KIG458843 KSC458749:KSC458843 LBY458749:LBY458843 LLU458749:LLU458843 LVQ458749:LVQ458843 MFM458749:MFM458843 MPI458749:MPI458843 MZE458749:MZE458843 NJA458749:NJA458843 NSW458749:NSW458843 OCS458749:OCS458843 OMO458749:OMO458843 OWK458749:OWK458843 PGG458749:PGG458843 PQC458749:PQC458843 PZY458749:PZY458843 QJU458749:QJU458843 QTQ458749:QTQ458843 RDM458749:RDM458843 RNI458749:RNI458843 RXE458749:RXE458843 SHA458749:SHA458843 SQW458749:SQW458843 TAS458749:TAS458843 TKO458749:TKO458843 TUK458749:TUK458843 UEG458749:UEG458843 UOC458749:UOC458843 UXY458749:UXY458843 VHU458749:VHU458843 VRQ458749:VRQ458843 WBM458749:WBM458843 WLI458749:WLI458843 WVE458749:WVE458843 TUK983037:TUK983131 IS524285:IS524379 SO524285:SO524379 ACK524285:ACK524379 AMG524285:AMG524379 AWC524285:AWC524379 BFY524285:BFY524379 BPU524285:BPU524379 BZQ524285:BZQ524379 CJM524285:CJM524379 CTI524285:CTI524379 DDE524285:DDE524379 DNA524285:DNA524379 DWW524285:DWW524379 EGS524285:EGS524379 EQO524285:EQO524379 FAK524285:FAK524379 FKG524285:FKG524379 FUC524285:FUC524379 GDY524285:GDY524379 GNU524285:GNU524379 GXQ524285:GXQ524379 HHM524285:HHM524379 HRI524285:HRI524379 IBE524285:IBE524379 ILA524285:ILA524379 IUW524285:IUW524379 JES524285:JES524379 JOO524285:JOO524379 JYK524285:JYK524379 KIG524285:KIG524379 KSC524285:KSC524379 LBY524285:LBY524379 LLU524285:LLU524379 LVQ524285:LVQ524379 MFM524285:MFM524379 MPI524285:MPI524379 MZE524285:MZE524379 NJA524285:NJA524379 NSW524285:NSW524379 OCS524285:OCS524379 OMO524285:OMO524379 OWK524285:OWK524379 PGG524285:PGG524379 PQC524285:PQC524379 PZY524285:PZY524379 QJU524285:QJU524379 QTQ524285:QTQ524379 RDM524285:RDM524379 RNI524285:RNI524379 RXE524285:RXE524379 SHA524285:SHA524379 SQW524285:SQW524379 TAS524285:TAS524379 TKO524285:TKO524379 TUK524285:TUK524379 UEG524285:UEG524379 UOC524285:UOC524379 UXY524285:UXY524379 VHU524285:VHU524379 VRQ524285:VRQ524379 WBM524285:WBM524379 WLI524285:WLI524379 WVE524285:WVE524379 UEG983037:UEG983131 IS589821:IS589915 SO589821:SO589915 ACK589821:ACK589915 AMG589821:AMG589915 AWC589821:AWC589915 BFY589821:BFY589915 BPU589821:BPU589915 BZQ589821:BZQ589915 CJM589821:CJM589915 CTI589821:CTI589915 DDE589821:DDE589915 DNA589821:DNA589915 DWW589821:DWW589915 EGS589821:EGS589915 EQO589821:EQO589915 FAK589821:FAK589915 FKG589821:FKG589915 FUC589821:FUC589915 GDY589821:GDY589915 GNU589821:GNU589915 GXQ589821:GXQ589915 HHM589821:HHM589915 HRI589821:HRI589915 IBE589821:IBE589915 ILA589821:ILA589915 IUW589821:IUW589915 JES589821:JES589915 JOO589821:JOO589915 JYK589821:JYK589915 KIG589821:KIG589915 KSC589821:KSC589915 LBY589821:LBY589915 LLU589821:LLU589915 LVQ589821:LVQ589915 MFM589821:MFM589915 MPI589821:MPI589915 MZE589821:MZE589915 NJA589821:NJA589915 NSW589821:NSW589915 OCS589821:OCS589915 OMO589821:OMO589915 OWK589821:OWK589915 PGG589821:PGG589915 PQC589821:PQC589915 PZY589821:PZY589915 QJU589821:QJU589915 QTQ589821:QTQ589915 RDM589821:RDM589915 RNI589821:RNI589915 RXE589821:RXE589915 SHA589821:SHA589915 SQW589821:SQW589915 TAS589821:TAS589915 TKO589821:TKO589915 TUK589821:TUK589915 UEG589821:UEG589915 UOC589821:UOC589915 UXY589821:UXY589915 VHU589821:VHU589915 VRQ589821:VRQ589915 WBM589821:WBM589915 WLI589821:WLI589915 WVE589821:WVE589915 UOC983037:UOC983131 IS655357:IS655451 SO655357:SO655451 ACK655357:ACK655451 AMG655357:AMG655451 AWC655357:AWC655451 BFY655357:BFY655451 BPU655357:BPU655451 BZQ655357:BZQ655451 CJM655357:CJM655451 CTI655357:CTI655451 DDE655357:DDE655451 DNA655357:DNA655451 DWW655357:DWW655451 EGS655357:EGS655451 EQO655357:EQO655451 FAK655357:FAK655451 FKG655357:FKG655451 FUC655357:FUC655451 GDY655357:GDY655451 GNU655357:GNU655451 GXQ655357:GXQ655451 HHM655357:HHM655451 HRI655357:HRI655451 IBE655357:IBE655451 ILA655357:ILA655451 IUW655357:IUW655451 JES655357:JES655451 JOO655357:JOO655451 JYK655357:JYK655451 KIG655357:KIG655451 KSC655357:KSC655451 LBY655357:LBY655451 LLU655357:LLU655451 LVQ655357:LVQ655451 MFM655357:MFM655451 MPI655357:MPI655451 MZE655357:MZE655451 NJA655357:NJA655451 NSW655357:NSW655451 OCS655357:OCS655451 OMO655357:OMO655451 OWK655357:OWK655451 PGG655357:PGG655451 PQC655357:PQC655451 PZY655357:PZY655451 QJU655357:QJU655451 QTQ655357:QTQ655451 RDM655357:RDM655451 RNI655357:RNI655451 RXE655357:RXE655451 SHA655357:SHA655451 SQW655357:SQW655451 TAS655357:TAS655451 TKO655357:TKO655451 TUK655357:TUK655451 UEG655357:UEG655451 UOC655357:UOC655451 UXY655357:UXY655451 VHU655357:VHU655451 VRQ655357:VRQ655451 WBM655357:WBM655451 WLI655357:WLI655451 WVE655357:WVE655451 UXY983037:UXY983131 IS720893:IS720987 SO720893:SO720987 ACK720893:ACK720987 AMG720893:AMG720987 AWC720893:AWC720987 BFY720893:BFY720987 BPU720893:BPU720987 BZQ720893:BZQ720987 CJM720893:CJM720987 CTI720893:CTI720987 DDE720893:DDE720987 DNA720893:DNA720987 DWW720893:DWW720987 EGS720893:EGS720987 EQO720893:EQO720987 FAK720893:FAK720987 FKG720893:FKG720987 FUC720893:FUC720987 GDY720893:GDY720987 GNU720893:GNU720987 GXQ720893:GXQ720987 HHM720893:HHM720987 HRI720893:HRI720987 IBE720893:IBE720987 ILA720893:ILA720987 IUW720893:IUW720987 JES720893:JES720987 JOO720893:JOO720987 JYK720893:JYK720987 KIG720893:KIG720987 KSC720893:KSC720987 LBY720893:LBY720987 LLU720893:LLU720987 LVQ720893:LVQ720987 MFM720893:MFM720987 MPI720893:MPI720987 MZE720893:MZE720987 NJA720893:NJA720987 NSW720893:NSW720987 OCS720893:OCS720987 OMO720893:OMO720987 OWK720893:OWK720987 PGG720893:PGG720987 PQC720893:PQC720987 PZY720893:PZY720987 QJU720893:QJU720987 QTQ720893:QTQ720987 RDM720893:RDM720987 RNI720893:RNI720987 RXE720893:RXE720987 SHA720893:SHA720987 SQW720893:SQW720987 TAS720893:TAS720987 TKO720893:TKO720987 TUK720893:TUK720987 UEG720893:UEG720987 UOC720893:UOC720987 UXY720893:UXY720987 VHU720893:VHU720987 VRQ720893:VRQ720987 WBM720893:WBM720987 WLI720893:WLI720987 WVE720893:WVE720987 VHU983037:VHU983131 IS786429:IS786523 SO786429:SO786523 ACK786429:ACK786523 AMG786429:AMG786523 AWC786429:AWC786523 BFY786429:BFY786523 BPU786429:BPU786523 BZQ786429:BZQ786523 CJM786429:CJM786523 CTI786429:CTI786523 DDE786429:DDE786523 DNA786429:DNA786523 DWW786429:DWW786523 EGS786429:EGS786523 EQO786429:EQO786523 FAK786429:FAK786523 FKG786429:FKG786523 FUC786429:FUC786523 GDY786429:GDY786523 GNU786429:GNU786523 GXQ786429:GXQ786523 HHM786429:HHM786523 HRI786429:HRI786523 IBE786429:IBE786523 ILA786429:ILA786523 IUW786429:IUW786523 JES786429:JES786523 JOO786429:JOO786523 JYK786429:JYK786523 KIG786429:KIG786523 KSC786429:KSC786523 LBY786429:LBY786523 LLU786429:LLU786523 LVQ786429:LVQ786523 MFM786429:MFM786523 MPI786429:MPI786523 MZE786429:MZE786523 NJA786429:NJA786523 NSW786429:NSW786523 OCS786429:OCS786523 OMO786429:OMO786523 OWK786429:OWK786523 PGG786429:PGG786523 PQC786429:PQC786523 PZY786429:PZY786523 QJU786429:QJU786523 QTQ786429:QTQ786523 RDM786429:RDM786523 RNI786429:RNI786523 RXE786429:RXE786523 SHA786429:SHA786523 SQW786429:SQW786523 TAS786429:TAS786523 TKO786429:TKO786523 TUK786429:TUK786523 UEG786429:UEG786523 UOC786429:UOC786523 UXY786429:UXY786523 VHU786429:VHU786523 VRQ786429:VRQ786523 WBM786429:WBM786523 WLI786429:WLI786523 WVE786429:WVE786523 VRQ983037:VRQ983131 IS851965:IS852059 SO851965:SO852059 ACK851965:ACK852059 AMG851965:AMG852059 AWC851965:AWC852059 BFY851965:BFY852059 BPU851965:BPU852059 BZQ851965:BZQ852059 CJM851965:CJM852059 CTI851965:CTI852059 DDE851965:DDE852059 DNA851965:DNA852059 DWW851965:DWW852059 EGS851965:EGS852059 EQO851965:EQO852059 FAK851965:FAK852059 FKG851965:FKG852059 FUC851965:FUC852059 GDY851965:GDY852059 GNU851965:GNU852059 GXQ851965:GXQ852059 HHM851965:HHM852059 HRI851965:HRI852059 IBE851965:IBE852059 ILA851965:ILA852059 IUW851965:IUW852059 JES851965:JES852059 JOO851965:JOO852059 JYK851965:JYK852059 KIG851965:KIG852059 KSC851965:KSC852059 LBY851965:LBY852059 LLU851965:LLU852059 LVQ851965:LVQ852059 MFM851965:MFM852059 MPI851965:MPI852059 MZE851965:MZE852059 NJA851965:NJA852059 NSW851965:NSW852059 OCS851965:OCS852059 OMO851965:OMO852059 OWK851965:OWK852059 PGG851965:PGG852059 PQC851965:PQC852059 PZY851965:PZY852059 QJU851965:QJU852059 QTQ851965:QTQ852059 RDM851965:RDM852059 RNI851965:RNI852059 RXE851965:RXE852059 SHA851965:SHA852059 SQW851965:SQW852059 TAS851965:TAS852059 TKO851965:TKO852059 TUK851965:TUK852059 UEG851965:UEG852059 UOC851965:UOC852059 UXY851965:UXY852059 VHU851965:VHU852059 VRQ851965:VRQ852059 WBM851965:WBM852059 WLI851965:WLI852059 WVE851965:WVE852059 WBM983037:WBM983131 IS917501:IS917595 SO917501:SO917595 ACK917501:ACK917595 AMG917501:AMG917595 AWC917501:AWC917595 BFY917501:BFY917595 BPU917501:BPU917595 BZQ917501:BZQ917595 CJM917501:CJM917595 CTI917501:CTI917595 DDE917501:DDE917595 DNA917501:DNA917595 DWW917501:DWW917595 EGS917501:EGS917595 EQO917501:EQO917595 FAK917501:FAK917595 FKG917501:FKG917595 FUC917501:FUC917595 GDY917501:GDY917595 GNU917501:GNU917595 GXQ917501:GXQ917595 HHM917501:HHM917595 HRI917501:HRI917595 IBE917501:IBE917595 ILA917501:ILA917595 IUW917501:IUW917595 JES917501:JES917595 JOO917501:JOO917595 JYK917501:JYK917595 KIG917501:KIG917595 KSC917501:KSC917595 LBY917501:LBY917595 LLU917501:LLU917595 LVQ917501:LVQ917595 MFM917501:MFM917595 MPI917501:MPI917595 MZE917501:MZE917595 NJA917501:NJA917595 NSW917501:NSW917595 OCS917501:OCS917595 OMO917501:OMO917595 OWK917501:OWK917595 PGG917501:PGG917595 PQC917501:PQC917595 PZY917501:PZY917595 QJU917501:QJU917595 QTQ917501:QTQ917595 RDM917501:RDM917595 RNI917501:RNI917595 RXE917501:RXE917595 SHA917501:SHA917595 SQW917501:SQW917595 TAS917501:TAS917595 TKO917501:TKO917595 TUK917501:TUK917595 UEG917501:UEG917595 UOC917501:UOC917595 UXY917501:UXY917595 VHU917501:VHU917595 VRQ917501:VRQ917595 WBM917501:WBM917595 WLI917501:WLI917595 WVE917501:WVE917595 WLI983037:WLI983131 IS983037:IS983131 SO983037:SO983131 ACK983037:ACK983131 AMG983037:AMG983131 AWC983037:AWC983131 BFY983037:BFY983131 BPU983037:BPU983131 BZQ983037:BZQ983131 CJM983037:CJM983131 CTI983037:CTI983131 DDE983037:DDE983131 DNA983037:DNA983131 DWW983037:DWW983131 EGS983037:EGS983131 EQO983037:EQO983131 FAK983037:FAK983131 FKG983037:FKG983131 FUC983037:FUC983131 GDY983037:GDY983131 GNU983037:GNU983131 GXQ983037:GXQ983131 HHM983037:HHM983131 HRI983037:HRI983131 IBE983037:IBE983131 ILA983037:ILA983131 IUW983037:IUW983131 JES983037:JES983131 JOO983037:JOO983131 JYK983037:JYK983131 KIG983037:KIG983131 KSC983037:KSC983131 LBY983037:LBY983131 LLU983037:LLU983131 LVQ983037:LVQ983131 MFM983037:MFM983131 MPI983037:MPI983131 MZE983037:MZE983131 NJA983037:NJA983131 NSW983037:NSW983131 OCS983037:OCS983131 OMO983037:OMO983131 OWK983037:OWK983131 PGG983037:PGG983131 PQC983037:PQC983131 PZY983037:PZY983131 QJU983037:QJU983131 QTQ983037:QTQ983131 WVE8:WVE91 WLI8:WLI91 WBM8:WBM91 VRQ8:VRQ91 VHU8:VHU91 UXY8:UXY91 UOC8:UOC91 UEG8:UEG91 TUK8:TUK91 TKO8:TKO91 TAS8:TAS91 SQW8:SQW91 SHA8:SHA91 RXE8:RXE91 RNI8:RNI91 RDM8:RDM91 QTQ8:QTQ91 QJU8:QJU91 PZY8:PZY91 PQC8:PQC91 PGG8:PGG91 OWK8:OWK91 OMO8:OMO91 OCS8:OCS91 NSW8:NSW91 NJA8:NJA91 MZE8:MZE91 MPI8:MPI91 MFM8:MFM91 LVQ8:LVQ91 LLU8:LLU91 LBY8:LBY91 KSC8:KSC91 KIG8:KIG91 JYK8:JYK91 JOO8:JOO91 JES8:JES91 IUW8:IUW91 ILA8:ILA91 IBE8:IBE91 HRI8:HRI91 HHM8:HHM91 GXQ8:GXQ91 GNU8:GNU91 GDY8:GDY91 FUC8:FUC91 FKG8:FKG91 FAK8:FAK91 EQO8:EQO91 EGS8:EGS91 DWW8:DWW91 DNA8:DNA91 DDE8:DDE91 CTI8:CTI91 CJM8:CJM91 BZQ8:BZQ91 BPU8:BPU91 BFY8:BFY91 AWC8:AWC91 AMG8:AMG91 ACK8:ACK91 SO8:SO91 IS8:IS91" xr:uid="{00000000-0002-0000-0200-000001000000}">
      <formula1>-9.99999999999999E+30</formula1>
      <formula2>9.99999999999999E+31</formula2>
    </dataValidation>
  </dataValidations>
  <hyperlinks>
    <hyperlink ref="A3" location="Menu!A1" display="MENU" xr:uid="{00000000-0004-0000-0200-000000000000}"/>
  </hyperlinks>
  <pageMargins left="0.7" right="0.7" top="0.75" bottom="0.75" header="0.3" footer="0.3"/>
  <pageSetup paperSize="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G37"/>
  <sheetViews>
    <sheetView showGridLines="0" topLeftCell="C1" workbookViewId="0">
      <selection activeCell="H1" sqref="H1:N1048576"/>
    </sheetView>
  </sheetViews>
  <sheetFormatPr defaultColWidth="8.6640625" defaultRowHeight="14.4" x14ac:dyDescent="0.3"/>
  <cols>
    <col min="3" max="3" width="64.5546875" bestFit="1" customWidth="1"/>
    <col min="4" max="4" width="9.109375" customWidth="1"/>
    <col min="5" max="5" width="11.5546875" bestFit="1" customWidth="1"/>
    <col min="6" max="7" width="11.44140625" bestFit="1" customWidth="1"/>
  </cols>
  <sheetData>
    <row r="1" spans="1:7" ht="15" thickBot="1" x14ac:dyDescent="0.35">
      <c r="A1" s="9" t="s">
        <v>77</v>
      </c>
      <c r="C1" s="99" t="s">
        <v>1</v>
      </c>
      <c r="D1" s="2"/>
      <c r="E1" s="100" t="s">
        <v>2</v>
      </c>
      <c r="F1" s="100" t="s">
        <v>3</v>
      </c>
    </row>
    <row r="2" spans="1:7" ht="15" thickBot="1" x14ac:dyDescent="0.35">
      <c r="C2" s="106" t="s">
        <v>4</v>
      </c>
      <c r="E2" s="134">
        <v>0.24</v>
      </c>
      <c r="F2" s="134">
        <v>0.04</v>
      </c>
      <c r="G2" s="59"/>
    </row>
    <row r="3" spans="1:7" x14ac:dyDescent="0.3">
      <c r="C3" s="106" t="s">
        <v>5</v>
      </c>
      <c r="E3" s="133">
        <v>0.22</v>
      </c>
      <c r="F3" s="59"/>
      <c r="G3" s="59"/>
    </row>
    <row r="4" spans="1:7" x14ac:dyDescent="0.3">
      <c r="C4" s="59"/>
      <c r="D4" s="59"/>
      <c r="E4" s="59"/>
      <c r="F4" s="59"/>
      <c r="G4" s="59"/>
    </row>
    <row r="5" spans="1:7" x14ac:dyDescent="0.3">
      <c r="C5" s="59"/>
      <c r="D5" s="59"/>
      <c r="E5" s="59"/>
      <c r="F5" s="59"/>
      <c r="G5" s="59"/>
    </row>
    <row r="6" spans="1:7" x14ac:dyDescent="0.3">
      <c r="E6" s="59"/>
      <c r="F6" s="59"/>
      <c r="G6" s="59"/>
    </row>
    <row r="7" spans="1:7" s="69" customFormat="1" x14ac:dyDescent="0.3"/>
    <row r="8" spans="1:7" ht="15" thickBot="1" x14ac:dyDescent="0.35">
      <c r="C8" s="99" t="s">
        <v>6</v>
      </c>
      <c r="D8" s="2"/>
      <c r="E8" s="96">
        <f>+Menu!C4+Menu!C2</f>
        <v>2018</v>
      </c>
      <c r="F8" s="96">
        <f>+E8+1</f>
        <v>2019</v>
      </c>
      <c r="G8" s="96">
        <f t="shared" ref="G8" si="0">+F8+1</f>
        <v>2020</v>
      </c>
    </row>
    <row r="9" spans="1:7" x14ac:dyDescent="0.3">
      <c r="C9" s="106" t="s">
        <v>7</v>
      </c>
      <c r="E9" s="119">
        <v>0.05</v>
      </c>
      <c r="F9" s="120">
        <v>0.05</v>
      </c>
      <c r="G9" s="120">
        <v>0.05</v>
      </c>
    </row>
    <row r="10" spans="1:7" x14ac:dyDescent="0.3">
      <c r="C10" s="106" t="s">
        <v>8</v>
      </c>
      <c r="E10" s="121">
        <v>30</v>
      </c>
      <c r="F10" s="122">
        <v>30</v>
      </c>
      <c r="G10" s="122">
        <v>30</v>
      </c>
    </row>
    <row r="11" spans="1:7" ht="15" thickBot="1" x14ac:dyDescent="0.35">
      <c r="C11" s="106" t="s">
        <v>995</v>
      </c>
      <c r="E11" s="123"/>
      <c r="F11" s="124"/>
      <c r="G11" s="124"/>
    </row>
    <row r="12" spans="1:7" x14ac:dyDescent="0.3">
      <c r="E12" s="59"/>
      <c r="F12" s="59"/>
      <c r="G12" s="59"/>
    </row>
    <row r="13" spans="1:7" ht="15" thickBot="1" x14ac:dyDescent="0.35">
      <c r="C13" s="99" t="s">
        <v>9</v>
      </c>
      <c r="D13" s="2"/>
      <c r="E13" s="157">
        <f>+E8</f>
        <v>2018</v>
      </c>
      <c r="F13" s="157">
        <f t="shared" ref="F13:G13" si="1">+F8</f>
        <v>2019</v>
      </c>
      <c r="G13" s="157">
        <f t="shared" si="1"/>
        <v>2020</v>
      </c>
    </row>
    <row r="14" spans="1:7" x14ac:dyDescent="0.3">
      <c r="C14" s="106" t="s">
        <v>996</v>
      </c>
      <c r="E14" s="119">
        <v>0.3</v>
      </c>
      <c r="F14" s="120">
        <v>0.3</v>
      </c>
      <c r="G14" s="120">
        <v>0.3</v>
      </c>
    </row>
    <row r="15" spans="1:7" x14ac:dyDescent="0.3">
      <c r="C15" s="106" t="s">
        <v>10</v>
      </c>
      <c r="E15" s="121">
        <v>30</v>
      </c>
      <c r="F15" s="122">
        <v>30</v>
      </c>
      <c r="G15" s="122">
        <v>30</v>
      </c>
    </row>
    <row r="16" spans="1:7" ht="15" thickBot="1" x14ac:dyDescent="0.35">
      <c r="C16" s="106" t="s">
        <v>997</v>
      </c>
      <c r="E16" s="123">
        <v>129000</v>
      </c>
      <c r="F16" s="124">
        <v>129000</v>
      </c>
      <c r="G16" s="124">
        <v>129000</v>
      </c>
    </row>
    <row r="17" spans="3:7" ht="15" thickBot="1" x14ac:dyDescent="0.35">
      <c r="E17" s="59"/>
      <c r="F17" s="59"/>
      <c r="G17" s="59"/>
    </row>
    <row r="18" spans="3:7" x14ac:dyDescent="0.3">
      <c r="C18" s="106" t="s">
        <v>11</v>
      </c>
      <c r="E18" s="119">
        <v>0.1</v>
      </c>
      <c r="F18" s="120"/>
      <c r="G18" s="120"/>
    </row>
    <row r="19" spans="3:7" ht="15" thickBot="1" x14ac:dyDescent="0.35">
      <c r="C19" s="106" t="s">
        <v>12</v>
      </c>
      <c r="E19" s="125">
        <v>0.01</v>
      </c>
      <c r="F19" s="126"/>
      <c r="G19" s="126"/>
    </row>
    <row r="20" spans="3:7" x14ac:dyDescent="0.3">
      <c r="E20" s="59"/>
      <c r="F20" s="59"/>
      <c r="G20" s="59"/>
    </row>
    <row r="21" spans="3:7" x14ac:dyDescent="0.3">
      <c r="E21" s="59"/>
      <c r="F21" s="59"/>
      <c r="G21" s="59"/>
    </row>
    <row r="22" spans="3:7" x14ac:dyDescent="0.3">
      <c r="E22" s="59"/>
      <c r="F22" s="59"/>
      <c r="G22" s="59"/>
    </row>
    <row r="23" spans="3:7" ht="15" thickBot="1" x14ac:dyDescent="0.35">
      <c r="C23" s="99" t="s">
        <v>13</v>
      </c>
      <c r="D23" s="2"/>
      <c r="E23" s="96">
        <f>+E8</f>
        <v>2018</v>
      </c>
      <c r="F23" s="96">
        <f t="shared" ref="F23:G23" si="2">+F8</f>
        <v>2019</v>
      </c>
      <c r="G23" s="96">
        <f t="shared" si="2"/>
        <v>2020</v>
      </c>
    </row>
    <row r="24" spans="3:7" x14ac:dyDescent="0.3">
      <c r="C24" s="106" t="s">
        <v>14</v>
      </c>
      <c r="E24" s="127"/>
      <c r="F24" s="128"/>
      <c r="G24" s="128"/>
    </row>
    <row r="25" spans="3:7" x14ac:dyDescent="0.3">
      <c r="C25" s="106" t="s">
        <v>15</v>
      </c>
      <c r="E25" s="129"/>
      <c r="F25" s="130"/>
      <c r="G25" s="130"/>
    </row>
    <row r="26" spans="3:7" ht="15" thickBot="1" x14ac:dyDescent="0.35">
      <c r="C26" s="106" t="s">
        <v>16</v>
      </c>
      <c r="E26" s="131"/>
      <c r="F26" s="132"/>
      <c r="G26" s="132"/>
    </row>
    <row r="27" spans="3:7" x14ac:dyDescent="0.3">
      <c r="E27" s="59"/>
      <c r="F27" s="59"/>
      <c r="G27" s="59"/>
    </row>
    <row r="28" spans="3:7" ht="15" thickBot="1" x14ac:dyDescent="0.35">
      <c r="C28" s="99" t="s">
        <v>17</v>
      </c>
      <c r="D28" s="2"/>
      <c r="E28" s="96">
        <f>+E8</f>
        <v>2018</v>
      </c>
      <c r="F28" s="96">
        <f t="shared" ref="F28:G28" si="3">+F8</f>
        <v>2019</v>
      </c>
      <c r="G28" s="96">
        <f t="shared" si="3"/>
        <v>2020</v>
      </c>
    </row>
    <row r="29" spans="3:7" x14ac:dyDescent="0.3">
      <c r="C29" s="106" t="s">
        <v>18</v>
      </c>
      <c r="E29" s="127"/>
      <c r="F29" s="128"/>
      <c r="G29" s="128"/>
    </row>
    <row r="30" spans="3:7" x14ac:dyDescent="0.3">
      <c r="C30" s="106" t="s">
        <v>19</v>
      </c>
      <c r="E30" s="129"/>
      <c r="F30" s="130"/>
      <c r="G30" s="130"/>
    </row>
    <row r="31" spans="3:7" ht="15" thickBot="1" x14ac:dyDescent="0.35">
      <c r="C31" s="106" t="s">
        <v>20</v>
      </c>
      <c r="E31" s="131"/>
      <c r="F31" s="132"/>
      <c r="G31" s="132"/>
    </row>
    <row r="34" spans="3:7" x14ac:dyDescent="0.3">
      <c r="C34" s="99" t="s">
        <v>1085</v>
      </c>
      <c r="E34" s="164">
        <f>+E8</f>
        <v>2018</v>
      </c>
      <c r="F34" s="164">
        <f t="shared" ref="F34:G34" si="4">+F8</f>
        <v>2019</v>
      </c>
      <c r="G34" s="164">
        <f t="shared" si="4"/>
        <v>2020</v>
      </c>
    </row>
    <row r="35" spans="3:7" ht="15" thickBot="1" x14ac:dyDescent="0.35">
      <c r="C35" t="s">
        <v>1086</v>
      </c>
      <c r="E35" s="168">
        <f>+'CE Previsionale'!F44</f>
        <v>59647.351511999965</v>
      </c>
      <c r="F35" s="168">
        <f>+'CE Previsionale'!G44</f>
        <v>72703.988011199981</v>
      </c>
      <c r="G35" s="168">
        <f>+'CE Previsionale'!H44</f>
        <v>86413.456335360024</v>
      </c>
    </row>
    <row r="36" spans="3:7" ht="15" thickBot="1" x14ac:dyDescent="0.35">
      <c r="C36" t="s">
        <v>1087</v>
      </c>
      <c r="E36" s="169">
        <v>0.2</v>
      </c>
      <c r="F36" s="170">
        <v>0.2</v>
      </c>
      <c r="G36" s="170"/>
    </row>
    <row r="37" spans="3:7" x14ac:dyDescent="0.3">
      <c r="C37" t="s">
        <v>1088</v>
      </c>
      <c r="E37" s="167">
        <f>+IF(E35&lt;0,0,E36*E35)</f>
        <v>11929.470302399994</v>
      </c>
      <c r="F37" s="167">
        <f t="shared" ref="F37:G37" si="5">+IF(F35&lt;0,0,F36*F35)</f>
        <v>14540.797602239996</v>
      </c>
      <c r="G37" s="167">
        <f t="shared" si="5"/>
        <v>0</v>
      </c>
    </row>
  </sheetData>
  <conditionalFormatting sqref="E9:G9">
    <cfRule type="expression" dxfId="38" priority="42" stopIfTrue="1">
      <formula>ABS(SUM(E9)-SUM(#REF!))&gt;=1</formula>
    </cfRule>
  </conditionalFormatting>
  <conditionalFormatting sqref="E10:G10">
    <cfRule type="expression" dxfId="37" priority="41" stopIfTrue="1">
      <formula>ABS(SUM(E10)-SUM(#REF!))&gt;=1</formula>
    </cfRule>
  </conditionalFormatting>
  <conditionalFormatting sqref="E15">
    <cfRule type="expression" dxfId="36" priority="37" stopIfTrue="1">
      <formula>ABS(SUM(E15)-SUM(#REF!))&gt;=1</formula>
    </cfRule>
  </conditionalFormatting>
  <conditionalFormatting sqref="E18:G19">
    <cfRule type="expression" dxfId="35" priority="36" stopIfTrue="1">
      <formula>ABS(SUM(E18)-SUM(#REF!))&gt;=1</formula>
    </cfRule>
  </conditionalFormatting>
  <conditionalFormatting sqref="E24:E26 F25:G26">
    <cfRule type="expression" dxfId="34" priority="31" stopIfTrue="1">
      <formula>ABS(SUM(E24)-SUM(#REF!))&gt;=1</formula>
    </cfRule>
  </conditionalFormatting>
  <conditionalFormatting sqref="E2:F2">
    <cfRule type="expression" dxfId="33" priority="24" stopIfTrue="1">
      <formula>ABS(SUM(E2)-SUM(#REF!))&gt;=1</formula>
    </cfRule>
  </conditionalFormatting>
  <conditionalFormatting sqref="E3">
    <cfRule type="expression" dxfId="32" priority="23" stopIfTrue="1">
      <formula>ABS(SUM(E3)-SUM(#REF!))&gt;=1</formula>
    </cfRule>
  </conditionalFormatting>
  <conditionalFormatting sqref="F24:G24">
    <cfRule type="expression" dxfId="31" priority="10" stopIfTrue="1">
      <formula>ABS(SUM(F24)-SUM(#REF!))&gt;=1</formula>
    </cfRule>
  </conditionalFormatting>
  <conditionalFormatting sqref="E16:G16">
    <cfRule type="expression" dxfId="30" priority="7" stopIfTrue="1">
      <formula>ABS(SUM(E16)-SUM(#REF!))&gt;=1</formula>
    </cfRule>
  </conditionalFormatting>
  <conditionalFormatting sqref="E11:G11">
    <cfRule type="expression" dxfId="29" priority="6" stopIfTrue="1">
      <formula>ABS(SUM(E11)-SUM(#REF!))&gt;=1</formula>
    </cfRule>
  </conditionalFormatting>
  <conditionalFormatting sqref="E29:E31 F30:G31">
    <cfRule type="expression" dxfId="28" priority="5" stopIfTrue="1">
      <formula>ABS(SUM(E29)-SUM(#REF!))&gt;=1</formula>
    </cfRule>
  </conditionalFormatting>
  <conditionalFormatting sqref="F29:G29">
    <cfRule type="expression" dxfId="27" priority="4" stopIfTrue="1">
      <formula>ABS(SUM(F29)-SUM(#REF!))&gt;=1</formula>
    </cfRule>
  </conditionalFormatting>
  <conditionalFormatting sqref="F15:G15">
    <cfRule type="expression" dxfId="26" priority="3" stopIfTrue="1">
      <formula>ABS(SUM(F15)-SUM(#REF!))&gt;=1</formula>
    </cfRule>
  </conditionalFormatting>
  <conditionalFormatting sqref="E14:G14">
    <cfRule type="expression" dxfId="25" priority="2" stopIfTrue="1">
      <formula>ABS(SUM(E14)-SUM(#REF!))&gt;=1</formula>
    </cfRule>
  </conditionalFormatting>
  <conditionalFormatting sqref="E36:G36">
    <cfRule type="expression" dxfId="24" priority="1" stopIfTrue="1">
      <formula>ABS(SUM(E36)-SUM(#REF!))&gt;=1</formula>
    </cfRule>
  </conditionalFormatting>
  <hyperlinks>
    <hyperlink ref="A1" location="Menu!A1" display="MENU" xr:uid="{00000000-0004-0000-0300-000000000000}"/>
  </hyperlinks>
  <pageMargins left="0.7" right="0.7" top="0.75" bottom="0.75" header="0.3" footer="0.3"/>
  <pageSetup paperSize="9" orientation="portrait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19"/>
  <sheetViews>
    <sheetView showGridLines="0" workbookViewId="0">
      <selection activeCell="H1" sqref="H1:N1048576"/>
    </sheetView>
  </sheetViews>
  <sheetFormatPr defaultColWidth="8.6640625" defaultRowHeight="14.4" x14ac:dyDescent="0.3"/>
  <cols>
    <col min="2" max="2" width="43" bestFit="1" customWidth="1"/>
    <col min="3" max="3" width="17.6640625" customWidth="1"/>
    <col min="4" max="4" width="24.6640625" bestFit="1" customWidth="1"/>
    <col min="5" max="5" width="9.33203125" bestFit="1" customWidth="1"/>
    <col min="6" max="7" width="9" bestFit="1" customWidth="1"/>
  </cols>
  <sheetData>
    <row r="1" spans="1:8" x14ac:dyDescent="0.3">
      <c r="A1" s="9" t="s">
        <v>77</v>
      </c>
    </row>
    <row r="3" spans="1:8" x14ac:dyDescent="0.3">
      <c r="B3" s="67"/>
      <c r="C3" s="67"/>
    </row>
    <row r="4" spans="1:8" ht="15" thickBot="1" x14ac:dyDescent="0.35">
      <c r="C4" s="100">
        <f>+E4-1</f>
        <v>2017</v>
      </c>
      <c r="D4" s="82"/>
      <c r="E4" s="96">
        <f>+'Scheda Inv'!D14</f>
        <v>2018</v>
      </c>
      <c r="F4" s="96">
        <f>+'Scheda Inv'!E14</f>
        <v>2019</v>
      </c>
      <c r="G4" s="96">
        <f>+'Scheda Inv'!F14</f>
        <v>2020</v>
      </c>
    </row>
    <row r="5" spans="1:8" x14ac:dyDescent="0.3">
      <c r="B5" s="106" t="s">
        <v>21</v>
      </c>
      <c r="C5" s="107">
        <f>+'SP Previsionale'!G50</f>
        <v>0</v>
      </c>
      <c r="D5" s="106" t="s">
        <v>22</v>
      </c>
      <c r="E5" s="90"/>
      <c r="F5" s="91"/>
      <c r="G5" s="91"/>
      <c r="H5" s="149">
        <v>50000</v>
      </c>
    </row>
    <row r="6" spans="1:8" ht="15" thickBot="1" x14ac:dyDescent="0.35">
      <c r="C6" s="83"/>
      <c r="D6" s="106" t="s">
        <v>23</v>
      </c>
      <c r="E6" s="94"/>
      <c r="F6" s="95"/>
      <c r="G6" s="95"/>
      <c r="H6" s="149">
        <v>1000</v>
      </c>
    </row>
    <row r="7" spans="1:8" x14ac:dyDescent="0.3">
      <c r="C7" s="83"/>
    </row>
    <row r="8" spans="1:8" ht="15" thickBot="1" x14ac:dyDescent="0.35">
      <c r="C8" s="83"/>
    </row>
    <row r="9" spans="1:8" x14ac:dyDescent="0.3">
      <c r="B9" s="106" t="s">
        <v>24</v>
      </c>
      <c r="C9" s="107">
        <f>+'SP Previsionale'!G51</f>
        <v>15296.07</v>
      </c>
      <c r="D9" s="106" t="s">
        <v>1002</v>
      </c>
      <c r="E9" s="90"/>
      <c r="F9" s="91"/>
      <c r="G9" s="91"/>
    </row>
    <row r="10" spans="1:8" x14ac:dyDescent="0.3">
      <c r="B10" s="106" t="s">
        <v>25</v>
      </c>
      <c r="C10" s="107">
        <f>+'SP Previsionale'!G52</f>
        <v>0</v>
      </c>
      <c r="D10" s="106" t="s">
        <v>1002</v>
      </c>
      <c r="E10" s="92"/>
      <c r="F10" s="93"/>
      <c r="G10" s="93"/>
    </row>
    <row r="11" spans="1:8" x14ac:dyDescent="0.3">
      <c r="B11" s="106" t="s">
        <v>26</v>
      </c>
      <c r="C11" s="107">
        <f>+'SP Previsionale'!G53</f>
        <v>0</v>
      </c>
      <c r="D11" s="106" t="s">
        <v>1003</v>
      </c>
      <c r="E11" s="92"/>
      <c r="F11" s="93"/>
      <c r="G11" s="93"/>
    </row>
    <row r="12" spans="1:8" ht="15" thickBot="1" x14ac:dyDescent="0.35">
      <c r="B12" s="106" t="s">
        <v>27</v>
      </c>
      <c r="C12" s="107">
        <f>+'SP Previsionale'!G54</f>
        <v>0</v>
      </c>
      <c r="D12" s="106" t="s">
        <v>1003</v>
      </c>
      <c r="E12" s="94"/>
      <c r="F12" s="95"/>
      <c r="G12" s="95"/>
    </row>
    <row r="13" spans="1:8" ht="15" thickBot="1" x14ac:dyDescent="0.35">
      <c r="C13" s="84"/>
    </row>
    <row r="14" spans="1:8" x14ac:dyDescent="0.3">
      <c r="B14" s="106" t="s">
        <v>999</v>
      </c>
      <c r="C14" s="107">
        <f>+'SP Previsionale'!G41</f>
        <v>201779.33</v>
      </c>
      <c r="D14" s="106" t="s">
        <v>1003</v>
      </c>
      <c r="E14" s="90"/>
      <c r="F14" s="91"/>
      <c r="G14" s="91"/>
    </row>
    <row r="15" spans="1:8" x14ac:dyDescent="0.3">
      <c r="B15" s="106" t="s">
        <v>28</v>
      </c>
      <c r="C15" s="107">
        <f>+'SP Previsionale'!G42</f>
        <v>3624</v>
      </c>
      <c r="D15" s="106" t="s">
        <v>1003</v>
      </c>
      <c r="E15" s="92"/>
      <c r="F15" s="93"/>
      <c r="G15" s="93"/>
    </row>
    <row r="16" spans="1:8" x14ac:dyDescent="0.3">
      <c r="B16" s="106" t="s">
        <v>29</v>
      </c>
      <c r="C16" s="107">
        <f>+'SP Previsionale'!G43</f>
        <v>8554.7200000000012</v>
      </c>
      <c r="D16" s="106" t="s">
        <v>1003</v>
      </c>
      <c r="E16" s="92"/>
      <c r="F16" s="93"/>
      <c r="G16" s="93"/>
    </row>
    <row r="17" spans="2:7" x14ac:dyDescent="0.3">
      <c r="B17" s="106" t="s">
        <v>30</v>
      </c>
      <c r="C17" s="107">
        <f>+'SP Previsionale'!G44</f>
        <v>1192949.8299999998</v>
      </c>
      <c r="D17" s="106" t="s">
        <v>1003</v>
      </c>
      <c r="E17" s="92"/>
      <c r="F17" s="93"/>
      <c r="G17" s="93"/>
    </row>
    <row r="18" spans="2:7" ht="15" thickBot="1" x14ac:dyDescent="0.35">
      <c r="B18" s="106" t="s">
        <v>31</v>
      </c>
      <c r="C18" s="107">
        <f>+'SP Previsionale'!G45</f>
        <v>0</v>
      </c>
      <c r="D18" s="106" t="s">
        <v>1003</v>
      </c>
      <c r="E18" s="94"/>
      <c r="F18" s="95"/>
      <c r="G18" s="95"/>
    </row>
    <row r="19" spans="2:7" x14ac:dyDescent="0.3">
      <c r="C19" s="83"/>
    </row>
  </sheetData>
  <conditionalFormatting sqref="E5:H6">
    <cfRule type="expression" dxfId="23" priority="5" stopIfTrue="1">
      <formula>ABS(SUM(E5)-SUM(#REF!))&gt;=1</formula>
    </cfRule>
  </conditionalFormatting>
  <conditionalFormatting sqref="E9:G9">
    <cfRule type="expression" dxfId="22" priority="4" stopIfTrue="1">
      <formula>ABS(SUM(E9)-SUM(#REF!))&gt;=1</formula>
    </cfRule>
  </conditionalFormatting>
  <conditionalFormatting sqref="E10:G12">
    <cfRule type="expression" dxfId="21" priority="3" stopIfTrue="1">
      <formula>ABS(SUM(E10)-SUM(#REF!))&gt;=1</formula>
    </cfRule>
  </conditionalFormatting>
  <conditionalFormatting sqref="E15:G18">
    <cfRule type="expression" dxfId="20" priority="2" stopIfTrue="1">
      <formula>ABS(SUM(E15)-SUM(#REF!))&gt;=1</formula>
    </cfRule>
  </conditionalFormatting>
  <conditionalFormatting sqref="E14:G14">
    <cfRule type="expression" dxfId="19" priority="1" stopIfTrue="1">
      <formula>ABS(SUM(E14)-SUM(#REF!))&gt;=1</formula>
    </cfRule>
  </conditionalFormatting>
  <hyperlinks>
    <hyperlink ref="A1" location="Menu!A1" display="MENU" xr:uid="{00000000-0004-0000-0400-000000000000}"/>
  </hyperlink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G10"/>
  <sheetViews>
    <sheetView showGridLines="0" workbookViewId="0">
      <selection activeCell="H1" sqref="H1:N1048576"/>
    </sheetView>
  </sheetViews>
  <sheetFormatPr defaultColWidth="8.6640625" defaultRowHeight="14.4" x14ac:dyDescent="0.3"/>
  <cols>
    <col min="2" max="2" width="41.88671875" bestFit="1" customWidth="1"/>
    <col min="3" max="3" width="17.6640625" customWidth="1"/>
    <col min="4" max="4" width="22.33203125" bestFit="1" customWidth="1"/>
  </cols>
  <sheetData>
    <row r="1" spans="1:7" x14ac:dyDescent="0.3">
      <c r="A1" s="9" t="s">
        <v>77</v>
      </c>
    </row>
    <row r="3" spans="1:7" x14ac:dyDescent="0.3">
      <c r="B3" s="67"/>
      <c r="C3" s="67"/>
    </row>
    <row r="4" spans="1:7" x14ac:dyDescent="0.3">
      <c r="C4" s="100">
        <f>+E4-1</f>
        <v>2017</v>
      </c>
      <c r="D4" s="85"/>
      <c r="E4" s="96">
        <f>+'Scheda Inv'!D14</f>
        <v>2018</v>
      </c>
      <c r="F4" s="96">
        <f>+'Scheda Inv'!E14</f>
        <v>2019</v>
      </c>
      <c r="G4" s="96">
        <f>+'Scheda Inv'!F14</f>
        <v>2020</v>
      </c>
    </row>
    <row r="5" spans="1:7" ht="15" thickBot="1" x14ac:dyDescent="0.35"/>
    <row r="6" spans="1:7" x14ac:dyDescent="0.3">
      <c r="B6" s="106" t="s">
        <v>32</v>
      </c>
      <c r="C6" s="107">
        <f>+'SP Previsionale'!G8</f>
        <v>30556.86</v>
      </c>
      <c r="D6" s="106" t="s">
        <v>1001</v>
      </c>
      <c r="E6" s="90"/>
      <c r="F6" s="91"/>
      <c r="G6" s="91"/>
    </row>
    <row r="7" spans="1:7" x14ac:dyDescent="0.3">
      <c r="B7" s="106" t="s">
        <v>33</v>
      </c>
      <c r="C7" s="107">
        <f>+'SP Previsionale'!G9</f>
        <v>1403.8</v>
      </c>
      <c r="D7" s="106" t="s">
        <v>1001</v>
      </c>
      <c r="E7" s="92"/>
      <c r="F7" s="93"/>
      <c r="G7" s="93"/>
    </row>
    <row r="8" spans="1:7" x14ac:dyDescent="0.3">
      <c r="B8" s="106" t="s">
        <v>34</v>
      </c>
      <c r="C8" s="107">
        <f>+'SP Previsionale'!G10</f>
        <v>355.07</v>
      </c>
      <c r="D8" s="106" t="s">
        <v>1001</v>
      </c>
      <c r="E8" s="92"/>
      <c r="F8" s="93"/>
      <c r="G8" s="93"/>
    </row>
    <row r="9" spans="1:7" ht="15" thickBot="1" x14ac:dyDescent="0.35">
      <c r="B9" s="106" t="s">
        <v>35</v>
      </c>
      <c r="C9" s="107">
        <f>+'SP Previsionale'!G11</f>
        <v>840700.39</v>
      </c>
      <c r="D9" s="106" t="s">
        <v>1001</v>
      </c>
      <c r="E9" s="94"/>
      <c r="F9" s="95"/>
      <c r="G9" s="95"/>
    </row>
    <row r="10" spans="1:7" x14ac:dyDescent="0.3">
      <c r="C10" s="62"/>
    </row>
  </sheetData>
  <conditionalFormatting sqref="E6:G9">
    <cfRule type="expression" dxfId="18" priority="1" stopIfTrue="1">
      <formula>ABS(SUM(E6)-SUM(#REF!))&gt;=1</formula>
    </cfRule>
  </conditionalFormatting>
  <hyperlinks>
    <hyperlink ref="A1" location="Menu!A1" display="MENU" xr:uid="{00000000-0004-0000-0500-000000000000}"/>
  </hyperlink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193"/>
  <sheetViews>
    <sheetView showGridLines="0" workbookViewId="0">
      <selection activeCell="G16" sqref="G1:M1048576"/>
    </sheetView>
  </sheetViews>
  <sheetFormatPr defaultColWidth="8.6640625" defaultRowHeight="14.4" x14ac:dyDescent="0.3"/>
  <cols>
    <col min="2" max="2" width="35.44140625" bestFit="1" customWidth="1"/>
    <col min="3" max="3" width="23" bestFit="1" customWidth="1"/>
    <col min="4" max="4" width="29.44140625" bestFit="1" customWidth="1"/>
    <col min="5" max="6" width="9.44140625" bestFit="1" customWidth="1"/>
  </cols>
  <sheetData>
    <row r="1" spans="1:6" x14ac:dyDescent="0.3">
      <c r="A1" s="9" t="s">
        <v>77</v>
      </c>
      <c r="B1" s="100" t="s">
        <v>927</v>
      </c>
    </row>
    <row r="3" spans="1:6" ht="15" thickBot="1" x14ac:dyDescent="0.35">
      <c r="B3" s="100" t="s">
        <v>36</v>
      </c>
      <c r="C3" s="100" t="s">
        <v>37</v>
      </c>
      <c r="D3" s="100" t="s">
        <v>38</v>
      </c>
    </row>
    <row r="4" spans="1:6" x14ac:dyDescent="0.3">
      <c r="B4" s="106" t="s">
        <v>39</v>
      </c>
      <c r="C4" s="107">
        <f>+'SP Previsionale'!G19</f>
        <v>0</v>
      </c>
      <c r="D4" s="108">
        <v>10</v>
      </c>
    </row>
    <row r="5" spans="1:6" x14ac:dyDescent="0.3">
      <c r="B5" s="106" t="s">
        <v>40</v>
      </c>
      <c r="C5" s="107">
        <f>+'SP Previsionale'!G21</f>
        <v>4860.2199999999993</v>
      </c>
      <c r="D5" s="109">
        <v>10</v>
      </c>
    </row>
    <row r="6" spans="1:6" x14ac:dyDescent="0.3">
      <c r="B6" s="106" t="s">
        <v>41</v>
      </c>
      <c r="C6" s="107">
        <f>+'SP Previsionale'!G22</f>
        <v>0</v>
      </c>
      <c r="D6" s="109">
        <v>10</v>
      </c>
    </row>
    <row r="7" spans="1:6" ht="15" thickBot="1" x14ac:dyDescent="0.35">
      <c r="B7" s="106" t="s">
        <v>42</v>
      </c>
      <c r="C7" s="107">
        <f>+'SP Previsionale'!G23</f>
        <v>12561.549999999996</v>
      </c>
      <c r="D7" s="110">
        <v>10</v>
      </c>
    </row>
    <row r="9" spans="1:6" ht="15" thickBot="1" x14ac:dyDescent="0.35">
      <c r="B9" s="2" t="s">
        <v>43</v>
      </c>
      <c r="C9" s="2" t="s">
        <v>37</v>
      </c>
      <c r="D9" s="61" t="s">
        <v>38</v>
      </c>
    </row>
    <row r="10" spans="1:6" x14ac:dyDescent="0.3">
      <c r="B10" s="106" t="s">
        <v>44</v>
      </c>
      <c r="C10" s="107">
        <f>+'SP Previsionale'!G27</f>
        <v>0</v>
      </c>
      <c r="D10" s="108">
        <v>10</v>
      </c>
    </row>
    <row r="11" spans="1:6" x14ac:dyDescent="0.3">
      <c r="B11" s="106" t="s">
        <v>45</v>
      </c>
      <c r="C11" s="107"/>
      <c r="D11" s="109">
        <v>10</v>
      </c>
    </row>
    <row r="12" spans="1:6" x14ac:dyDescent="0.3">
      <c r="B12" s="106" t="s">
        <v>46</v>
      </c>
      <c r="C12" s="107">
        <f>+'SP Previsionale'!G29</f>
        <v>193091.14</v>
      </c>
      <c r="D12" s="109">
        <v>10</v>
      </c>
    </row>
    <row r="14" spans="1:6" x14ac:dyDescent="0.3">
      <c r="D14" s="100">
        <f>+'CE Previsionale'!F2</f>
        <v>2018</v>
      </c>
      <c r="E14" s="100">
        <f>+'CE Previsionale'!G2</f>
        <v>2019</v>
      </c>
      <c r="F14" s="100">
        <f>+'CE Previsionale'!H2</f>
        <v>2020</v>
      </c>
    </row>
    <row r="15" spans="1:6" x14ac:dyDescent="0.3">
      <c r="B15" s="106" t="s">
        <v>47</v>
      </c>
      <c r="C15" s="107">
        <f>+'SP Previsionale'!G31</f>
        <v>27750</v>
      </c>
      <c r="D15" s="109">
        <v>0</v>
      </c>
      <c r="E15" s="109">
        <v>0</v>
      </c>
      <c r="F15" s="109">
        <v>0</v>
      </c>
    </row>
    <row r="20" spans="1:6" x14ac:dyDescent="0.3">
      <c r="A20" s="9" t="s">
        <v>77</v>
      </c>
      <c r="B20" s="100" t="s">
        <v>48</v>
      </c>
    </row>
    <row r="22" spans="1:6" ht="15" thickBot="1" x14ac:dyDescent="0.35">
      <c r="B22" s="100" t="str">
        <f>+B3</f>
        <v>Immobilizzazioni Materiali</v>
      </c>
      <c r="C22" s="100" t="s">
        <v>49</v>
      </c>
      <c r="D22" s="100">
        <f t="shared" ref="D22:F22" si="0">+D14</f>
        <v>2018</v>
      </c>
      <c r="E22" s="100">
        <f t="shared" si="0"/>
        <v>2019</v>
      </c>
      <c r="F22" s="100">
        <f t="shared" si="0"/>
        <v>2020</v>
      </c>
    </row>
    <row r="23" spans="1:6" x14ac:dyDescent="0.3">
      <c r="B23" s="106" t="str">
        <f>+B4</f>
        <v>Fabbricati</v>
      </c>
      <c r="C23" s="117">
        <v>0.1</v>
      </c>
      <c r="D23" s="111"/>
      <c r="E23" s="112"/>
      <c r="F23" s="112"/>
    </row>
    <row r="24" spans="1:6" x14ac:dyDescent="0.3">
      <c r="B24" s="106" t="str">
        <f>+B5</f>
        <v>Impianti e Macchinari</v>
      </c>
      <c r="C24" s="117">
        <v>0.2</v>
      </c>
      <c r="D24" s="113"/>
      <c r="E24" s="114"/>
      <c r="F24" s="114"/>
    </row>
    <row r="25" spans="1:6" x14ac:dyDescent="0.3">
      <c r="B25" s="106" t="str">
        <f>+B6</f>
        <v>Attrezzature industriali e commerciali</v>
      </c>
      <c r="C25" s="117">
        <v>0.1</v>
      </c>
      <c r="D25" s="113"/>
      <c r="E25" s="114"/>
      <c r="F25" s="114"/>
    </row>
    <row r="26" spans="1:6" ht="15" thickBot="1" x14ac:dyDescent="0.35">
      <c r="B26" s="106" t="str">
        <f>+B7</f>
        <v>Altri beni</v>
      </c>
      <c r="C26" s="117">
        <v>0.1</v>
      </c>
      <c r="D26" s="115"/>
      <c r="E26" s="116"/>
      <c r="F26" s="116"/>
    </row>
    <row r="29" spans="1:6" ht="15" thickBot="1" x14ac:dyDescent="0.35">
      <c r="B29" s="100" t="str">
        <f>+B9</f>
        <v>Immobilizzazioni Immateriali</v>
      </c>
      <c r="C29" s="100" t="str">
        <f>+C22</f>
        <v>Aliquota Amm.to</v>
      </c>
      <c r="D29" s="100">
        <f t="shared" ref="D29:F29" si="1">+D14</f>
        <v>2018</v>
      </c>
      <c r="E29" s="100">
        <f t="shared" si="1"/>
        <v>2019</v>
      </c>
      <c r="F29" s="100">
        <f t="shared" si="1"/>
        <v>2020</v>
      </c>
    </row>
    <row r="30" spans="1:6" x14ac:dyDescent="0.3">
      <c r="B30" s="106" t="str">
        <f>+B10</f>
        <v>Costi d'impianto e ampliamento</v>
      </c>
      <c r="C30" s="117">
        <v>0.1</v>
      </c>
      <c r="D30" s="111"/>
      <c r="E30" s="112"/>
      <c r="F30" s="112"/>
    </row>
    <row r="31" spans="1:6" x14ac:dyDescent="0.3">
      <c r="B31" s="106" t="str">
        <f>+B11</f>
        <v>Ricerca&amp; Sviluppo</v>
      </c>
      <c r="C31" s="117">
        <v>0.2</v>
      </c>
      <c r="D31" s="113"/>
      <c r="E31" s="114"/>
      <c r="F31" s="114"/>
    </row>
    <row r="32" spans="1:6" x14ac:dyDescent="0.3">
      <c r="B32" s="106" t="str">
        <f>+B12</f>
        <v>Altre immobilizzazioni immateriali</v>
      </c>
      <c r="C32" s="117">
        <v>0.2</v>
      </c>
      <c r="D32" s="113"/>
      <c r="E32" s="114"/>
      <c r="F32" s="114"/>
    </row>
    <row r="34" spans="2:6" ht="15" thickBot="1" x14ac:dyDescent="0.35">
      <c r="D34" s="100">
        <f>+D29</f>
        <v>2018</v>
      </c>
      <c r="E34" s="100">
        <f t="shared" ref="E34:F34" si="2">+E29</f>
        <v>2019</v>
      </c>
      <c r="F34" s="100">
        <f t="shared" si="2"/>
        <v>2020</v>
      </c>
    </row>
    <row r="35" spans="2:6" x14ac:dyDescent="0.3">
      <c r="B35" s="100" t="s">
        <v>47</v>
      </c>
      <c r="D35" s="111"/>
      <c r="E35" s="112"/>
      <c r="F35" s="112"/>
    </row>
    <row r="38" spans="2:6" x14ac:dyDescent="0.3">
      <c r="B38" s="100" t="s">
        <v>50</v>
      </c>
      <c r="C38" s="100" t="s">
        <v>5</v>
      </c>
      <c r="D38" s="100">
        <f>+D34</f>
        <v>2018</v>
      </c>
      <c r="E38" s="100">
        <f t="shared" ref="E38:F38" si="3">+E34</f>
        <v>2019</v>
      </c>
      <c r="F38" s="100">
        <f t="shared" si="3"/>
        <v>2020</v>
      </c>
    </row>
    <row r="39" spans="2:6" x14ac:dyDescent="0.3">
      <c r="B39" s="106" t="str">
        <f>+B23</f>
        <v>Fabbricati</v>
      </c>
      <c r="C39" s="117">
        <v>0.22</v>
      </c>
      <c r="D39" s="118">
        <f>+$C39*D23</f>
        <v>0</v>
      </c>
      <c r="E39" s="118">
        <f t="shared" ref="E39:F39" si="4">+$C39*E23</f>
        <v>0</v>
      </c>
      <c r="F39" s="118">
        <f t="shared" si="4"/>
        <v>0</v>
      </c>
    </row>
    <row r="40" spans="2:6" x14ac:dyDescent="0.3">
      <c r="B40" s="106" t="str">
        <f t="shared" ref="B40:B48" si="5">+B24</f>
        <v>Impianti e Macchinari</v>
      </c>
      <c r="C40" s="117">
        <v>0.22</v>
      </c>
      <c r="D40" s="118">
        <f t="shared" ref="D40:F42" si="6">+$C40*D24</f>
        <v>0</v>
      </c>
      <c r="E40" s="118">
        <f t="shared" si="6"/>
        <v>0</v>
      </c>
      <c r="F40" s="118">
        <f t="shared" si="6"/>
        <v>0</v>
      </c>
    </row>
    <row r="41" spans="2:6" x14ac:dyDescent="0.3">
      <c r="B41" s="106" t="str">
        <f t="shared" si="5"/>
        <v>Attrezzature industriali e commerciali</v>
      </c>
      <c r="C41" s="117">
        <v>0.22</v>
      </c>
      <c r="D41" s="118">
        <f t="shared" si="6"/>
        <v>0</v>
      </c>
      <c r="E41" s="118">
        <f t="shared" si="6"/>
        <v>0</v>
      </c>
      <c r="F41" s="118">
        <f t="shared" si="6"/>
        <v>0</v>
      </c>
    </row>
    <row r="42" spans="2:6" x14ac:dyDescent="0.3">
      <c r="B42" s="106" t="str">
        <f t="shared" si="5"/>
        <v>Altri beni</v>
      </c>
      <c r="C42" s="117">
        <v>0.22</v>
      </c>
      <c r="D42" s="118">
        <f t="shared" si="6"/>
        <v>0</v>
      </c>
      <c r="E42" s="118">
        <f t="shared" si="6"/>
        <v>0</v>
      </c>
      <c r="F42" s="118">
        <f t="shared" si="6"/>
        <v>0</v>
      </c>
    </row>
    <row r="46" spans="2:6" x14ac:dyDescent="0.3">
      <c r="B46" s="106" t="str">
        <f t="shared" si="5"/>
        <v>Costi d'impianto e ampliamento</v>
      </c>
      <c r="C46" s="117">
        <v>0.22</v>
      </c>
      <c r="D46" s="118">
        <f t="shared" ref="D46:F46" si="7">+$C46*D30</f>
        <v>0</v>
      </c>
      <c r="E46" s="118">
        <f t="shared" si="7"/>
        <v>0</v>
      </c>
      <c r="F46" s="118">
        <f t="shared" si="7"/>
        <v>0</v>
      </c>
    </row>
    <row r="47" spans="2:6" x14ac:dyDescent="0.3">
      <c r="B47" s="106" t="str">
        <f t="shared" si="5"/>
        <v>Ricerca&amp; Sviluppo</v>
      </c>
      <c r="C47" s="117">
        <v>0.22</v>
      </c>
      <c r="D47" s="118">
        <f t="shared" ref="D47:F47" si="8">+$C47*D31</f>
        <v>0</v>
      </c>
      <c r="E47" s="118">
        <f t="shared" si="8"/>
        <v>0</v>
      </c>
      <c r="F47" s="118">
        <f t="shared" si="8"/>
        <v>0</v>
      </c>
    </row>
    <row r="48" spans="2:6" x14ac:dyDescent="0.3">
      <c r="B48" s="106" t="str">
        <f t="shared" si="5"/>
        <v>Altre immobilizzazioni immateriali</v>
      </c>
      <c r="C48" s="117">
        <v>0.22</v>
      </c>
      <c r="D48" s="118">
        <f t="shared" ref="D48:F48" si="9">+$C48*D32</f>
        <v>0</v>
      </c>
      <c r="E48" s="118">
        <f t="shared" si="9"/>
        <v>0</v>
      </c>
      <c r="F48" s="118">
        <f t="shared" si="9"/>
        <v>0</v>
      </c>
    </row>
    <row r="49" spans="2:6" x14ac:dyDescent="0.3">
      <c r="D49" s="78"/>
      <c r="E49" s="78"/>
      <c r="F49" s="78"/>
    </row>
    <row r="50" spans="2:6" x14ac:dyDescent="0.3">
      <c r="D50" s="78"/>
      <c r="E50" s="78"/>
      <c r="F50" s="78"/>
    </row>
    <row r="52" spans="2:6" x14ac:dyDescent="0.3">
      <c r="B52" s="100" t="s">
        <v>51</v>
      </c>
      <c r="D52" s="100">
        <f t="shared" ref="D52:F52" si="10">+D22</f>
        <v>2018</v>
      </c>
      <c r="E52" s="100">
        <f t="shared" si="10"/>
        <v>2019</v>
      </c>
      <c r="F52" s="100">
        <f t="shared" si="10"/>
        <v>2020</v>
      </c>
    </row>
    <row r="53" spans="2:6" x14ac:dyDescent="0.3">
      <c r="B53" s="106" t="str">
        <f>+B23</f>
        <v>Fabbricati</v>
      </c>
      <c r="D53" s="118">
        <f>+$D23*$C23</f>
        <v>0</v>
      </c>
      <c r="E53" s="118">
        <f>+$D23*$C23*IF(D53=D23,0,1)</f>
        <v>0</v>
      </c>
      <c r="F53" s="118">
        <f>+$D23*$C23*(IF(SUM($D53:E53)=$D23,0,1))</f>
        <v>0</v>
      </c>
    </row>
    <row r="54" spans="2:6" x14ac:dyDescent="0.3">
      <c r="B54" s="106" t="str">
        <f>+B24</f>
        <v>Impianti e Macchinari</v>
      </c>
      <c r="D54" s="118">
        <f>+$D24*$C24</f>
        <v>0</v>
      </c>
      <c r="E54" s="118">
        <f>+$D24*$C24*IF(D54=D24,0,1)</f>
        <v>0</v>
      </c>
      <c r="F54" s="118">
        <f>+$D24*$C24*(IF(SUM($D54:E54)=$D24,0,1))</f>
        <v>0</v>
      </c>
    </row>
    <row r="55" spans="2:6" x14ac:dyDescent="0.3">
      <c r="B55" s="106" t="str">
        <f>+B25</f>
        <v>Attrezzature industriali e commerciali</v>
      </c>
      <c r="D55" s="118">
        <f>+$D25*$C25</f>
        <v>0</v>
      </c>
      <c r="E55" s="118">
        <f>+$D25*$C25*IF(D55=D25,0,1)</f>
        <v>0</v>
      </c>
      <c r="F55" s="118">
        <f>+$D25*$C25*(IF(SUM($D55:E55)=$D25,0,1))</f>
        <v>0</v>
      </c>
    </row>
    <row r="56" spans="2:6" x14ac:dyDescent="0.3">
      <c r="B56" s="106" t="str">
        <f>+B26</f>
        <v>Altri beni</v>
      </c>
      <c r="D56" s="118">
        <f>+$D26*$C26</f>
        <v>0</v>
      </c>
      <c r="E56" s="118">
        <f>+$D26*$C26*IF(D56=D26,0,1)</f>
        <v>0</v>
      </c>
      <c r="F56" s="118">
        <f>+$D26*$C26*(IF(SUM($D56:E56)=$D26,0,1))</f>
        <v>0</v>
      </c>
    </row>
    <row r="57" spans="2:6" x14ac:dyDescent="0.3">
      <c r="D57" s="78"/>
      <c r="E57" s="78"/>
      <c r="F57" s="78"/>
    </row>
    <row r="58" spans="2:6" x14ac:dyDescent="0.3">
      <c r="D58" s="78"/>
      <c r="E58" s="78"/>
      <c r="F58" s="78"/>
    </row>
    <row r="59" spans="2:6" x14ac:dyDescent="0.3">
      <c r="D59" s="78"/>
      <c r="E59" s="78"/>
      <c r="F59" s="78"/>
    </row>
    <row r="60" spans="2:6" x14ac:dyDescent="0.3">
      <c r="B60" s="106" t="str">
        <f>+B30</f>
        <v>Costi d'impianto e ampliamento</v>
      </c>
      <c r="D60" s="118">
        <f>+$D30*$C30</f>
        <v>0</v>
      </c>
      <c r="E60" s="118">
        <f>+$D30*$C30*IF(D60=D30,0,1)</f>
        <v>0</v>
      </c>
      <c r="F60" s="118">
        <f>+$D30*$C30*(IF(SUM($D60:E60)=$D30,0,1))</f>
        <v>0</v>
      </c>
    </row>
    <row r="61" spans="2:6" x14ac:dyDescent="0.3">
      <c r="B61" s="106" t="str">
        <f>+B31</f>
        <v>Ricerca&amp; Sviluppo</v>
      </c>
      <c r="D61" s="118">
        <f>+$D31*$C31</f>
        <v>0</v>
      </c>
      <c r="E61" s="118">
        <f>+$D31*$C31*IF(D61=D31,0,1)</f>
        <v>0</v>
      </c>
      <c r="F61" s="118">
        <f>+$D31*$C31*(IF(SUM($D61:E61)=$D31,0,1))</f>
        <v>0</v>
      </c>
    </row>
    <row r="62" spans="2:6" x14ac:dyDescent="0.3">
      <c r="B62" s="106" t="str">
        <f>+B32</f>
        <v>Altre immobilizzazioni immateriali</v>
      </c>
      <c r="D62" s="118">
        <f>+$D32*$C32</f>
        <v>0</v>
      </c>
      <c r="E62" s="118">
        <f>+$D32*$C32*IF(D62=D32,0,1)</f>
        <v>0</v>
      </c>
      <c r="F62" s="118">
        <f>+$D32*$C32*(IF(SUM($D62:E62)=$D32,0,1))</f>
        <v>0</v>
      </c>
    </row>
    <row r="65" spans="2:6" x14ac:dyDescent="0.3">
      <c r="B65" s="100" t="s">
        <v>52</v>
      </c>
      <c r="D65" s="100">
        <f>+D52</f>
        <v>2018</v>
      </c>
      <c r="E65" s="100">
        <f t="shared" ref="E65:F65" si="11">+E52</f>
        <v>2019</v>
      </c>
      <c r="F65" s="100">
        <f t="shared" si="11"/>
        <v>2020</v>
      </c>
    </row>
    <row r="66" spans="2:6" x14ac:dyDescent="0.3">
      <c r="B66" s="106" t="str">
        <f>+B53</f>
        <v>Fabbricati</v>
      </c>
      <c r="D66" s="118"/>
      <c r="E66" s="118">
        <f>+$E23*$C23</f>
        <v>0</v>
      </c>
      <c r="F66" s="118">
        <f>+$E23*$C23*IF(E66=E23,0,1)</f>
        <v>0</v>
      </c>
    </row>
    <row r="67" spans="2:6" x14ac:dyDescent="0.3">
      <c r="B67" s="106" t="str">
        <f t="shared" ref="B67:B75" si="12">+B54</f>
        <v>Impianti e Macchinari</v>
      </c>
      <c r="D67" s="118"/>
      <c r="E67" s="118">
        <f>+$E24*$C24</f>
        <v>0</v>
      </c>
      <c r="F67" s="118">
        <f>+$E24*$C24*IF(E67=E24,0,1)</f>
        <v>0</v>
      </c>
    </row>
    <row r="68" spans="2:6" x14ac:dyDescent="0.3">
      <c r="B68" s="106" t="str">
        <f t="shared" si="12"/>
        <v>Attrezzature industriali e commerciali</v>
      </c>
      <c r="D68" s="118"/>
      <c r="E68" s="118">
        <f>+$E25*$C25</f>
        <v>0</v>
      </c>
      <c r="F68" s="118">
        <f>+$E25*$C25*IF(E68=E25,0,1)</f>
        <v>0</v>
      </c>
    </row>
    <row r="69" spans="2:6" x14ac:dyDescent="0.3">
      <c r="B69" s="106" t="str">
        <f t="shared" si="12"/>
        <v>Altri beni</v>
      </c>
      <c r="D69" s="118"/>
      <c r="E69" s="118">
        <f>+$E26*$C26</f>
        <v>0</v>
      </c>
      <c r="F69" s="118">
        <f>+$E26*$C26*IF(E69=E26,0,1)</f>
        <v>0</v>
      </c>
    </row>
    <row r="70" spans="2:6" x14ac:dyDescent="0.3">
      <c r="D70" s="78"/>
      <c r="E70" s="78"/>
      <c r="F70" s="78"/>
    </row>
    <row r="71" spans="2:6" x14ac:dyDescent="0.3">
      <c r="D71" s="78"/>
      <c r="E71" s="78"/>
      <c r="F71" s="78"/>
    </row>
    <row r="72" spans="2:6" x14ac:dyDescent="0.3">
      <c r="D72" s="78"/>
      <c r="E72" s="78"/>
      <c r="F72" s="78"/>
    </row>
    <row r="73" spans="2:6" x14ac:dyDescent="0.3">
      <c r="B73" s="106" t="str">
        <f t="shared" si="12"/>
        <v>Costi d'impianto e ampliamento</v>
      </c>
      <c r="D73" s="118"/>
      <c r="E73" s="118">
        <f>+$E30*$C30</f>
        <v>0</v>
      </c>
      <c r="F73" s="118">
        <f>+$E30*$C30*IF(E73=E30,0,1)</f>
        <v>0</v>
      </c>
    </row>
    <row r="74" spans="2:6" x14ac:dyDescent="0.3">
      <c r="B74" s="106" t="str">
        <f t="shared" si="12"/>
        <v>Ricerca&amp; Sviluppo</v>
      </c>
      <c r="D74" s="118"/>
      <c r="E74" s="118">
        <f>+$E31*$C31</f>
        <v>0</v>
      </c>
      <c r="F74" s="118">
        <f>+$E31*$C31*IF(E74=E31,0,1)</f>
        <v>0</v>
      </c>
    </row>
    <row r="75" spans="2:6" x14ac:dyDescent="0.3">
      <c r="B75" s="106" t="str">
        <f t="shared" si="12"/>
        <v>Altre immobilizzazioni immateriali</v>
      </c>
      <c r="D75" s="118"/>
      <c r="E75" s="118">
        <f>+$E32*$C32</f>
        <v>0</v>
      </c>
      <c r="F75" s="118">
        <f>+$E32*$C32*IF(E75=E32,0,1)</f>
        <v>0</v>
      </c>
    </row>
    <row r="78" spans="2:6" x14ac:dyDescent="0.3">
      <c r="B78" s="100" t="s">
        <v>53</v>
      </c>
      <c r="D78" s="100">
        <f>+D65</f>
        <v>2018</v>
      </c>
      <c r="E78" s="100">
        <f t="shared" ref="E78:F78" si="13">+E65</f>
        <v>2019</v>
      </c>
      <c r="F78" s="100">
        <f t="shared" si="13"/>
        <v>2020</v>
      </c>
    </row>
    <row r="79" spans="2:6" x14ac:dyDescent="0.3">
      <c r="B79" s="106" t="str">
        <f>+B66</f>
        <v>Fabbricati</v>
      </c>
      <c r="D79" s="118"/>
      <c r="E79" s="118"/>
      <c r="F79" s="118">
        <f>+$F23*$C23</f>
        <v>0</v>
      </c>
    </row>
    <row r="80" spans="2:6" x14ac:dyDescent="0.3">
      <c r="B80" s="106" t="str">
        <f t="shared" ref="B80:B88" si="14">+B67</f>
        <v>Impianti e Macchinari</v>
      </c>
      <c r="D80" s="118"/>
      <c r="E80" s="118"/>
      <c r="F80" s="118">
        <f>+$F24*$C24</f>
        <v>0</v>
      </c>
    </row>
    <row r="81" spans="2:6" x14ac:dyDescent="0.3">
      <c r="B81" s="106" t="str">
        <f t="shared" si="14"/>
        <v>Attrezzature industriali e commerciali</v>
      </c>
      <c r="D81" s="118"/>
      <c r="E81" s="118"/>
      <c r="F81" s="118">
        <f>+$F25*$C25</f>
        <v>0</v>
      </c>
    </row>
    <row r="82" spans="2:6" x14ac:dyDescent="0.3">
      <c r="B82" s="106" t="str">
        <f t="shared" si="14"/>
        <v>Altri beni</v>
      </c>
      <c r="D82" s="118"/>
      <c r="E82" s="118"/>
      <c r="F82" s="118">
        <f>+$F26*$C26</f>
        <v>0</v>
      </c>
    </row>
    <row r="83" spans="2:6" x14ac:dyDescent="0.3">
      <c r="D83" s="78"/>
      <c r="E83" s="78"/>
      <c r="F83" s="78"/>
    </row>
    <row r="84" spans="2:6" x14ac:dyDescent="0.3">
      <c r="D84" s="78"/>
      <c r="E84" s="78"/>
      <c r="F84" s="78"/>
    </row>
    <row r="85" spans="2:6" x14ac:dyDescent="0.3">
      <c r="D85" s="78"/>
      <c r="E85" s="78"/>
      <c r="F85" s="78"/>
    </row>
    <row r="86" spans="2:6" x14ac:dyDescent="0.3">
      <c r="B86" s="106" t="str">
        <f t="shared" si="14"/>
        <v>Costi d'impianto e ampliamento</v>
      </c>
      <c r="D86" s="118"/>
      <c r="E86" s="118"/>
      <c r="F86" s="118">
        <f>+$F30*$C30</f>
        <v>0</v>
      </c>
    </row>
    <row r="87" spans="2:6" x14ac:dyDescent="0.3">
      <c r="B87" s="106" t="str">
        <f t="shared" si="14"/>
        <v>Ricerca&amp; Sviluppo</v>
      </c>
      <c r="D87" s="118"/>
      <c r="E87" s="118"/>
      <c r="F87" s="118">
        <f>+$F31*$C31</f>
        <v>0</v>
      </c>
    </row>
    <row r="88" spans="2:6" x14ac:dyDescent="0.3">
      <c r="B88" s="106" t="str">
        <f t="shared" si="14"/>
        <v>Altre immobilizzazioni immateriali</v>
      </c>
      <c r="D88" s="118"/>
      <c r="E88" s="118"/>
      <c r="F88" s="118">
        <f>+$F32*$C32</f>
        <v>0</v>
      </c>
    </row>
    <row r="91" spans="2:6" x14ac:dyDescent="0.3">
      <c r="B91" s="100" t="s">
        <v>54</v>
      </c>
      <c r="D91" s="100">
        <f>+D78</f>
        <v>2018</v>
      </c>
      <c r="E91" s="100">
        <f t="shared" ref="E91:F91" si="15">+E78</f>
        <v>2019</v>
      </c>
      <c r="F91" s="100">
        <f t="shared" si="15"/>
        <v>2020</v>
      </c>
    </row>
    <row r="92" spans="2:6" x14ac:dyDescent="0.3">
      <c r="B92" s="106" t="str">
        <f>+B79</f>
        <v>Fabbricati</v>
      </c>
      <c r="D92" s="118"/>
      <c r="E92" s="118"/>
      <c r="F92" s="118"/>
    </row>
    <row r="93" spans="2:6" x14ac:dyDescent="0.3">
      <c r="B93" s="106" t="str">
        <f t="shared" ref="B93:B101" si="16">+B80</f>
        <v>Impianti e Macchinari</v>
      </c>
      <c r="D93" s="118"/>
      <c r="E93" s="118"/>
      <c r="F93" s="118"/>
    </row>
    <row r="94" spans="2:6" x14ac:dyDescent="0.3">
      <c r="B94" s="106" t="str">
        <f t="shared" si="16"/>
        <v>Attrezzature industriali e commerciali</v>
      </c>
      <c r="D94" s="118"/>
      <c r="E94" s="118"/>
      <c r="F94" s="118"/>
    </row>
    <row r="95" spans="2:6" x14ac:dyDescent="0.3">
      <c r="B95" s="106" t="str">
        <f t="shared" si="16"/>
        <v>Altri beni</v>
      </c>
      <c r="D95" s="118"/>
      <c r="E95" s="118"/>
      <c r="F95" s="118"/>
    </row>
    <row r="96" spans="2:6" x14ac:dyDescent="0.3">
      <c r="D96" s="78"/>
      <c r="E96" s="78"/>
      <c r="F96" s="78"/>
    </row>
    <row r="97" spans="2:6" x14ac:dyDescent="0.3">
      <c r="D97" s="78"/>
      <c r="E97" s="78"/>
      <c r="F97" s="78"/>
    </row>
    <row r="98" spans="2:6" x14ac:dyDescent="0.3">
      <c r="D98" s="78"/>
      <c r="E98" s="78"/>
      <c r="F98" s="78"/>
    </row>
    <row r="99" spans="2:6" x14ac:dyDescent="0.3">
      <c r="B99" s="106" t="str">
        <f t="shared" si="16"/>
        <v>Costi d'impianto e ampliamento</v>
      </c>
      <c r="D99" s="118"/>
      <c r="E99" s="118"/>
      <c r="F99" s="118"/>
    </row>
    <row r="100" spans="2:6" x14ac:dyDescent="0.3">
      <c r="B100" s="106" t="str">
        <f t="shared" si="16"/>
        <v>Ricerca&amp; Sviluppo</v>
      </c>
      <c r="D100" s="118"/>
      <c r="E100" s="118"/>
      <c r="F100" s="118"/>
    </row>
    <row r="101" spans="2:6" x14ac:dyDescent="0.3">
      <c r="B101" s="106" t="str">
        <f t="shared" si="16"/>
        <v>Altre immobilizzazioni immateriali</v>
      </c>
      <c r="D101" s="118"/>
      <c r="E101" s="118"/>
      <c r="F101" s="118"/>
    </row>
    <row r="104" spans="2:6" x14ac:dyDescent="0.3">
      <c r="B104" s="100" t="s">
        <v>55</v>
      </c>
      <c r="D104" s="100">
        <f>+D91</f>
        <v>2018</v>
      </c>
      <c r="E104" s="100">
        <f t="shared" ref="E104:F104" si="17">+E91</f>
        <v>2019</v>
      </c>
      <c r="F104" s="100">
        <f t="shared" si="17"/>
        <v>2020</v>
      </c>
    </row>
    <row r="105" spans="2:6" x14ac:dyDescent="0.3">
      <c r="B105" s="106" t="str">
        <f>+B92</f>
        <v>Fabbricati</v>
      </c>
      <c r="D105" s="118"/>
      <c r="E105" s="118"/>
      <c r="F105" s="118"/>
    </row>
    <row r="106" spans="2:6" x14ac:dyDescent="0.3">
      <c r="B106" s="106" t="str">
        <f t="shared" ref="B106:B114" si="18">+B93</f>
        <v>Impianti e Macchinari</v>
      </c>
      <c r="D106" s="118"/>
      <c r="E106" s="118"/>
      <c r="F106" s="118"/>
    </row>
    <row r="107" spans="2:6" x14ac:dyDescent="0.3">
      <c r="B107" s="106" t="str">
        <f t="shared" si="18"/>
        <v>Attrezzature industriali e commerciali</v>
      </c>
      <c r="D107" s="118"/>
      <c r="E107" s="118"/>
      <c r="F107" s="118"/>
    </row>
    <row r="108" spans="2:6" x14ac:dyDescent="0.3">
      <c r="B108" s="106" t="str">
        <f t="shared" si="18"/>
        <v>Altri beni</v>
      </c>
      <c r="D108" s="118"/>
      <c r="E108" s="118"/>
      <c r="F108" s="118"/>
    </row>
    <row r="109" spans="2:6" x14ac:dyDescent="0.3">
      <c r="D109" s="78"/>
      <c r="E109" s="78"/>
      <c r="F109" s="78"/>
    </row>
    <row r="110" spans="2:6" x14ac:dyDescent="0.3">
      <c r="D110" s="78"/>
      <c r="E110" s="78"/>
      <c r="F110" s="78"/>
    </row>
    <row r="111" spans="2:6" x14ac:dyDescent="0.3">
      <c r="D111" s="78"/>
      <c r="E111" s="78"/>
      <c r="F111" s="78"/>
    </row>
    <row r="112" spans="2:6" x14ac:dyDescent="0.3">
      <c r="B112" s="106" t="str">
        <f t="shared" si="18"/>
        <v>Costi d'impianto e ampliamento</v>
      </c>
      <c r="D112" s="118"/>
      <c r="E112" s="118"/>
      <c r="F112" s="118"/>
    </row>
    <row r="113" spans="2:6" x14ac:dyDescent="0.3">
      <c r="B113" s="106" t="str">
        <f t="shared" si="18"/>
        <v>Ricerca&amp; Sviluppo</v>
      </c>
      <c r="D113" s="118"/>
      <c r="E113" s="118"/>
      <c r="F113" s="118"/>
    </row>
    <row r="114" spans="2:6" x14ac:dyDescent="0.3">
      <c r="B114" s="106" t="str">
        <f t="shared" si="18"/>
        <v>Altre immobilizzazioni immateriali</v>
      </c>
      <c r="D114" s="118"/>
      <c r="E114" s="118"/>
      <c r="F114" s="118"/>
    </row>
    <row r="117" spans="2:6" x14ac:dyDescent="0.3">
      <c r="B117" s="100" t="s">
        <v>56</v>
      </c>
      <c r="D117" s="100">
        <f>+D104</f>
        <v>2018</v>
      </c>
      <c r="E117" s="100">
        <f t="shared" ref="E117:F117" si="19">+E104</f>
        <v>2019</v>
      </c>
      <c r="F117" s="100">
        <f t="shared" si="19"/>
        <v>2020</v>
      </c>
    </row>
    <row r="118" spans="2:6" x14ac:dyDescent="0.3">
      <c r="B118" s="106" t="str">
        <f>+B105</f>
        <v>Fabbricati</v>
      </c>
      <c r="D118" s="118"/>
      <c r="E118" s="118"/>
      <c r="F118" s="118"/>
    </row>
    <row r="119" spans="2:6" x14ac:dyDescent="0.3">
      <c r="B119" s="106" t="str">
        <f t="shared" ref="B119:B127" si="20">+B106</f>
        <v>Impianti e Macchinari</v>
      </c>
      <c r="D119" s="118"/>
      <c r="E119" s="118"/>
      <c r="F119" s="118"/>
    </row>
    <row r="120" spans="2:6" x14ac:dyDescent="0.3">
      <c r="B120" s="106" t="str">
        <f t="shared" si="20"/>
        <v>Attrezzature industriali e commerciali</v>
      </c>
      <c r="D120" s="118"/>
      <c r="E120" s="118"/>
      <c r="F120" s="118"/>
    </row>
    <row r="121" spans="2:6" x14ac:dyDescent="0.3">
      <c r="B121" s="106" t="str">
        <f t="shared" si="20"/>
        <v>Altri beni</v>
      </c>
      <c r="D121" s="118"/>
      <c r="E121" s="118"/>
      <c r="F121" s="118"/>
    </row>
    <row r="122" spans="2:6" x14ac:dyDescent="0.3">
      <c r="D122" s="78"/>
      <c r="E122" s="78"/>
      <c r="F122" s="78"/>
    </row>
    <row r="123" spans="2:6" x14ac:dyDescent="0.3">
      <c r="D123" s="78"/>
      <c r="E123" s="78"/>
      <c r="F123" s="78"/>
    </row>
    <row r="124" spans="2:6" x14ac:dyDescent="0.3">
      <c r="D124" s="78"/>
      <c r="E124" s="78"/>
      <c r="F124" s="78"/>
    </row>
    <row r="125" spans="2:6" x14ac:dyDescent="0.3">
      <c r="B125" s="106" t="str">
        <f t="shared" si="20"/>
        <v>Costi d'impianto e ampliamento</v>
      </c>
      <c r="D125" s="118"/>
      <c r="E125" s="118"/>
      <c r="F125" s="118"/>
    </row>
    <row r="126" spans="2:6" x14ac:dyDescent="0.3">
      <c r="B126" s="106" t="str">
        <f t="shared" si="20"/>
        <v>Ricerca&amp; Sviluppo</v>
      </c>
      <c r="D126" s="118"/>
      <c r="E126" s="118"/>
      <c r="F126" s="118"/>
    </row>
    <row r="127" spans="2:6" x14ac:dyDescent="0.3">
      <c r="B127" s="106" t="str">
        <f t="shared" si="20"/>
        <v>Altre immobilizzazioni immateriali</v>
      </c>
      <c r="D127" s="118"/>
      <c r="E127" s="118"/>
      <c r="F127" s="118"/>
    </row>
    <row r="130" spans="2:6" x14ac:dyDescent="0.3">
      <c r="B130" s="100" t="s">
        <v>57</v>
      </c>
      <c r="D130" s="100">
        <f>+D117</f>
        <v>2018</v>
      </c>
      <c r="E130" s="100">
        <f t="shared" ref="E130:F130" si="21">+E117</f>
        <v>2019</v>
      </c>
      <c r="F130" s="100">
        <f t="shared" si="21"/>
        <v>2020</v>
      </c>
    </row>
    <row r="131" spans="2:6" x14ac:dyDescent="0.3">
      <c r="B131" s="106" t="str">
        <f>+B118</f>
        <v>Fabbricati</v>
      </c>
      <c r="D131" s="118"/>
      <c r="E131" s="118"/>
      <c r="F131" s="118"/>
    </row>
    <row r="132" spans="2:6" x14ac:dyDescent="0.3">
      <c r="B132" s="106" t="str">
        <f t="shared" ref="B132:B140" si="22">+B119</f>
        <v>Impianti e Macchinari</v>
      </c>
      <c r="D132" s="118"/>
      <c r="E132" s="118"/>
      <c r="F132" s="118"/>
    </row>
    <row r="133" spans="2:6" x14ac:dyDescent="0.3">
      <c r="B133" s="106" t="str">
        <f t="shared" si="22"/>
        <v>Attrezzature industriali e commerciali</v>
      </c>
      <c r="D133" s="118"/>
      <c r="E133" s="118"/>
      <c r="F133" s="118"/>
    </row>
    <row r="134" spans="2:6" x14ac:dyDescent="0.3">
      <c r="B134" s="106" t="str">
        <f t="shared" si="22"/>
        <v>Altri beni</v>
      </c>
      <c r="D134" s="118"/>
      <c r="E134" s="118"/>
      <c r="F134" s="118"/>
    </row>
    <row r="135" spans="2:6" x14ac:dyDescent="0.3">
      <c r="D135" s="78"/>
      <c r="E135" s="78"/>
      <c r="F135" s="78"/>
    </row>
    <row r="136" spans="2:6" x14ac:dyDescent="0.3">
      <c r="D136" s="78"/>
      <c r="E136" s="78"/>
      <c r="F136" s="78"/>
    </row>
    <row r="137" spans="2:6" x14ac:dyDescent="0.3">
      <c r="D137" s="78"/>
      <c r="E137" s="78"/>
      <c r="F137" s="78"/>
    </row>
    <row r="138" spans="2:6" x14ac:dyDescent="0.3">
      <c r="B138" s="106" t="str">
        <f t="shared" si="22"/>
        <v>Costi d'impianto e ampliamento</v>
      </c>
      <c r="D138" s="118"/>
      <c r="E138" s="118"/>
      <c r="F138" s="118"/>
    </row>
    <row r="139" spans="2:6" x14ac:dyDescent="0.3">
      <c r="B139" s="106" t="str">
        <f t="shared" si="22"/>
        <v>Ricerca&amp; Sviluppo</v>
      </c>
      <c r="D139" s="118"/>
      <c r="E139" s="118"/>
      <c r="F139" s="118"/>
    </row>
    <row r="140" spans="2:6" x14ac:dyDescent="0.3">
      <c r="B140" s="106" t="str">
        <f t="shared" si="22"/>
        <v>Altre immobilizzazioni immateriali</v>
      </c>
      <c r="D140" s="118"/>
      <c r="E140" s="118"/>
      <c r="F140" s="118"/>
    </row>
    <row r="143" spans="2:6" x14ac:dyDescent="0.3">
      <c r="B143" s="100" t="s">
        <v>58</v>
      </c>
      <c r="D143" s="100">
        <f>+D130</f>
        <v>2018</v>
      </c>
      <c r="E143" s="100">
        <f t="shared" ref="E143:F143" si="23">+E130</f>
        <v>2019</v>
      </c>
      <c r="F143" s="100">
        <f t="shared" si="23"/>
        <v>2020</v>
      </c>
    </row>
    <row r="144" spans="2:6" x14ac:dyDescent="0.3">
      <c r="B144" s="106" t="str">
        <f>+B131</f>
        <v>Fabbricati</v>
      </c>
      <c r="D144" s="118"/>
      <c r="E144" s="118"/>
      <c r="F144" s="118"/>
    </row>
    <row r="145" spans="2:6" x14ac:dyDescent="0.3">
      <c r="B145" s="106" t="str">
        <f t="shared" ref="B145:B153" si="24">+B132</f>
        <v>Impianti e Macchinari</v>
      </c>
      <c r="D145" s="118"/>
      <c r="E145" s="118"/>
      <c r="F145" s="118"/>
    </row>
    <row r="146" spans="2:6" x14ac:dyDescent="0.3">
      <c r="B146" s="106" t="str">
        <f t="shared" si="24"/>
        <v>Attrezzature industriali e commerciali</v>
      </c>
      <c r="D146" s="118"/>
      <c r="E146" s="118"/>
      <c r="F146" s="118"/>
    </row>
    <row r="147" spans="2:6" x14ac:dyDescent="0.3">
      <c r="B147" s="106" t="str">
        <f t="shared" si="24"/>
        <v>Altri beni</v>
      </c>
      <c r="D147" s="118"/>
      <c r="E147" s="118"/>
      <c r="F147" s="118"/>
    </row>
    <row r="148" spans="2:6" x14ac:dyDescent="0.3">
      <c r="D148" s="78"/>
      <c r="E148" s="78"/>
      <c r="F148" s="78"/>
    </row>
    <row r="149" spans="2:6" x14ac:dyDescent="0.3">
      <c r="D149" s="78"/>
      <c r="E149" s="78"/>
      <c r="F149" s="78"/>
    </row>
    <row r="150" spans="2:6" x14ac:dyDescent="0.3">
      <c r="D150" s="78"/>
      <c r="E150" s="78"/>
      <c r="F150" s="78"/>
    </row>
    <row r="151" spans="2:6" x14ac:dyDescent="0.3">
      <c r="B151" s="106" t="str">
        <f t="shared" si="24"/>
        <v>Costi d'impianto e ampliamento</v>
      </c>
      <c r="D151" s="118"/>
      <c r="E151" s="118"/>
      <c r="F151" s="118"/>
    </row>
    <row r="152" spans="2:6" x14ac:dyDescent="0.3">
      <c r="B152" s="106" t="str">
        <f t="shared" si="24"/>
        <v>Ricerca&amp; Sviluppo</v>
      </c>
      <c r="D152" s="118"/>
      <c r="E152" s="118"/>
      <c r="F152" s="118"/>
    </row>
    <row r="153" spans="2:6" x14ac:dyDescent="0.3">
      <c r="B153" s="106" t="str">
        <f t="shared" si="24"/>
        <v>Altre immobilizzazioni immateriali</v>
      </c>
      <c r="D153" s="118"/>
      <c r="E153" s="118"/>
      <c r="F153" s="118"/>
    </row>
    <row r="156" spans="2:6" x14ac:dyDescent="0.3">
      <c r="B156" s="100" t="s">
        <v>59</v>
      </c>
      <c r="D156" s="100">
        <f>+D143</f>
        <v>2018</v>
      </c>
      <c r="E156" s="100">
        <f t="shared" ref="E156:F156" si="25">+E143</f>
        <v>2019</v>
      </c>
      <c r="F156" s="100">
        <f t="shared" si="25"/>
        <v>2020</v>
      </c>
    </row>
    <row r="157" spans="2:6" x14ac:dyDescent="0.3">
      <c r="B157" s="106" t="str">
        <f>+B144</f>
        <v>Fabbricati</v>
      </c>
      <c r="D157" s="118"/>
      <c r="E157" s="118"/>
      <c r="F157" s="118"/>
    </row>
    <row r="158" spans="2:6" x14ac:dyDescent="0.3">
      <c r="B158" s="106" t="str">
        <f t="shared" ref="B158:B166" si="26">+B145</f>
        <v>Impianti e Macchinari</v>
      </c>
      <c r="D158" s="118"/>
      <c r="E158" s="118"/>
      <c r="F158" s="118"/>
    </row>
    <row r="159" spans="2:6" x14ac:dyDescent="0.3">
      <c r="B159" s="106" t="str">
        <f t="shared" si="26"/>
        <v>Attrezzature industriali e commerciali</v>
      </c>
      <c r="D159" s="118"/>
      <c r="E159" s="118"/>
      <c r="F159" s="118"/>
    </row>
    <row r="160" spans="2:6" x14ac:dyDescent="0.3">
      <c r="B160" s="106" t="str">
        <f t="shared" si="26"/>
        <v>Altri beni</v>
      </c>
      <c r="D160" s="118"/>
      <c r="E160" s="118"/>
      <c r="F160" s="118"/>
    </row>
    <row r="161" spans="2:6" x14ac:dyDescent="0.3">
      <c r="D161" s="78"/>
      <c r="E161" s="78"/>
      <c r="F161" s="78"/>
    </row>
    <row r="162" spans="2:6" x14ac:dyDescent="0.3">
      <c r="D162" s="78"/>
      <c r="E162" s="78"/>
      <c r="F162" s="78"/>
    </row>
    <row r="163" spans="2:6" x14ac:dyDescent="0.3">
      <c r="D163" s="78"/>
      <c r="E163" s="78"/>
      <c r="F163" s="78"/>
    </row>
    <row r="164" spans="2:6" x14ac:dyDescent="0.3">
      <c r="B164" s="106" t="str">
        <f t="shared" si="26"/>
        <v>Costi d'impianto e ampliamento</v>
      </c>
      <c r="D164" s="118"/>
      <c r="E164" s="118"/>
      <c r="F164" s="118"/>
    </row>
    <row r="165" spans="2:6" x14ac:dyDescent="0.3">
      <c r="B165" s="106" t="str">
        <f t="shared" si="26"/>
        <v>Ricerca&amp; Sviluppo</v>
      </c>
      <c r="D165" s="118"/>
      <c r="E165" s="118"/>
      <c r="F165" s="118"/>
    </row>
    <row r="166" spans="2:6" x14ac:dyDescent="0.3">
      <c r="B166" s="106" t="str">
        <f t="shared" si="26"/>
        <v>Altre immobilizzazioni immateriali</v>
      </c>
      <c r="D166" s="118"/>
      <c r="E166" s="118"/>
      <c r="F166" s="118"/>
    </row>
    <row r="169" spans="2:6" x14ac:dyDescent="0.3">
      <c r="B169" s="100" t="s">
        <v>60</v>
      </c>
      <c r="D169" s="100">
        <f>+D156</f>
        <v>2018</v>
      </c>
      <c r="E169" s="100">
        <f t="shared" ref="E169:F169" si="27">+E156</f>
        <v>2019</v>
      </c>
      <c r="F169" s="100">
        <f t="shared" si="27"/>
        <v>2020</v>
      </c>
    </row>
    <row r="170" spans="2:6" x14ac:dyDescent="0.3">
      <c r="B170" s="106" t="str">
        <f>+B157</f>
        <v>Fabbricati</v>
      </c>
      <c r="D170" s="118"/>
      <c r="E170" s="118"/>
      <c r="F170" s="118"/>
    </row>
    <row r="171" spans="2:6" x14ac:dyDescent="0.3">
      <c r="B171" s="106" t="str">
        <f t="shared" ref="B171:B179" si="28">+B158</f>
        <v>Impianti e Macchinari</v>
      </c>
      <c r="D171" s="118"/>
      <c r="E171" s="118"/>
      <c r="F171" s="118"/>
    </row>
    <row r="172" spans="2:6" x14ac:dyDescent="0.3">
      <c r="B172" s="106" t="str">
        <f t="shared" si="28"/>
        <v>Attrezzature industriali e commerciali</v>
      </c>
      <c r="D172" s="118"/>
      <c r="E172" s="118"/>
      <c r="F172" s="118"/>
    </row>
    <row r="173" spans="2:6" x14ac:dyDescent="0.3">
      <c r="B173" s="106" t="str">
        <f t="shared" si="28"/>
        <v>Altri beni</v>
      </c>
      <c r="D173" s="118"/>
      <c r="E173" s="118"/>
      <c r="F173" s="118"/>
    </row>
    <row r="174" spans="2:6" x14ac:dyDescent="0.3">
      <c r="D174" s="78"/>
      <c r="E174" s="78"/>
      <c r="F174" s="78"/>
    </row>
    <row r="175" spans="2:6" x14ac:dyDescent="0.3">
      <c r="D175" s="78"/>
      <c r="E175" s="78"/>
      <c r="F175" s="78"/>
    </row>
    <row r="176" spans="2:6" x14ac:dyDescent="0.3">
      <c r="D176" s="78"/>
      <c r="E176" s="78"/>
      <c r="F176" s="78"/>
    </row>
    <row r="177" spans="2:6" x14ac:dyDescent="0.3">
      <c r="B177" s="106" t="str">
        <f t="shared" si="28"/>
        <v>Costi d'impianto e ampliamento</v>
      </c>
      <c r="D177" s="118"/>
      <c r="E177" s="118"/>
      <c r="F177" s="118"/>
    </row>
    <row r="178" spans="2:6" x14ac:dyDescent="0.3">
      <c r="B178" s="106" t="str">
        <f t="shared" si="28"/>
        <v>Ricerca&amp; Sviluppo</v>
      </c>
      <c r="D178" s="118"/>
      <c r="E178" s="118"/>
      <c r="F178" s="118"/>
    </row>
    <row r="179" spans="2:6" x14ac:dyDescent="0.3">
      <c r="B179" s="106" t="str">
        <f t="shared" si="28"/>
        <v>Altre immobilizzazioni immateriali</v>
      </c>
      <c r="D179" s="118"/>
      <c r="E179" s="118"/>
      <c r="F179" s="118"/>
    </row>
    <row r="182" spans="2:6" x14ac:dyDescent="0.3">
      <c r="B182" s="100" t="s">
        <v>61</v>
      </c>
      <c r="D182" s="100">
        <f>+D169</f>
        <v>2018</v>
      </c>
      <c r="E182" s="100">
        <f t="shared" ref="E182:F182" si="29">+E169</f>
        <v>2019</v>
      </c>
      <c r="F182" s="100">
        <f t="shared" si="29"/>
        <v>2020</v>
      </c>
    </row>
    <row r="183" spans="2:6" x14ac:dyDescent="0.3">
      <c r="B183" s="106" t="str">
        <f>+B170</f>
        <v>Fabbricati</v>
      </c>
      <c r="D183" s="118">
        <f>+D53+D66+D79+D92+D105+D118+D131+D144+D157+D170</f>
        <v>0</v>
      </c>
      <c r="E183" s="118">
        <f t="shared" ref="E183:F183" si="30">+E53+E66+E79+E92+E105+E118+E131+E144+E157+E170</f>
        <v>0</v>
      </c>
      <c r="F183" s="118">
        <f t="shared" si="30"/>
        <v>0</v>
      </c>
    </row>
    <row r="184" spans="2:6" x14ac:dyDescent="0.3">
      <c r="B184" s="106" t="str">
        <f t="shared" ref="B184:B192" si="31">+B171</f>
        <v>Impianti e Macchinari</v>
      </c>
      <c r="D184" s="118">
        <f t="shared" ref="D184:F186" si="32">+D54+D67+D80+D93+D106+D119+D132+D145+D158+D171</f>
        <v>0</v>
      </c>
      <c r="E184" s="118">
        <f t="shared" si="32"/>
        <v>0</v>
      </c>
      <c r="F184" s="118">
        <f t="shared" si="32"/>
        <v>0</v>
      </c>
    </row>
    <row r="185" spans="2:6" x14ac:dyDescent="0.3">
      <c r="B185" s="106" t="str">
        <f t="shared" si="31"/>
        <v>Attrezzature industriali e commerciali</v>
      </c>
      <c r="D185" s="118">
        <f t="shared" si="32"/>
        <v>0</v>
      </c>
      <c r="E185" s="118">
        <f t="shared" si="32"/>
        <v>0</v>
      </c>
      <c r="F185" s="118">
        <f t="shared" si="32"/>
        <v>0</v>
      </c>
    </row>
    <row r="186" spans="2:6" x14ac:dyDescent="0.3">
      <c r="B186" s="106" t="str">
        <f t="shared" si="31"/>
        <v>Altri beni</v>
      </c>
      <c r="D186" s="118">
        <f t="shared" si="32"/>
        <v>0</v>
      </c>
      <c r="E186" s="118">
        <f t="shared" si="32"/>
        <v>0</v>
      </c>
      <c r="F186" s="118">
        <f t="shared" si="32"/>
        <v>0</v>
      </c>
    </row>
    <row r="187" spans="2:6" x14ac:dyDescent="0.3">
      <c r="B187" s="2" t="s">
        <v>62</v>
      </c>
      <c r="C187" s="2"/>
      <c r="D187" s="81">
        <f>SUM(D183:D186)</f>
        <v>0</v>
      </c>
      <c r="E187" s="81">
        <f t="shared" ref="E187:F187" si="33">SUM(E183:E186)</f>
        <v>0</v>
      </c>
      <c r="F187" s="81">
        <f t="shared" si="33"/>
        <v>0</v>
      </c>
    </row>
    <row r="188" spans="2:6" x14ac:dyDescent="0.3">
      <c r="D188" s="78"/>
      <c r="E188" s="78"/>
      <c r="F188" s="78"/>
    </row>
    <row r="189" spans="2:6" x14ac:dyDescent="0.3">
      <c r="D189" s="78"/>
      <c r="E189" s="78"/>
      <c r="F189" s="78"/>
    </row>
    <row r="190" spans="2:6" x14ac:dyDescent="0.3">
      <c r="B190" s="106" t="str">
        <f t="shared" si="31"/>
        <v>Costi d'impianto e ampliamento</v>
      </c>
      <c r="D190" s="118">
        <f>+D60+D73+D86+D99+D112+D125+D138+D151+D164+D177</f>
        <v>0</v>
      </c>
      <c r="E190" s="118">
        <f t="shared" ref="E190:F190" si="34">+E60+E73+E86+E99+E112+E125+E138+E151+E164+E177</f>
        <v>0</v>
      </c>
      <c r="F190" s="118">
        <f t="shared" si="34"/>
        <v>0</v>
      </c>
    </row>
    <row r="191" spans="2:6" x14ac:dyDescent="0.3">
      <c r="B191" s="106" t="str">
        <f t="shared" si="31"/>
        <v>Ricerca&amp; Sviluppo</v>
      </c>
      <c r="D191" s="118">
        <f t="shared" ref="D191:F192" si="35">+D61+D74+D87+D100+D113+D126+D139+D152+D165+D178</f>
        <v>0</v>
      </c>
      <c r="E191" s="118">
        <f t="shared" si="35"/>
        <v>0</v>
      </c>
      <c r="F191" s="118">
        <f t="shared" si="35"/>
        <v>0</v>
      </c>
    </row>
    <row r="192" spans="2:6" x14ac:dyDescent="0.3">
      <c r="B192" s="106" t="str">
        <f t="shared" si="31"/>
        <v>Altre immobilizzazioni immateriali</v>
      </c>
      <c r="D192" s="118">
        <f t="shared" si="35"/>
        <v>0</v>
      </c>
      <c r="E192" s="118">
        <f t="shared" si="35"/>
        <v>0</v>
      </c>
      <c r="F192" s="118">
        <f t="shared" si="35"/>
        <v>0</v>
      </c>
    </row>
    <row r="193" spans="2:6" x14ac:dyDescent="0.3">
      <c r="B193" s="2" t="s">
        <v>63</v>
      </c>
      <c r="D193" s="81">
        <f>SUM(D190:D192)</f>
        <v>0</v>
      </c>
      <c r="E193" s="81">
        <f t="shared" ref="E193:F193" si="36">SUM(E190:E192)</f>
        <v>0</v>
      </c>
      <c r="F193" s="81">
        <f t="shared" si="36"/>
        <v>0</v>
      </c>
    </row>
  </sheetData>
  <conditionalFormatting sqref="C23:C26">
    <cfRule type="expression" dxfId="17" priority="23" stopIfTrue="1">
      <formula>ABS(SUM(C23)-SUM(#REF!))&gt;=1</formula>
    </cfRule>
  </conditionalFormatting>
  <conditionalFormatting sqref="C49:C50">
    <cfRule type="expression" dxfId="16" priority="10" stopIfTrue="1">
      <formula>ABS(SUM(C49)-SUM(#REF!))&gt;=1</formula>
    </cfRule>
  </conditionalFormatting>
  <conditionalFormatting sqref="D4:D7">
    <cfRule type="expression" dxfId="15" priority="9" stopIfTrue="1">
      <formula>ABS(SUM(D4)-SUM(#REF!))&gt;=1</formula>
    </cfRule>
  </conditionalFormatting>
  <conditionalFormatting sqref="D10:D12">
    <cfRule type="expression" dxfId="14" priority="8" stopIfTrue="1">
      <formula>ABS(SUM(D10)-SUM(#REF!))&gt;=1</formula>
    </cfRule>
  </conditionalFormatting>
  <conditionalFormatting sqref="D15:F15">
    <cfRule type="expression" dxfId="13" priority="7" stopIfTrue="1">
      <formula>ABS(SUM(D15)-SUM(#REF!))&gt;=1</formula>
    </cfRule>
  </conditionalFormatting>
  <conditionalFormatting sqref="D23:F26">
    <cfRule type="expression" dxfId="12" priority="6" stopIfTrue="1">
      <formula>ABS(SUM(D23)-SUM(#REF!))&gt;=1</formula>
    </cfRule>
  </conditionalFormatting>
  <conditionalFormatting sqref="C30:C32">
    <cfRule type="expression" dxfId="11" priority="5" stopIfTrue="1">
      <formula>ABS(SUM(C30)-SUM(#REF!))&gt;=1</formula>
    </cfRule>
  </conditionalFormatting>
  <conditionalFormatting sqref="D30:F32">
    <cfRule type="expression" dxfId="10" priority="4" stopIfTrue="1">
      <formula>ABS(SUM(D30)-SUM(#REF!))&gt;=1</formula>
    </cfRule>
  </conditionalFormatting>
  <conditionalFormatting sqref="D35:F35">
    <cfRule type="expression" dxfId="9" priority="3" stopIfTrue="1">
      <formula>ABS(SUM(D35)-SUM(#REF!))&gt;=1</formula>
    </cfRule>
  </conditionalFormatting>
  <conditionalFormatting sqref="C39:C42">
    <cfRule type="expression" dxfId="8" priority="2" stopIfTrue="1">
      <formula>ABS(SUM(C39)-SUM(#REF!))&gt;=1</formula>
    </cfRule>
  </conditionalFormatting>
  <conditionalFormatting sqref="C46:C48">
    <cfRule type="expression" dxfId="7" priority="1" stopIfTrue="1">
      <formula>ABS(SUM(C46)-SUM(#REF!))&gt;=1</formula>
    </cfRule>
  </conditionalFormatting>
  <hyperlinks>
    <hyperlink ref="A1" location="Menu!A1" display="MENU" xr:uid="{00000000-0004-0000-0600-000000000000}"/>
    <hyperlink ref="A20" location="Menu!A1" display="MENU" xr:uid="{00000000-0004-0000-0600-000001000000}"/>
  </hyperlink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145"/>
  <sheetViews>
    <sheetView showGridLines="0" topLeftCell="A45" workbookViewId="0">
      <selection activeCell="F45" sqref="F1:L1048576"/>
    </sheetView>
  </sheetViews>
  <sheetFormatPr defaultColWidth="8.6640625" defaultRowHeight="14.4" x14ac:dyDescent="0.3"/>
  <cols>
    <col min="2" max="2" width="31.6640625" bestFit="1" customWidth="1"/>
    <col min="3" max="5" width="10.5546875" bestFit="1" customWidth="1"/>
  </cols>
  <sheetData>
    <row r="2" spans="2:5" x14ac:dyDescent="0.3">
      <c r="B2" s="2" t="s">
        <v>927</v>
      </c>
    </row>
    <row r="3" spans="2:5" x14ac:dyDescent="0.3">
      <c r="B3" s="2" t="s">
        <v>928</v>
      </c>
      <c r="C3" s="61">
        <f>+'CE Previsionale'!F2</f>
        <v>2018</v>
      </c>
      <c r="D3" s="61">
        <f>+'CE Previsionale'!G2</f>
        <v>2019</v>
      </c>
      <c r="E3" s="61">
        <f>+'CE Previsionale'!H2</f>
        <v>2020</v>
      </c>
    </row>
    <row r="4" spans="2:5" x14ac:dyDescent="0.3">
      <c r="B4" s="79" t="str">
        <f>+'Scheda Inv'!B4</f>
        <v>Fabbricati</v>
      </c>
      <c r="C4" s="78">
        <f>+IF('Scheda Inv'!D4=0,0,'Scheda Inv'!$C4/'Scheda Inv'!$D4)</f>
        <v>0</v>
      </c>
      <c r="D4" s="78">
        <f>++IF('Scheda Inv'!D4=0,0,IF(C11='Scheda Inv'!$C4,0,'Scheda Inv'!$C4/'Scheda Inv'!$D4))</f>
        <v>0</v>
      </c>
      <c r="E4" s="78">
        <f>+IF('Scheda Inv'!$D4=0,0,IF(D11='Scheda Inv'!$C4,0,'Scheda Inv'!$C4/'Scheda Inv'!$D4))</f>
        <v>0</v>
      </c>
    </row>
    <row r="5" spans="2:5" x14ac:dyDescent="0.3">
      <c r="B5" s="79" t="str">
        <f>+'Scheda Inv'!B5</f>
        <v>Impianti e Macchinari</v>
      </c>
      <c r="C5" s="78">
        <f>+IF('Scheda Inv'!D5=0,0,'Scheda Inv'!$C5/'Scheda Inv'!$D5)</f>
        <v>486.02199999999993</v>
      </c>
      <c r="D5" s="78">
        <f>++IF('Scheda Inv'!D5=0,0,IF(C12='Scheda Inv'!$C5,0,'Scheda Inv'!$C5/'Scheda Inv'!$D5))</f>
        <v>486.02199999999993</v>
      </c>
      <c r="E5" s="78">
        <f>+IF('Scheda Inv'!$D5=0,0,IF(D12='Scheda Inv'!$C5,0,'Scheda Inv'!$C5/'Scheda Inv'!$D5))</f>
        <v>486.02199999999993</v>
      </c>
    </row>
    <row r="6" spans="2:5" x14ac:dyDescent="0.3">
      <c r="B6" s="79" t="str">
        <f>+'Scheda Inv'!B6</f>
        <v>Attrezzature industriali e commerciali</v>
      </c>
      <c r="C6" s="78">
        <f>+IF('Scheda Inv'!D6=0,0,'Scheda Inv'!$C6/'Scheda Inv'!$D6)</f>
        <v>0</v>
      </c>
      <c r="D6" s="78">
        <f>++IF('Scheda Inv'!D6=0,0,IF(C13='Scheda Inv'!$C6,0,'Scheda Inv'!$C6/'Scheda Inv'!$D6))</f>
        <v>0</v>
      </c>
      <c r="E6" s="78">
        <f>+IF('Scheda Inv'!$D6=0,0,IF(D13='Scheda Inv'!$C6,0,'Scheda Inv'!$C6/'Scheda Inv'!$D6))</f>
        <v>0</v>
      </c>
    </row>
    <row r="7" spans="2:5" x14ac:dyDescent="0.3">
      <c r="B7" s="79" t="str">
        <f>+'Scheda Inv'!B7</f>
        <v>Altri beni</v>
      </c>
      <c r="C7" s="78">
        <f>+IF('Scheda Inv'!D7=0,0,'Scheda Inv'!$C7/'Scheda Inv'!$D7)</f>
        <v>1256.1549999999995</v>
      </c>
      <c r="D7" s="78">
        <f>++IF('Scheda Inv'!D7=0,0,IF(C14='Scheda Inv'!$C7,0,'Scheda Inv'!$C7/'Scheda Inv'!$D7))</f>
        <v>1256.1549999999995</v>
      </c>
      <c r="E7" s="78">
        <f>+IF('Scheda Inv'!$D7=0,0,IF(D14='Scheda Inv'!$C7,0,'Scheda Inv'!$C7/'Scheda Inv'!$D7))</f>
        <v>1256.1549999999995</v>
      </c>
    </row>
    <row r="8" spans="2:5" x14ac:dyDescent="0.3">
      <c r="B8" s="79" t="s">
        <v>929</v>
      </c>
      <c r="C8" s="81">
        <f>SUM(C4:C7)</f>
        <v>1742.1769999999995</v>
      </c>
      <c r="D8" s="81">
        <f t="shared" ref="D8:E8" si="0">SUM(D4:D7)</f>
        <v>1742.1769999999995</v>
      </c>
      <c r="E8" s="81">
        <f t="shared" si="0"/>
        <v>1742.1769999999995</v>
      </c>
    </row>
    <row r="10" spans="2:5" x14ac:dyDescent="0.3">
      <c r="B10" s="2" t="s">
        <v>930</v>
      </c>
      <c r="C10" s="61">
        <f>+C3</f>
        <v>2018</v>
      </c>
      <c r="D10" s="61">
        <f t="shared" ref="D10:E10" si="1">+D3</f>
        <v>2019</v>
      </c>
      <c r="E10" s="61">
        <f t="shared" si="1"/>
        <v>2020</v>
      </c>
    </row>
    <row r="11" spans="2:5" x14ac:dyDescent="0.3">
      <c r="B11" s="79" t="str">
        <f>+B4</f>
        <v>Fabbricati</v>
      </c>
      <c r="C11" s="78">
        <f>+C4</f>
        <v>0</v>
      </c>
      <c r="D11" s="78">
        <f>+C11+D4</f>
        <v>0</v>
      </c>
      <c r="E11" s="78">
        <f t="shared" ref="E11" si="2">+D11+E4</f>
        <v>0</v>
      </c>
    </row>
    <row r="12" spans="2:5" x14ac:dyDescent="0.3">
      <c r="B12" s="79" t="str">
        <f t="shared" ref="B12:C14" si="3">+B5</f>
        <v>Impianti e Macchinari</v>
      </c>
      <c r="C12" s="78">
        <f>+C5</f>
        <v>486.02199999999993</v>
      </c>
      <c r="D12" s="78">
        <f>+C12+D5</f>
        <v>972.04399999999987</v>
      </c>
      <c r="E12" s="78">
        <f t="shared" ref="E12:E14" si="4">+D12+E5</f>
        <v>1458.0659999999998</v>
      </c>
    </row>
    <row r="13" spans="2:5" x14ac:dyDescent="0.3">
      <c r="B13" s="79" t="str">
        <f t="shared" si="3"/>
        <v>Attrezzature industriali e commerciali</v>
      </c>
      <c r="C13" s="78">
        <f t="shared" si="3"/>
        <v>0</v>
      </c>
      <c r="D13" s="78">
        <f>+C13+D6</f>
        <v>0</v>
      </c>
      <c r="E13" s="78">
        <f t="shared" si="4"/>
        <v>0</v>
      </c>
    </row>
    <row r="14" spans="2:5" x14ac:dyDescent="0.3">
      <c r="B14" s="79" t="str">
        <f t="shared" si="3"/>
        <v>Altri beni</v>
      </c>
      <c r="C14" s="78">
        <f t="shared" si="3"/>
        <v>1256.1549999999995</v>
      </c>
      <c r="D14" s="78">
        <f>+C14+D7</f>
        <v>2512.309999999999</v>
      </c>
      <c r="E14" s="78">
        <f t="shared" si="4"/>
        <v>3768.4649999999983</v>
      </c>
    </row>
    <row r="15" spans="2:5" x14ac:dyDescent="0.3">
      <c r="B15" s="79"/>
      <c r="C15" s="78"/>
      <c r="D15" s="78"/>
      <c r="E15" s="78"/>
    </row>
    <row r="16" spans="2:5" x14ac:dyDescent="0.3">
      <c r="B16" s="2" t="s">
        <v>928</v>
      </c>
      <c r="C16" s="61">
        <f>+C3</f>
        <v>2018</v>
      </c>
      <c r="D16" s="61">
        <f t="shared" ref="D16:E16" si="5">+D3</f>
        <v>2019</v>
      </c>
      <c r="E16" s="61">
        <f t="shared" si="5"/>
        <v>2020</v>
      </c>
    </row>
    <row r="17" spans="1:9" x14ac:dyDescent="0.3">
      <c r="B17" s="79" t="s">
        <v>870</v>
      </c>
      <c r="C17" s="78">
        <f>+IF('Scheda Inv'!D10=0,0,'Scheda Inv'!$C10/'Scheda Inv'!$D10)</f>
        <v>0</v>
      </c>
      <c r="D17" s="78">
        <f>++IF('Scheda Inv'!$D10=0,0,IF(C23='Scheda Inv'!$C10,0,'Scheda Inv'!$C10/'Scheda Inv'!$D10))</f>
        <v>0</v>
      </c>
      <c r="E17" s="78">
        <f>++IF('Scheda Inv'!$D10=0,0,IF(D23='Scheda Inv'!$C10,0,'Scheda Inv'!$C10/'Scheda Inv'!$D10))</f>
        <v>0</v>
      </c>
    </row>
    <row r="18" spans="1:9" x14ac:dyDescent="0.3">
      <c r="B18" s="79" t="s">
        <v>871</v>
      </c>
      <c r="C18" s="78">
        <f>+IF('Scheda Inv'!D11=0,0,'Scheda Inv'!$C11/'Scheda Inv'!$D11)</f>
        <v>0</v>
      </c>
      <c r="D18" s="78">
        <f>++IF('Scheda Inv'!$D11=0,0,IF(C24='Scheda Inv'!$C11,0,'Scheda Inv'!$C11/'Scheda Inv'!$D11))</f>
        <v>0</v>
      </c>
      <c r="E18" s="78">
        <f>++IF('Scheda Inv'!$D11=0,0,IF(D24='Scheda Inv'!$C11,0,'Scheda Inv'!$C11/'Scheda Inv'!$D11))</f>
        <v>0</v>
      </c>
    </row>
    <row r="19" spans="1:9" x14ac:dyDescent="0.3">
      <c r="B19" s="79" t="s">
        <v>872</v>
      </c>
      <c r="C19" s="78">
        <f>+IF('Scheda Inv'!D12=0,0,'Scheda Inv'!$C12/'Scheda Inv'!$D12)</f>
        <v>19309.114000000001</v>
      </c>
      <c r="D19" s="78">
        <f>++IF('Scheda Inv'!$D12=0,0,IF(C25='Scheda Inv'!$C12,0,'Scheda Inv'!$C12/'Scheda Inv'!$D12))</f>
        <v>19309.114000000001</v>
      </c>
      <c r="E19" s="78">
        <f>++IF('Scheda Inv'!$D12=0,0,IF(D25='Scheda Inv'!$C12,0,'Scheda Inv'!$C12/'Scheda Inv'!$D12))</f>
        <v>19309.114000000001</v>
      </c>
    </row>
    <row r="20" spans="1:9" x14ac:dyDescent="0.3">
      <c r="B20" s="79" t="s">
        <v>929</v>
      </c>
      <c r="C20" s="81">
        <f t="shared" ref="C20:E20" si="6">SUM(C17:C19)</f>
        <v>19309.114000000001</v>
      </c>
      <c r="D20" s="81">
        <f t="shared" si="6"/>
        <v>19309.114000000001</v>
      </c>
      <c r="E20" s="81">
        <f t="shared" si="6"/>
        <v>19309.114000000001</v>
      </c>
    </row>
    <row r="22" spans="1:9" x14ac:dyDescent="0.3">
      <c r="B22" s="2" t="s">
        <v>930</v>
      </c>
      <c r="C22" s="61">
        <f t="shared" ref="C22:E22" si="7">+C16</f>
        <v>2018</v>
      </c>
      <c r="D22" s="61">
        <f t="shared" si="7"/>
        <v>2019</v>
      </c>
      <c r="E22" s="61">
        <f t="shared" si="7"/>
        <v>2020</v>
      </c>
    </row>
    <row r="23" spans="1:9" x14ac:dyDescent="0.3">
      <c r="B23" s="79" t="str">
        <f t="shared" ref="B23:C25" si="8">+B17</f>
        <v xml:space="preserve">           1) Costi d'impianto e ampliamento</v>
      </c>
      <c r="C23" s="78">
        <f t="shared" si="8"/>
        <v>0</v>
      </c>
      <c r="D23" s="78">
        <f t="shared" ref="D23:E23" si="9">+C23+D17</f>
        <v>0</v>
      </c>
      <c r="E23" s="78">
        <f t="shared" si="9"/>
        <v>0</v>
      </c>
    </row>
    <row r="24" spans="1:9" x14ac:dyDescent="0.3">
      <c r="B24" s="79" t="str">
        <f t="shared" si="8"/>
        <v xml:space="preserve">           2) Ricerca&amp; Sviluppo</v>
      </c>
      <c r="C24" s="78">
        <f>+C18</f>
        <v>0</v>
      </c>
      <c r="D24" s="78">
        <f t="shared" ref="D24:E24" si="10">+C24+D18</f>
        <v>0</v>
      </c>
      <c r="E24" s="78">
        <f t="shared" si="10"/>
        <v>0</v>
      </c>
    </row>
    <row r="25" spans="1:9" x14ac:dyDescent="0.3">
      <c r="B25" s="79" t="str">
        <f t="shared" si="8"/>
        <v xml:space="preserve">           3) Altre immobilizzazioni immateriali</v>
      </c>
      <c r="C25" s="78">
        <f t="shared" si="8"/>
        <v>19309.114000000001</v>
      </c>
      <c r="D25" s="78">
        <f t="shared" ref="D25:E25" si="11">+C25+D19</f>
        <v>38618.228000000003</v>
      </c>
      <c r="E25" s="78">
        <f t="shared" si="11"/>
        <v>57927.342000000004</v>
      </c>
    </row>
    <row r="26" spans="1:9" x14ac:dyDescent="0.3">
      <c r="B26" s="79"/>
      <c r="C26" s="78"/>
      <c r="D26" s="78"/>
      <c r="E26" s="78"/>
    </row>
    <row r="27" spans="1:9" x14ac:dyDescent="0.3">
      <c r="B27" s="79"/>
      <c r="C27" s="78"/>
      <c r="D27" s="78"/>
      <c r="E27" s="78"/>
    </row>
    <row r="28" spans="1:9" x14ac:dyDescent="0.3">
      <c r="A28" s="80"/>
      <c r="B28" s="80"/>
      <c r="C28" s="80"/>
      <c r="D28" s="80"/>
      <c r="E28" s="80"/>
      <c r="F28" s="80"/>
      <c r="G28" s="80"/>
      <c r="H28" s="80"/>
      <c r="I28" s="80"/>
    </row>
    <row r="30" spans="1:9" x14ac:dyDescent="0.3">
      <c r="B30" t="s">
        <v>48</v>
      </c>
    </row>
    <row r="31" spans="1:9" x14ac:dyDescent="0.3">
      <c r="B31" s="2" t="str">
        <f>+B3</f>
        <v>Ammortamenti Materiali</v>
      </c>
      <c r="C31" s="2">
        <f>+C3</f>
        <v>2018</v>
      </c>
      <c r="D31" s="2">
        <f t="shared" ref="D31:E31" si="12">+D3</f>
        <v>2019</v>
      </c>
      <c r="E31" s="2">
        <f t="shared" si="12"/>
        <v>2020</v>
      </c>
    </row>
    <row r="32" spans="1:9" x14ac:dyDescent="0.3">
      <c r="B32" s="79" t="str">
        <f>+B4</f>
        <v>Fabbricati</v>
      </c>
      <c r="C32">
        <f>+'Scheda Inv'!D23</f>
        <v>0</v>
      </c>
    </row>
    <row r="33" spans="2:2" x14ac:dyDescent="0.3">
      <c r="B33" s="79" t="str">
        <f t="shared" ref="B33:B35" si="13">+B5</f>
        <v>Impianti e Macchinari</v>
      </c>
    </row>
    <row r="34" spans="2:2" x14ac:dyDescent="0.3">
      <c r="B34" s="79" t="str">
        <f t="shared" si="13"/>
        <v>Attrezzature industriali e commerciali</v>
      </c>
    </row>
    <row r="35" spans="2:2" x14ac:dyDescent="0.3">
      <c r="B35" s="79" t="str">
        <f t="shared" si="13"/>
        <v>Altri beni</v>
      </c>
    </row>
    <row r="55" spans="2:5" x14ac:dyDescent="0.3">
      <c r="B55" t="s">
        <v>931</v>
      </c>
      <c r="C55" s="61">
        <f t="shared" ref="C55:E55" si="14">+C3</f>
        <v>2018</v>
      </c>
      <c r="D55" s="61">
        <f t="shared" si="14"/>
        <v>2019</v>
      </c>
      <c r="E55" s="61">
        <f t="shared" si="14"/>
        <v>2020</v>
      </c>
    </row>
    <row r="56" spans="2:5" x14ac:dyDescent="0.3">
      <c r="B56" t="s">
        <v>932</v>
      </c>
      <c r="C56" s="78">
        <f>+'CE Previsionale'!F5+'CE Previsionale'!F6</f>
        <v>1208947.824</v>
      </c>
      <c r="D56" s="78">
        <f>+'CE Previsionale'!G5+'CE Previsionale'!G6</f>
        <v>1269395.2152</v>
      </c>
      <c r="E56" s="78">
        <f>+'CE Previsionale'!H5+'CE Previsionale'!H6</f>
        <v>1332864.97596</v>
      </c>
    </row>
    <row r="57" spans="2:5" x14ac:dyDescent="0.3">
      <c r="B57" t="s">
        <v>933</v>
      </c>
      <c r="C57" s="78">
        <f>+C56*'Input Previsionale'!$E$3</f>
        <v>265968.52127999999</v>
      </c>
      <c r="D57" s="78">
        <f>+D56*'Input Previsionale'!$E$3</f>
        <v>279266.94734399999</v>
      </c>
      <c r="E57" s="78">
        <f>+E56*'Input Previsionale'!$E$3</f>
        <v>293230.2947112</v>
      </c>
    </row>
    <row r="58" spans="2:5" x14ac:dyDescent="0.3">
      <c r="B58" t="s">
        <v>934</v>
      </c>
      <c r="C58" s="78">
        <f>+(C56+C57)*('Input Previsionale'!E10/360)</f>
        <v>122909.69544</v>
      </c>
      <c r="D58" s="78">
        <f>+(D56+D57)*('Input Previsionale'!F10/360)</f>
        <v>129055.18021199999</v>
      </c>
      <c r="E58" s="78">
        <f>+(E56+E57)*('Input Previsionale'!G10/360)</f>
        <v>135507.93922259999</v>
      </c>
    </row>
    <row r="59" spans="2:5" x14ac:dyDescent="0.3">
      <c r="B59" t="s">
        <v>935</v>
      </c>
      <c r="C59" s="62">
        <f>+C56+C57-C58</f>
        <v>1352006.6498400001</v>
      </c>
      <c r="D59" s="62">
        <f>+D56+D57+C58-D58</f>
        <v>1542516.677772</v>
      </c>
      <c r="E59" s="62">
        <f t="shared" ref="E59" si="15">+E56+E57+D58-E58</f>
        <v>1619642.5116605998</v>
      </c>
    </row>
    <row r="60" spans="2:5" x14ac:dyDescent="0.3">
      <c r="D60" s="62"/>
      <c r="E60" s="62"/>
    </row>
    <row r="61" spans="2:5" ht="15.45" customHeight="1" x14ac:dyDescent="0.3">
      <c r="B61" t="s">
        <v>936</v>
      </c>
      <c r="C61" s="62">
        <f>+C56+C57-C58-C59</f>
        <v>0</v>
      </c>
      <c r="D61" s="62">
        <f>+D56+D57-(D59+D58-C58)</f>
        <v>0</v>
      </c>
      <c r="E61" s="62">
        <f t="shared" ref="E61" si="16">+E56+E57-(E59+E58-D58)</f>
        <v>0</v>
      </c>
    </row>
    <row r="64" spans="2:5" x14ac:dyDescent="0.3">
      <c r="B64" s="2" t="s">
        <v>937</v>
      </c>
      <c r="C64" s="61">
        <f>+C3</f>
        <v>2018</v>
      </c>
      <c r="D64" s="61">
        <f t="shared" ref="D64:E64" si="17">+D3</f>
        <v>2019</v>
      </c>
      <c r="E64" s="61">
        <f t="shared" si="17"/>
        <v>2020</v>
      </c>
    </row>
    <row r="65" spans="2:5" x14ac:dyDescent="0.3">
      <c r="B65" t="s">
        <v>938</v>
      </c>
      <c r="C65" s="78">
        <f>+'CE Previsionale'!F11</f>
        <v>846286.47680000006</v>
      </c>
      <c r="D65" s="78">
        <f>+'CE Previsionale'!G11</f>
        <v>888576.65064000001</v>
      </c>
      <c r="E65" s="78">
        <f>+'CE Previsionale'!H11</f>
        <v>933005.48317199992</v>
      </c>
    </row>
    <row r="66" spans="2:5" x14ac:dyDescent="0.3">
      <c r="B66" t="s">
        <v>939</v>
      </c>
      <c r="C66" s="78">
        <f>+C65*'Input Previsionale'!$E$3</f>
        <v>186183.02489600002</v>
      </c>
      <c r="D66" s="78">
        <f>+D65*'Input Previsionale'!$E$3</f>
        <v>195486.86314080001</v>
      </c>
      <c r="E66" s="78">
        <f>+E65*'Input Previsionale'!$E$3</f>
        <v>205261.20629783999</v>
      </c>
    </row>
    <row r="67" spans="2:5" x14ac:dyDescent="0.3">
      <c r="B67" t="s">
        <v>940</v>
      </c>
      <c r="C67" s="78">
        <f>+(C65+C66)*('Input Previsionale'!E15/360)</f>
        <v>86039.125141333338</v>
      </c>
      <c r="D67" s="78">
        <f>+(D65+D66)*('Input Previsionale'!F15/360)</f>
        <v>90338.626148399984</v>
      </c>
      <c r="E67" s="78">
        <f>+(E65+E66)*('Input Previsionale'!G15/360)</f>
        <v>94855.557455819988</v>
      </c>
    </row>
    <row r="68" spans="2:5" x14ac:dyDescent="0.3">
      <c r="B68" t="s">
        <v>941</v>
      </c>
      <c r="C68" s="62">
        <f>+C65+C66-C67</f>
        <v>946430.37655466679</v>
      </c>
      <c r="D68" s="62">
        <f>+D65+D66+C67-D67</f>
        <v>1079764.0127737334</v>
      </c>
      <c r="E68" s="62">
        <f t="shared" ref="E68" si="18">+E65+E66+D67-E67</f>
        <v>1133749.7581624198</v>
      </c>
    </row>
    <row r="69" spans="2:5" x14ac:dyDescent="0.3">
      <c r="D69" s="62"/>
      <c r="E69" s="62"/>
    </row>
    <row r="70" spans="2:5" x14ac:dyDescent="0.3">
      <c r="B70" t="s">
        <v>936</v>
      </c>
      <c r="C70" s="62">
        <f>+C65+C66-C67-C68</f>
        <v>0</v>
      </c>
      <c r="D70" s="62">
        <f>+D65+D66-(D68+D67-C67)</f>
        <v>0</v>
      </c>
      <c r="E70" s="62">
        <f t="shared" ref="E70" si="19">+E65+E66-(E68+E67-D67)</f>
        <v>0</v>
      </c>
    </row>
    <row r="73" spans="2:5" x14ac:dyDescent="0.3">
      <c r="B73" s="2" t="s">
        <v>942</v>
      </c>
      <c r="C73" s="61">
        <f>+C3</f>
        <v>2018</v>
      </c>
      <c r="D73" s="61">
        <f t="shared" ref="D73:E73" si="20">+D3</f>
        <v>2019</v>
      </c>
      <c r="E73" s="61">
        <f t="shared" si="20"/>
        <v>2020</v>
      </c>
    </row>
    <row r="74" spans="2:5" x14ac:dyDescent="0.3">
      <c r="B74" t="s">
        <v>942</v>
      </c>
      <c r="C74" s="78">
        <f>+'CE Previsionale'!F17+'CE Previsionale'!F18</f>
        <v>41197.398000000008</v>
      </c>
      <c r="D74" s="78">
        <f>+'CE Previsionale'!G17+'CE Previsionale'!G18</f>
        <v>41197.398000000008</v>
      </c>
      <c r="E74" s="78">
        <f>+'CE Previsionale'!H17+'CE Previsionale'!H18</f>
        <v>41197.398000000008</v>
      </c>
    </row>
    <row r="75" spans="2:5" x14ac:dyDescent="0.3">
      <c r="B75" t="s">
        <v>939</v>
      </c>
      <c r="C75" s="78">
        <f>+C74*'Input Previsionale'!$E$3</f>
        <v>9063.4275600000019</v>
      </c>
      <c r="D75" s="78">
        <f>+D74*'Input Previsionale'!$E$3</f>
        <v>9063.4275600000019</v>
      </c>
      <c r="E75" s="78">
        <f>+E74*'Input Previsionale'!$E$3</f>
        <v>9063.4275600000019</v>
      </c>
    </row>
    <row r="76" spans="2:5" x14ac:dyDescent="0.3">
      <c r="B76" t="s">
        <v>940</v>
      </c>
      <c r="C76" s="78">
        <f>+(C74+C75)*('Input Previsionale'!E14/360)</f>
        <v>41.884021300000008</v>
      </c>
      <c r="D76" s="78">
        <f>+(D74+D75)*('Input Previsionale'!F14/360)</f>
        <v>41.884021300000008</v>
      </c>
      <c r="E76" s="78">
        <f>+(E74+E75)*('Input Previsionale'!G14/360)</f>
        <v>41.884021300000008</v>
      </c>
    </row>
    <row r="77" spans="2:5" x14ac:dyDescent="0.3">
      <c r="B77" t="s">
        <v>941</v>
      </c>
      <c r="C77" s="62">
        <f>+C74+C75-C76</f>
        <v>50218.941538700012</v>
      </c>
      <c r="D77" s="62">
        <f>+D74+D75+C76-D76</f>
        <v>50260.825560000012</v>
      </c>
      <c r="E77" s="62">
        <f t="shared" ref="E77" si="21">+E74+E75+D76-E76</f>
        <v>50260.825560000012</v>
      </c>
    </row>
    <row r="78" spans="2:5" x14ac:dyDescent="0.3">
      <c r="D78" s="62"/>
      <c r="E78" s="62"/>
    </row>
    <row r="79" spans="2:5" x14ac:dyDescent="0.3">
      <c r="B79" t="s">
        <v>936</v>
      </c>
      <c r="C79" s="62">
        <f>+C74+C75-C76-C77</f>
        <v>0</v>
      </c>
      <c r="D79" s="62">
        <f>+D74+D75-(D77+D76-C76)</f>
        <v>0</v>
      </c>
      <c r="E79" s="62">
        <f t="shared" ref="E79" si="22">+E74+E75-(E77+E76-D76)</f>
        <v>0</v>
      </c>
    </row>
    <row r="80" spans="2:5" x14ac:dyDescent="0.3">
      <c r="C80" s="62"/>
      <c r="D80" s="62"/>
      <c r="E80" s="62"/>
    </row>
    <row r="81" spans="2:5" x14ac:dyDescent="0.3">
      <c r="B81" t="s">
        <v>943</v>
      </c>
      <c r="C81" s="62">
        <f>+'CE Previsionale'!F27</f>
        <v>88636.792000000016</v>
      </c>
      <c r="D81" s="62">
        <f>+'CE Previsionale'!G27</f>
        <v>88636.792000000016</v>
      </c>
      <c r="E81" s="62">
        <f>+'CE Previsionale'!H27</f>
        <v>88636.792000000016</v>
      </c>
    </row>
    <row r="82" spans="2:5" x14ac:dyDescent="0.3">
      <c r="B82" t="s">
        <v>944</v>
      </c>
      <c r="C82" s="62">
        <f>+'CE Previsionale'!E28</f>
        <v>4432.42</v>
      </c>
      <c r="D82" s="62">
        <f>+'CE Previsionale'!F28</f>
        <v>4476.7442000000001</v>
      </c>
      <c r="E82" s="62">
        <f>+'CE Previsionale'!G28</f>
        <v>4476.7442000000001</v>
      </c>
    </row>
    <row r="83" spans="2:5" x14ac:dyDescent="0.3">
      <c r="B83" t="s">
        <v>941</v>
      </c>
      <c r="C83" s="62">
        <f>+C81</f>
        <v>88636.792000000016</v>
      </c>
      <c r="D83" s="62">
        <f t="shared" ref="D83:E83" si="23">+D81</f>
        <v>88636.792000000016</v>
      </c>
      <c r="E83" s="62">
        <f t="shared" si="23"/>
        <v>88636.792000000016</v>
      </c>
    </row>
    <row r="84" spans="2:5" x14ac:dyDescent="0.3">
      <c r="C84" s="62"/>
      <c r="D84" s="62"/>
      <c r="E84" s="62"/>
    </row>
    <row r="91" spans="2:5" x14ac:dyDescent="0.3">
      <c r="B91" t="s">
        <v>945</v>
      </c>
      <c r="C91" s="61">
        <f>+C55</f>
        <v>2018</v>
      </c>
      <c r="D91" s="61">
        <f t="shared" ref="D91:E91" si="24">+D55</f>
        <v>2019</v>
      </c>
      <c r="E91" s="61">
        <f t="shared" si="24"/>
        <v>2020</v>
      </c>
    </row>
    <row r="92" spans="2:5" x14ac:dyDescent="0.3">
      <c r="C92" s="61"/>
      <c r="D92" s="61"/>
      <c r="E92" s="61"/>
    </row>
    <row r="93" spans="2:5" x14ac:dyDescent="0.3">
      <c r="B93" t="s">
        <v>935</v>
      </c>
      <c r="C93" s="78">
        <f>+C59+'Scheda Crediti'!E6+'Scheda Crediti'!E7+'Scheda Crediti'!E8+'Scheda Crediti'!E9</f>
        <v>1352006.6498400001</v>
      </c>
      <c r="D93" s="78">
        <f>+D59+'Scheda Crediti'!F6+'Scheda Crediti'!F7+'Scheda Crediti'!F8+'Scheda Crediti'!F9</f>
        <v>1542516.677772</v>
      </c>
      <c r="E93" s="78">
        <f>+E59+'Scheda Crediti'!G6+'Scheda Crediti'!G7+'Scheda Crediti'!G8+'Scheda Crediti'!G9</f>
        <v>1619642.5116605998</v>
      </c>
    </row>
    <row r="94" spans="2:5" x14ac:dyDescent="0.3">
      <c r="B94" t="s">
        <v>18</v>
      </c>
      <c r="C94" s="78">
        <f>+'Input Previsionale'!E29</f>
        <v>0</v>
      </c>
      <c r="D94" s="78">
        <f>+'Input Previsionale'!F29</f>
        <v>0</v>
      </c>
      <c r="E94" s="78">
        <f>+'Input Previsionale'!G29</f>
        <v>0</v>
      </c>
    </row>
    <row r="95" spans="2:5" x14ac:dyDescent="0.3">
      <c r="B95" t="s">
        <v>994</v>
      </c>
      <c r="C95" s="78">
        <f>+'Input Previsionale'!E24</f>
        <v>0</v>
      </c>
      <c r="D95" s="78">
        <f>+'Input Previsionale'!F24</f>
        <v>0</v>
      </c>
      <c r="E95" s="78">
        <f>+'Input Previsionale'!G24</f>
        <v>0</v>
      </c>
    </row>
    <row r="96" spans="2:5" x14ac:dyDescent="0.3">
      <c r="C96" s="61"/>
      <c r="D96" s="61"/>
      <c r="E96" s="61"/>
    </row>
    <row r="97" spans="2:5" x14ac:dyDescent="0.3">
      <c r="B97" s="2" t="s">
        <v>946</v>
      </c>
      <c r="C97" s="63">
        <f>+SUM(C93:C96)</f>
        <v>1352006.6498400001</v>
      </c>
      <c r="D97" s="63">
        <f t="shared" ref="D97:E97" si="25">+SUM(D93:D96)</f>
        <v>1542516.677772</v>
      </c>
      <c r="E97" s="63">
        <f t="shared" si="25"/>
        <v>1619642.5116605998</v>
      </c>
    </row>
    <row r="98" spans="2:5" x14ac:dyDescent="0.3">
      <c r="B98" s="2"/>
      <c r="C98" s="63"/>
      <c r="D98" s="63"/>
      <c r="E98" s="63"/>
    </row>
    <row r="99" spans="2:5" x14ac:dyDescent="0.3">
      <c r="B99" t="s">
        <v>947</v>
      </c>
      <c r="C99" s="78">
        <f>+C68+'Scheda Debiti'!E14</f>
        <v>946430.37655466679</v>
      </c>
      <c r="D99" s="78">
        <f>+D68+'Scheda Debiti'!F14</f>
        <v>1079764.0127737334</v>
      </c>
      <c r="E99" s="78">
        <f>+E68+'Scheda Debiti'!G14</f>
        <v>1133749.7581624198</v>
      </c>
    </row>
    <row r="100" spans="2:5" x14ac:dyDescent="0.3">
      <c r="B100" t="s">
        <v>948</v>
      </c>
      <c r="C100" s="78">
        <f>+C77</f>
        <v>50218.941538700012</v>
      </c>
      <c r="D100" s="78">
        <f t="shared" ref="D100:E100" si="26">+D77</f>
        <v>50260.825560000012</v>
      </c>
      <c r="E100" s="78">
        <f t="shared" si="26"/>
        <v>50260.825560000012</v>
      </c>
    </row>
    <row r="101" spans="2:5" x14ac:dyDescent="0.3">
      <c r="B101" t="s">
        <v>1004</v>
      </c>
      <c r="C101" s="78">
        <f>+'Scheda Debiti'!E17+'Scheda Debiti'!E18</f>
        <v>0</v>
      </c>
      <c r="D101" s="78">
        <f>+'Scheda Debiti'!F17+'Scheda Debiti'!F18</f>
        <v>0</v>
      </c>
      <c r="E101" s="78">
        <f>+'Scheda Debiti'!G17+'Scheda Debiti'!G18</f>
        <v>0</v>
      </c>
    </row>
    <row r="102" spans="2:5" x14ac:dyDescent="0.3">
      <c r="B102" t="s">
        <v>949</v>
      </c>
      <c r="C102" s="78">
        <f>+C81+'Scheda Debiti'!E15</f>
        <v>88636.792000000016</v>
      </c>
      <c r="D102" s="78">
        <f>+D81+'Scheda Debiti'!F15</f>
        <v>88636.792000000016</v>
      </c>
      <c r="E102" s="78">
        <f>+E81+'Scheda Debiti'!G15</f>
        <v>88636.792000000016</v>
      </c>
    </row>
    <row r="103" spans="2:5" x14ac:dyDescent="0.3">
      <c r="B103" t="s">
        <v>950</v>
      </c>
      <c r="C103" s="78">
        <f>+SUM('Scheda Inv'!D23:D26)+SUM('Scheda Inv'!D30:D32)+'Scheda Inv'!D35+SUM('Scheda Inv'!D39:D42)+SUM('Scheda Inv'!D46:D48)</f>
        <v>0</v>
      </c>
      <c r="D103" s="78">
        <f>+SUM('Scheda Inv'!E23:E26)+SUM('Scheda Inv'!E30:E32)+'Scheda Inv'!E35+SUM('Scheda Inv'!E39:E42)+SUM('Scheda Inv'!E46:E48)</f>
        <v>0</v>
      </c>
      <c r="E103" s="78">
        <f>+SUM('Scheda Inv'!F23:F26)+SUM('Scheda Inv'!F30:F32)+'Scheda Inv'!F35+SUM('Scheda Inv'!F39:F42)+SUM('Scheda Inv'!F46:F48)</f>
        <v>0</v>
      </c>
    </row>
    <row r="104" spans="2:5" x14ac:dyDescent="0.3">
      <c r="B104" t="s">
        <v>992</v>
      </c>
      <c r="C104" s="78">
        <f>+'Scheda Debiti'!E5+'Scheda Debiti'!E6+'Input Previsionale'!E25+'Input Previsionale'!E26</f>
        <v>0</v>
      </c>
      <c r="D104" s="78">
        <f>+'Scheda Debiti'!F5+'Scheda Debiti'!F6+'Input Previsionale'!F25+'Input Previsionale'!F26</f>
        <v>0</v>
      </c>
      <c r="E104" s="78">
        <f>+'Scheda Debiti'!G5+'Scheda Debiti'!G6+'Input Previsionale'!G25+'Input Previsionale'!G26</f>
        <v>0</v>
      </c>
    </row>
    <row r="105" spans="2:5" x14ac:dyDescent="0.3">
      <c r="B105" t="s">
        <v>993</v>
      </c>
      <c r="C105" s="78">
        <f>+'Scheda Debiti'!E9</f>
        <v>0</v>
      </c>
      <c r="D105" s="78">
        <f>+'Scheda Debiti'!F9</f>
        <v>0</v>
      </c>
      <c r="E105" s="78">
        <f>+'Scheda Debiti'!G9</f>
        <v>0</v>
      </c>
    </row>
    <row r="106" spans="2:5" x14ac:dyDescent="0.3">
      <c r="B106" t="s">
        <v>951</v>
      </c>
      <c r="C106" s="78">
        <f>+C125</f>
        <v>70722.068823999958</v>
      </c>
      <c r="D106" s="78">
        <f t="shared" ref="D106:E106" si="27">+D125</f>
        <v>74716.656643199967</v>
      </c>
      <c r="E106" s="78">
        <f t="shared" si="27"/>
        <v>78905.660853359994</v>
      </c>
    </row>
    <row r="107" spans="2:5" x14ac:dyDescent="0.3">
      <c r="B107" t="s">
        <v>4</v>
      </c>
      <c r="C107" s="78">
        <f>+C142+'Scheda Debiti'!E16</f>
        <v>0</v>
      </c>
      <c r="D107" s="78">
        <f>+D142+'Scheda Debiti'!F16</f>
        <v>28369.166487999988</v>
      </c>
      <c r="E107" s="78">
        <f>+E142+'Scheda Debiti'!G16</f>
        <v>33446.747348799989</v>
      </c>
    </row>
    <row r="108" spans="2:5" x14ac:dyDescent="0.3">
      <c r="B108" t="s">
        <v>991</v>
      </c>
      <c r="C108" s="78">
        <f>+'CE Previsionale'!F25</f>
        <v>119305.60400000002</v>
      </c>
      <c r="D108" s="78">
        <f>+'CE Previsionale'!G25</f>
        <v>119305.60400000002</v>
      </c>
      <c r="E108" s="78">
        <f>+'CE Previsionale'!H25</f>
        <v>119305.60400000002</v>
      </c>
    </row>
    <row r="109" spans="2:5" x14ac:dyDescent="0.3">
      <c r="B109" t="s">
        <v>1085</v>
      </c>
      <c r="C109" s="78">
        <f>+'Input Previsionale'!E37</f>
        <v>11929.470302399994</v>
      </c>
      <c r="D109" s="78">
        <f>+'Input Previsionale'!F37</f>
        <v>14540.797602239996</v>
      </c>
      <c r="E109" s="78">
        <f>+'Input Previsionale'!G37</f>
        <v>0</v>
      </c>
    </row>
    <row r="110" spans="2:5" x14ac:dyDescent="0.3">
      <c r="C110" s="61"/>
      <c r="D110" s="61"/>
      <c r="E110" s="61"/>
    </row>
    <row r="111" spans="2:5" x14ac:dyDescent="0.3">
      <c r="B111" s="2" t="s">
        <v>941</v>
      </c>
      <c r="C111" s="63">
        <f>+SUM(C99:C110)</f>
        <v>1287243.2532197668</v>
      </c>
      <c r="D111" s="63">
        <f t="shared" ref="D111:E111" si="28">+SUM(D99:D110)</f>
        <v>1455593.8550671733</v>
      </c>
      <c r="E111" s="63">
        <f t="shared" si="28"/>
        <v>1504305.3879245801</v>
      </c>
    </row>
    <row r="112" spans="2:5" x14ac:dyDescent="0.3">
      <c r="B112" t="s">
        <v>952</v>
      </c>
      <c r="C112" s="81">
        <f>+C97-C111</f>
        <v>64763.39662023331</v>
      </c>
      <c r="D112" s="81">
        <f t="shared" ref="D112:E112" si="29">+D97-D111</f>
        <v>86922.822704826714</v>
      </c>
      <c r="E112" s="81">
        <f t="shared" si="29"/>
        <v>115337.12373601971</v>
      </c>
    </row>
    <row r="113" spans="2:5" x14ac:dyDescent="0.3">
      <c r="C113" s="61"/>
      <c r="D113" s="61"/>
      <c r="E113" s="61"/>
    </row>
    <row r="114" spans="2:5" x14ac:dyDescent="0.3">
      <c r="B114" t="s">
        <v>953</v>
      </c>
      <c r="C114" s="81">
        <f>+'SP Previsionale'!G5-'SP Previsionale'!G38</f>
        <v>212834.27</v>
      </c>
      <c r="D114" s="63">
        <f>+C115</f>
        <v>277597.66662023333</v>
      </c>
      <c r="E114" s="63">
        <f t="shared" ref="E114" si="30">+D115</f>
        <v>364520.48932506004</v>
      </c>
    </row>
    <row r="115" spans="2:5" x14ac:dyDescent="0.3">
      <c r="B115" t="s">
        <v>954</v>
      </c>
      <c r="C115" s="63">
        <f>+C114+C112</f>
        <v>277597.66662023333</v>
      </c>
      <c r="D115" s="63">
        <f>+D114+D112</f>
        <v>364520.48932506004</v>
      </c>
      <c r="E115" s="63">
        <f t="shared" ref="E115" si="31">+E114+E112</f>
        <v>479857.61306107976</v>
      </c>
    </row>
    <row r="119" spans="2:5" x14ac:dyDescent="0.3">
      <c r="B119" t="s">
        <v>951</v>
      </c>
      <c r="C119" s="61">
        <f t="shared" ref="C119:E119" si="32">+C3</f>
        <v>2018</v>
      </c>
      <c r="D119" s="61">
        <f t="shared" si="32"/>
        <v>2019</v>
      </c>
      <c r="E119" s="61">
        <f t="shared" si="32"/>
        <v>2020</v>
      </c>
    </row>
    <row r="120" spans="2:5" x14ac:dyDescent="0.3">
      <c r="B120" t="s">
        <v>939</v>
      </c>
      <c r="C120" s="62">
        <f>+C66+C75+SUM('Scheda Inv'!D39:D48)</f>
        <v>195246.45245600003</v>
      </c>
      <c r="D120" s="62">
        <f>+D66+D75+SUM('Scheda Inv'!E39:E48)</f>
        <v>204550.29070080002</v>
      </c>
      <c r="E120" s="62">
        <f>+E66+E75+SUM('Scheda Inv'!F39:F48)</f>
        <v>214324.63385784</v>
      </c>
    </row>
    <row r="121" spans="2:5" x14ac:dyDescent="0.3">
      <c r="B121" t="s">
        <v>933</v>
      </c>
      <c r="C121" s="62">
        <f>+C57</f>
        <v>265968.52127999999</v>
      </c>
      <c r="D121" s="62">
        <f t="shared" ref="D121:E121" si="33">+D57</f>
        <v>279266.94734399999</v>
      </c>
      <c r="E121" s="62">
        <f t="shared" si="33"/>
        <v>293230.2947112</v>
      </c>
    </row>
    <row r="123" spans="2:5" x14ac:dyDescent="0.3">
      <c r="B123" t="s">
        <v>955</v>
      </c>
      <c r="C123" s="62">
        <f>+C120-C121</f>
        <v>-70722.068823999958</v>
      </c>
      <c r="D123" s="62">
        <f t="shared" ref="D123:E123" si="34">+D120-D121</f>
        <v>-74716.656643199967</v>
      </c>
      <c r="E123" s="62">
        <f t="shared" si="34"/>
        <v>-78905.660853359994</v>
      </c>
    </row>
    <row r="125" spans="2:5" x14ac:dyDescent="0.3">
      <c r="B125" t="s">
        <v>956</v>
      </c>
      <c r="C125" s="62">
        <f>+IF(C123&lt;0,-C123,0)</f>
        <v>70722.068823999958</v>
      </c>
      <c r="D125" s="62">
        <f t="shared" ref="D125:E125" si="35">+IF(D123&lt;0,-D123,0)</f>
        <v>74716.656643199967</v>
      </c>
      <c r="E125" s="62">
        <f t="shared" si="35"/>
        <v>78905.660853359994</v>
      </c>
    </row>
    <row r="127" spans="2:5" x14ac:dyDescent="0.3">
      <c r="B127" t="s">
        <v>939</v>
      </c>
      <c r="C127" s="62">
        <f>+IF(C123&gt;0,C123,0)</f>
        <v>0</v>
      </c>
      <c r="D127" s="62">
        <f>+IF(D123&gt;0,D123,0)</f>
        <v>0</v>
      </c>
      <c r="E127" s="62">
        <f t="shared" ref="E127" si="36">+IF(E123&gt;0,E123,0)</f>
        <v>0</v>
      </c>
    </row>
    <row r="131" spans="2:5" x14ac:dyDescent="0.3">
      <c r="C131" s="87">
        <f>+C119</f>
        <v>2018</v>
      </c>
      <c r="D131" s="87">
        <f t="shared" ref="D131:E131" si="37">+D119</f>
        <v>2019</v>
      </c>
      <c r="E131" s="87">
        <f t="shared" si="37"/>
        <v>2020</v>
      </c>
    </row>
    <row r="132" spans="2:5" x14ac:dyDescent="0.3">
      <c r="B132" s="2" t="s">
        <v>957</v>
      </c>
      <c r="C132" s="63">
        <f>+'CE Previsionale'!F40</f>
        <v>88016.517999999953</v>
      </c>
      <c r="D132" s="63">
        <f>+'CE Previsionale'!G40</f>
        <v>106150.73535999996</v>
      </c>
      <c r="E132" s="63">
        <f>+'CE Previsionale'!H40</f>
        <v>125191.66358800002</v>
      </c>
    </row>
    <row r="133" spans="2:5" x14ac:dyDescent="0.3">
      <c r="B133" t="s">
        <v>2</v>
      </c>
      <c r="C133" s="62">
        <f>+'Input Previsionale'!$E$2*Calcoli!C132*(IF(C132&lt;0,0,1))</f>
        <v>21123.964319999988</v>
      </c>
      <c r="D133" s="62">
        <f>+'Input Previsionale'!$E$2*Calcoli!D132*(IF(D132&lt;0,0,1))</f>
        <v>25476.176486399989</v>
      </c>
      <c r="E133" s="62">
        <f>+'Input Previsionale'!$E$2*Calcoli!E132*(IF(E132&lt;0,0,1))</f>
        <v>30045.999261120003</v>
      </c>
    </row>
    <row r="135" spans="2:5" x14ac:dyDescent="0.3">
      <c r="B135" t="s">
        <v>958</v>
      </c>
      <c r="C135" s="62">
        <f>+'CE Previsionale'!F27+'CE Previsionale'!F28</f>
        <v>93113.536200000017</v>
      </c>
      <c r="D135" s="62">
        <f>+'CE Previsionale'!G27+'CE Previsionale'!G28</f>
        <v>93113.536200000017</v>
      </c>
      <c r="E135" s="62">
        <f>+'CE Previsionale'!H27+'CE Previsionale'!H28</f>
        <v>93113.536200000017</v>
      </c>
    </row>
    <row r="136" spans="2:5" x14ac:dyDescent="0.3">
      <c r="B136" t="s">
        <v>959</v>
      </c>
      <c r="C136" s="62">
        <f>-'CE Previsionale'!F38</f>
        <v>0</v>
      </c>
      <c r="D136" s="62">
        <f>-'CE Previsionale'!G38</f>
        <v>0</v>
      </c>
      <c r="E136" s="62">
        <f>-'CE Previsionale'!H38</f>
        <v>0</v>
      </c>
    </row>
    <row r="137" spans="2:5" x14ac:dyDescent="0.3">
      <c r="B137" s="2" t="s">
        <v>960</v>
      </c>
      <c r="C137" s="63">
        <f>+C132+C135+C136</f>
        <v>181130.05419999996</v>
      </c>
      <c r="D137" s="63">
        <f t="shared" ref="D137:E137" si="38">+D132+D135+D136</f>
        <v>199264.27155999996</v>
      </c>
      <c r="E137" s="63">
        <f t="shared" si="38"/>
        <v>218305.19978800003</v>
      </c>
    </row>
    <row r="139" spans="2:5" x14ac:dyDescent="0.3">
      <c r="B139" t="s">
        <v>3</v>
      </c>
      <c r="C139" s="62">
        <f>+C137*'Input Previsionale'!$F$2*(IF(C137&lt;0,0,1))</f>
        <v>7245.202167999998</v>
      </c>
      <c r="D139" s="62">
        <f>+D137*'Input Previsionale'!$F$2*(IF(D137&lt;0,0,1))</f>
        <v>7970.570862399999</v>
      </c>
      <c r="E139" s="62">
        <f>+E137*'Input Previsionale'!$F$2*(IF(E137&lt;0,0,1))</f>
        <v>8732.2079915200011</v>
      </c>
    </row>
    <row r="142" spans="2:5" x14ac:dyDescent="0.3">
      <c r="B142" t="s">
        <v>961</v>
      </c>
      <c r="C142" s="62">
        <f>+'Scheda Debiti'!E16</f>
        <v>0</v>
      </c>
      <c r="D142" s="62">
        <f>+C133+C139+'Scheda Debiti'!F16</f>
        <v>28369.166487999988</v>
      </c>
      <c r="E142" s="62">
        <f>+D133+D139+'Scheda Debiti'!G16</f>
        <v>33446.747348799989</v>
      </c>
    </row>
    <row r="144" spans="2:5" x14ac:dyDescent="0.3">
      <c r="B144" t="s">
        <v>962</v>
      </c>
      <c r="C144" s="62">
        <f>+IF(C133+C139&gt;C142,C133+C139,0)</f>
        <v>28369.166487999988</v>
      </c>
      <c r="D144" s="62">
        <f>+IF(SUM($C133:D133)+SUM($C139:D139)&gt;SUM($C142:D142),SUM($C133:D133)+SUM($C139:D139)-SUM($C142:D142),0)</f>
        <v>33446.747348799981</v>
      </c>
      <c r="E144" s="62">
        <f>+IF(SUM($C133:E133)+SUM($C139:E139)&gt;SUM($C142:E142),SUM($C133:E133)+SUM($C139:E139)-SUM($C142:E142),0)</f>
        <v>38778.207252640008</v>
      </c>
    </row>
    <row r="145" spans="2:5" x14ac:dyDescent="0.3">
      <c r="B145" t="s">
        <v>963</v>
      </c>
      <c r="C145" s="62">
        <f>+IF(C133+C139&lt;C142,C142-(C133+C139),0)</f>
        <v>0</v>
      </c>
      <c r="D145" s="62">
        <f>+IF(SUM($C133:D133)+SUM($C139:D139)&lt;SUM($C142:D142),-SUM($C133:D133)-SUM($C139:D139)+SUM($C142:D142),0)</f>
        <v>0</v>
      </c>
      <c r="E145" s="62">
        <f>+IF(SUM($C133:E133)+SUM($C139:E139)&lt;SUM($C142:E142),-SUM($C133:E133)-SUM($C139:E139)+SUM($C142:E142),0)</f>
        <v>0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5"/>
  <sheetViews>
    <sheetView showGridLines="0" topLeftCell="D1" workbookViewId="0">
      <selection activeCell="J14" sqref="J14"/>
    </sheetView>
  </sheetViews>
  <sheetFormatPr defaultColWidth="8.6640625" defaultRowHeight="14.4" x14ac:dyDescent="0.3"/>
  <cols>
    <col min="3" max="3" width="56.6640625" bestFit="1" customWidth="1"/>
    <col min="4" max="6" width="15.44140625" customWidth="1"/>
    <col min="7" max="10" width="13.33203125" bestFit="1" customWidth="1"/>
  </cols>
  <sheetData>
    <row r="1" spans="1:10" x14ac:dyDescent="0.3">
      <c r="A1" s="9" t="s">
        <v>77</v>
      </c>
    </row>
    <row r="2" spans="1:10" x14ac:dyDescent="0.3">
      <c r="D2" s="99" t="s">
        <v>1043</v>
      </c>
      <c r="E2" s="99" t="s">
        <v>1043</v>
      </c>
      <c r="F2" s="99" t="s">
        <v>1043</v>
      </c>
      <c r="G2" s="99" t="s">
        <v>1043</v>
      </c>
      <c r="H2" s="143" t="s">
        <v>1044</v>
      </c>
      <c r="I2" s="143" t="s">
        <v>1044</v>
      </c>
      <c r="J2" s="143" t="s">
        <v>1044</v>
      </c>
    </row>
    <row r="3" spans="1:10" ht="15.6" x14ac:dyDescent="0.3">
      <c r="C3" s="89" t="s">
        <v>87</v>
      </c>
      <c r="D3" s="100">
        <f>+E3-1</f>
        <v>2014</v>
      </c>
      <c r="E3" s="100">
        <f>+F3-1</f>
        <v>2015</v>
      </c>
      <c r="F3" s="100">
        <f>+G3-1</f>
        <v>2016</v>
      </c>
      <c r="G3" s="100">
        <f>+'Input Previsionale'!E8-1</f>
        <v>2017</v>
      </c>
      <c r="H3" s="100">
        <f>+G3+1</f>
        <v>2018</v>
      </c>
      <c r="I3" s="100">
        <f t="shared" ref="I3:J3" si="0">+H3+1</f>
        <v>2019</v>
      </c>
      <c r="J3" s="100">
        <f t="shared" si="0"/>
        <v>2020</v>
      </c>
    </row>
    <row r="4" spans="1:10" ht="15" thickBot="1" x14ac:dyDescent="0.35">
      <c r="C4" s="67"/>
    </row>
    <row r="5" spans="1:10" ht="15" thickBot="1" x14ac:dyDescent="0.35">
      <c r="A5">
        <v>4</v>
      </c>
      <c r="C5" s="135" t="s">
        <v>857</v>
      </c>
      <c r="D5" s="139">
        <f>+'sp fin'!C5</f>
        <v>0</v>
      </c>
      <c r="E5" s="139">
        <f>+'sp fin'!D5</f>
        <v>0</v>
      </c>
      <c r="F5" s="139">
        <f>+'sp fin'!E5</f>
        <v>0</v>
      </c>
      <c r="G5" s="139">
        <f>+'sp fin'!F5</f>
        <v>213363.59</v>
      </c>
      <c r="H5" s="139">
        <f>+IF(Calcoli!C115&gt;0,Calcoli!C115,0)</f>
        <v>277597.66662023333</v>
      </c>
      <c r="I5" s="139">
        <f>+IF(Calcoli!D115&gt;0,Calcoli!D115,0)</f>
        <v>364520.48932506004</v>
      </c>
      <c r="J5" s="139">
        <f>+IF(Calcoli!E115&gt;0,Calcoli!E115,0)</f>
        <v>479857.61306107976</v>
      </c>
    </row>
    <row r="6" spans="1:10" ht="15" thickBot="1" x14ac:dyDescent="0.35">
      <c r="A6">
        <f>+A5+1</f>
        <v>5</v>
      </c>
      <c r="C6" s="59"/>
    </row>
    <row r="7" spans="1:10" ht="15" thickBot="1" x14ac:dyDescent="0.35">
      <c r="A7">
        <f t="shared" ref="A7:A61" si="1">+A6+1</f>
        <v>6</v>
      </c>
      <c r="C7" s="135" t="s">
        <v>858</v>
      </c>
      <c r="D7" s="139">
        <f>+D8+D9+D10+D11</f>
        <v>0</v>
      </c>
      <c r="E7" s="139">
        <f>+E8+E9+E10+E11</f>
        <v>0</v>
      </c>
      <c r="F7" s="139">
        <f>+F8+F9+F10+F11</f>
        <v>0</v>
      </c>
      <c r="G7" s="139">
        <f>+G8+G9+G10+G11</f>
        <v>873016.12</v>
      </c>
      <c r="H7" s="139">
        <f t="shared" ref="H7:J7" si="2">+H8+H9+H10+H11</f>
        <v>995925.81544000003</v>
      </c>
      <c r="I7" s="139">
        <f t="shared" si="2"/>
        <v>1002071.300212</v>
      </c>
      <c r="J7" s="139">
        <f t="shared" si="2"/>
        <v>1008524.0592226</v>
      </c>
    </row>
    <row r="8" spans="1:10" x14ac:dyDescent="0.3">
      <c r="A8">
        <f t="shared" si="1"/>
        <v>7</v>
      </c>
      <c r="C8" s="106" t="s">
        <v>1005</v>
      </c>
      <c r="D8" s="137">
        <f>+'sp fin'!C8</f>
        <v>0</v>
      </c>
      <c r="E8" s="137">
        <f>+'sp fin'!D8</f>
        <v>0</v>
      </c>
      <c r="F8" s="137">
        <f>+'sp fin'!E8</f>
        <v>0</v>
      </c>
      <c r="G8" s="137">
        <f>+'sp fin'!F8</f>
        <v>30556.86</v>
      </c>
      <c r="H8" s="137">
        <f>+$G$8-SUM('Scheda Crediti'!E6)+Calcoli!C58</f>
        <v>153466.55544</v>
      </c>
      <c r="I8" s="137">
        <f>+$G$8-SUM('Scheda Crediti'!$E6:F6)+Calcoli!D58</f>
        <v>159612.04021199999</v>
      </c>
      <c r="J8" s="137">
        <f>+$G$8-SUM('Scheda Crediti'!$E6:G6)+Calcoli!E58</f>
        <v>166064.79922260001</v>
      </c>
    </row>
    <row r="9" spans="1:10" x14ac:dyDescent="0.3">
      <c r="A9">
        <f t="shared" si="1"/>
        <v>8</v>
      </c>
      <c r="C9" s="106" t="s">
        <v>1006</v>
      </c>
      <c r="D9" s="97">
        <f>+'sp fin'!C9</f>
        <v>0</v>
      </c>
      <c r="E9" s="97">
        <f>+'sp fin'!D9</f>
        <v>0</v>
      </c>
      <c r="F9" s="97">
        <f>+'sp fin'!E9</f>
        <v>0</v>
      </c>
      <c r="G9" s="97">
        <f>+'sp fin'!F9</f>
        <v>1403.8</v>
      </c>
      <c r="H9" s="97">
        <f>+$G$9-SUM('Scheda Crediti'!E7)+Calcoli!C145+Calcoli!C127</f>
        <v>1403.8</v>
      </c>
      <c r="I9" s="97">
        <f>+$G$9-SUM('Scheda Crediti'!$E7:F7)+Calcoli!D145+SUM(Calcoli!$C127:D127)</f>
        <v>1403.8</v>
      </c>
      <c r="J9" s="97">
        <f>+$G$9-SUM('Scheda Crediti'!$E7:G7)+Calcoli!E145+SUM(Calcoli!$C127:E127)</f>
        <v>1403.8</v>
      </c>
    </row>
    <row r="10" spans="1:10" x14ac:dyDescent="0.3">
      <c r="A10">
        <f t="shared" si="1"/>
        <v>9</v>
      </c>
      <c r="C10" s="136" t="s">
        <v>1007</v>
      </c>
      <c r="D10" s="97">
        <f>+'sp fin'!C10</f>
        <v>0</v>
      </c>
      <c r="E10" s="97">
        <f>+'sp fin'!D10</f>
        <v>0</v>
      </c>
      <c r="F10" s="97">
        <f>+'sp fin'!E10</f>
        <v>0</v>
      </c>
      <c r="G10" s="97">
        <f>+'sp fin'!F10</f>
        <v>355.07</v>
      </c>
      <c r="H10" s="97">
        <f>+$G$10-SUM('Scheda Crediti'!E8)</f>
        <v>355.07</v>
      </c>
      <c r="I10" s="97">
        <f>+$G$10-SUM('Scheda Crediti'!$E8:F8)</f>
        <v>355.07</v>
      </c>
      <c r="J10" s="97">
        <f>+$G$10-SUM('Scheda Crediti'!$E8:G8)</f>
        <v>355.07</v>
      </c>
    </row>
    <row r="11" spans="1:10" x14ac:dyDescent="0.3">
      <c r="A11">
        <f t="shared" si="1"/>
        <v>10</v>
      </c>
      <c r="C11" s="136" t="s">
        <v>1008</v>
      </c>
      <c r="D11" s="97">
        <f>+'sp fin'!C11</f>
        <v>0</v>
      </c>
      <c r="E11" s="97">
        <f>+'sp fin'!D11</f>
        <v>0</v>
      </c>
      <c r="F11" s="97">
        <f>+'sp fin'!E11</f>
        <v>0</v>
      </c>
      <c r="G11" s="97">
        <f>+'sp fin'!F11</f>
        <v>840700.39</v>
      </c>
      <c r="H11" s="97">
        <f>+$G$11-SUM('Scheda Crediti'!E9)</f>
        <v>840700.39</v>
      </c>
      <c r="I11" s="97">
        <f>+$G$11-SUM('Scheda Crediti'!$E9:F9)</f>
        <v>840700.39</v>
      </c>
      <c r="J11" s="97">
        <f>+$G$11-SUM('Scheda Crediti'!$E9:G9)</f>
        <v>840700.39</v>
      </c>
    </row>
    <row r="12" spans="1:10" ht="15" thickBot="1" x14ac:dyDescent="0.35">
      <c r="A12">
        <f t="shared" si="1"/>
        <v>11</v>
      </c>
      <c r="C12" s="59"/>
    </row>
    <row r="13" spans="1:10" ht="15" thickBot="1" x14ac:dyDescent="0.35">
      <c r="A13">
        <f t="shared" si="1"/>
        <v>12</v>
      </c>
      <c r="C13" s="135" t="s">
        <v>859</v>
      </c>
      <c r="D13" s="139">
        <f>+SUM(D14:D15)</f>
        <v>0</v>
      </c>
      <c r="E13" s="139">
        <f>+SUM(E14:E15)</f>
        <v>0</v>
      </c>
      <c r="F13" s="139">
        <f>+SUM(F14:F15)</f>
        <v>126617</v>
      </c>
      <c r="G13" s="139">
        <f>+SUM(G14:G15)</f>
        <v>128977</v>
      </c>
      <c r="H13" s="139">
        <f t="shared" ref="H13:J13" si="3">+SUM(H14:H15)</f>
        <v>129000</v>
      </c>
      <c r="I13" s="139">
        <f t="shared" si="3"/>
        <v>129000</v>
      </c>
      <c r="J13" s="139">
        <f t="shared" si="3"/>
        <v>129000</v>
      </c>
    </row>
    <row r="14" spans="1:10" x14ac:dyDescent="0.3">
      <c r="A14">
        <f t="shared" si="1"/>
        <v>13</v>
      </c>
      <c r="C14" s="136" t="s">
        <v>1009</v>
      </c>
      <c r="D14" s="97">
        <f>+'sp fin'!C14</f>
        <v>0</v>
      </c>
      <c r="E14" s="97">
        <f>+'sp fin'!D14</f>
        <v>0</v>
      </c>
      <c r="F14" s="97">
        <f>+'sp fin'!E14</f>
        <v>126617</v>
      </c>
      <c r="G14" s="97">
        <f>+'sp fin'!F14</f>
        <v>128977</v>
      </c>
      <c r="H14" s="97">
        <f>+'CE Previsionale'!F7</f>
        <v>0</v>
      </c>
      <c r="I14" s="97">
        <f>+'CE Previsionale'!G7</f>
        <v>0</v>
      </c>
      <c r="J14" s="97">
        <f>+'CE Previsionale'!H7</f>
        <v>0</v>
      </c>
    </row>
    <row r="15" spans="1:10" x14ac:dyDescent="0.3">
      <c r="A15">
        <f t="shared" si="1"/>
        <v>14</v>
      </c>
      <c r="C15" s="136" t="s">
        <v>1010</v>
      </c>
      <c r="D15" s="97">
        <f>+'sp fin'!C15</f>
        <v>0</v>
      </c>
      <c r="E15" s="97">
        <f>+'sp fin'!D15</f>
        <v>0</v>
      </c>
      <c r="F15" s="97">
        <f>+'sp fin'!E15</f>
        <v>0</v>
      </c>
      <c r="G15" s="154">
        <f>+'sp fin'!F15</f>
        <v>0</v>
      </c>
      <c r="H15" s="154">
        <f>+'CE Previsionale'!F12</f>
        <v>129000</v>
      </c>
      <c r="I15" s="154">
        <f>+'CE Previsionale'!G12</f>
        <v>129000</v>
      </c>
      <c r="J15" s="154">
        <f>+'CE Previsionale'!H12</f>
        <v>129000</v>
      </c>
    </row>
    <row r="16" spans="1:10" ht="15" thickBot="1" x14ac:dyDescent="0.35">
      <c r="A16">
        <f t="shared" si="1"/>
        <v>15</v>
      </c>
      <c r="C16" s="60"/>
      <c r="G16" s="62"/>
    </row>
    <row r="17" spans="1:11" ht="15" thickBot="1" x14ac:dyDescent="0.35">
      <c r="A17">
        <f t="shared" si="1"/>
        <v>16</v>
      </c>
      <c r="C17" s="135" t="s">
        <v>36</v>
      </c>
      <c r="D17" s="139">
        <f>+D18+D20</f>
        <v>0</v>
      </c>
      <c r="E17" s="139">
        <f>+E18+E20</f>
        <v>0</v>
      </c>
      <c r="F17" s="139">
        <f>+F18+F20</f>
        <v>0</v>
      </c>
      <c r="G17" s="139">
        <f>+G18+G20</f>
        <v>17421.769999999997</v>
      </c>
      <c r="H17" s="139">
        <f t="shared" ref="H17:J17" si="4">+H18+H20</f>
        <v>15679.592999999997</v>
      </c>
      <c r="I17" s="139">
        <f t="shared" si="4"/>
        <v>13937.415999999996</v>
      </c>
      <c r="J17" s="139">
        <f t="shared" si="4"/>
        <v>12195.238999999998</v>
      </c>
    </row>
    <row r="18" spans="1:11" ht="15" thickBot="1" x14ac:dyDescent="0.35">
      <c r="A18">
        <f t="shared" si="1"/>
        <v>17</v>
      </c>
      <c r="C18" s="136" t="s">
        <v>1011</v>
      </c>
      <c r="D18" s="139">
        <f>+SUM(D19:D19)</f>
        <v>0</v>
      </c>
      <c r="E18" s="139">
        <f>+SUM(E19:E19)</f>
        <v>0</v>
      </c>
      <c r="F18" s="139">
        <f>+SUM(F19:F19)</f>
        <v>0</v>
      </c>
      <c r="G18" s="139">
        <f>+SUM(G19:G19)</f>
        <v>0</v>
      </c>
      <c r="H18" s="139">
        <f t="shared" ref="H18:J18" si="5">+SUM(H19:H19)</f>
        <v>0</v>
      </c>
      <c r="I18" s="139">
        <f t="shared" si="5"/>
        <v>0</v>
      </c>
      <c r="J18" s="139">
        <f t="shared" si="5"/>
        <v>0</v>
      </c>
    </row>
    <row r="19" spans="1:11" ht="15" thickBot="1" x14ac:dyDescent="0.35">
      <c r="A19">
        <f t="shared" si="1"/>
        <v>18</v>
      </c>
      <c r="C19" s="136" t="s">
        <v>863</v>
      </c>
      <c r="D19" s="97">
        <f>+'sp fin'!C19</f>
        <v>0</v>
      </c>
      <c r="E19" s="97">
        <f>+'sp fin'!D19</f>
        <v>0</v>
      </c>
      <c r="F19" s="97">
        <f>+'sp fin'!E19</f>
        <v>0</v>
      </c>
      <c r="G19" s="97">
        <f>+'sp fin'!F19</f>
        <v>0</v>
      </c>
      <c r="H19" s="97">
        <f>+'Scheda Inv'!$C$4-Calcoli!C11-'Scheda Inv'!D183+'Scheda Inv'!D23</f>
        <v>0</v>
      </c>
      <c r="I19" s="97">
        <f>+'Scheda Inv'!$C$4-Calcoli!D11-SUM('Scheda Inv'!$D183:E183)+SUM('Scheda Inv'!$D23:E23)</f>
        <v>0</v>
      </c>
      <c r="J19" s="97">
        <f>+'Scheda Inv'!$C$4-Calcoli!E11-SUM('Scheda Inv'!$D183:F183)+SUM('Scheda Inv'!$D23:F23)</f>
        <v>0</v>
      </c>
    </row>
    <row r="20" spans="1:11" ht="15" thickBot="1" x14ac:dyDescent="0.35">
      <c r="A20">
        <f t="shared" si="1"/>
        <v>19</v>
      </c>
      <c r="C20" s="136" t="s">
        <v>1012</v>
      </c>
      <c r="D20" s="139">
        <f>+SUM(D21:D23)</f>
        <v>0</v>
      </c>
      <c r="E20" s="139">
        <f>+SUM(E21:E23)</f>
        <v>0</v>
      </c>
      <c r="F20" s="139">
        <f>+SUM(F21:F23)</f>
        <v>0</v>
      </c>
      <c r="G20" s="139">
        <f>+SUM(G21:G23)</f>
        <v>17421.769999999997</v>
      </c>
      <c r="H20" s="139">
        <f t="shared" ref="H20:J20" si="6">+SUM(H21:H23)</f>
        <v>15679.592999999997</v>
      </c>
      <c r="I20" s="139">
        <f t="shared" si="6"/>
        <v>13937.415999999996</v>
      </c>
      <c r="J20" s="139">
        <f t="shared" si="6"/>
        <v>12195.238999999998</v>
      </c>
    </row>
    <row r="21" spans="1:11" x14ac:dyDescent="0.3">
      <c r="A21">
        <f t="shared" si="1"/>
        <v>20</v>
      </c>
      <c r="C21" s="136" t="s">
        <v>865</v>
      </c>
      <c r="D21" s="97">
        <f>+'sp fin'!C21</f>
        <v>0</v>
      </c>
      <c r="E21" s="97">
        <f>+'sp fin'!D21</f>
        <v>0</v>
      </c>
      <c r="F21" s="97">
        <f>+'sp fin'!E21</f>
        <v>0</v>
      </c>
      <c r="G21" s="97">
        <f>+'sp fin'!F21</f>
        <v>4860.2199999999993</v>
      </c>
      <c r="H21" s="97">
        <f>+$G$21-Calcoli!C12-'Scheda Inv'!D184+'Scheda Inv'!D24</f>
        <v>4374.1979999999994</v>
      </c>
      <c r="I21" s="97">
        <f>+$G$21-Calcoli!D12-SUM('Scheda Inv'!$D184:E184)+SUM('Scheda Inv'!$D24:E24)</f>
        <v>3888.1759999999995</v>
      </c>
      <c r="J21" s="97">
        <f>+$G$21-Calcoli!E12-SUM('Scheda Inv'!$D184:F184)+SUM('Scheda Inv'!$D24:F24)</f>
        <v>3402.1539999999995</v>
      </c>
    </row>
    <row r="22" spans="1:11" x14ac:dyDescent="0.3">
      <c r="A22">
        <f t="shared" si="1"/>
        <v>21</v>
      </c>
      <c r="C22" s="136" t="s">
        <v>866</v>
      </c>
      <c r="D22" s="97">
        <f>+'sp fin'!C22</f>
        <v>0</v>
      </c>
      <c r="E22" s="97">
        <f>+'sp fin'!D22</f>
        <v>0</v>
      </c>
      <c r="F22" s="97">
        <f>+'sp fin'!E22</f>
        <v>0</v>
      </c>
      <c r="G22" s="97">
        <f>+'sp fin'!F22</f>
        <v>0</v>
      </c>
      <c r="H22" s="97">
        <f>+$G$22-Calcoli!C13-'Scheda Inv'!D185+'Scheda Inv'!D25</f>
        <v>0</v>
      </c>
      <c r="I22" s="97">
        <f>+$G$22-Calcoli!D13-SUM('Scheda Inv'!$D185:E185)+SUM('Scheda Inv'!$D25:E25)</f>
        <v>0</v>
      </c>
      <c r="J22" s="97">
        <f>+$G$22-Calcoli!E13-SUM('Scheda Inv'!$D185:F185)+SUM('Scheda Inv'!$D25:F25)</f>
        <v>0</v>
      </c>
    </row>
    <row r="23" spans="1:11" x14ac:dyDescent="0.3">
      <c r="A23">
        <f t="shared" si="1"/>
        <v>22</v>
      </c>
      <c r="C23" s="136" t="s">
        <v>867</v>
      </c>
      <c r="D23" s="97">
        <f>+'sp fin'!C23</f>
        <v>0</v>
      </c>
      <c r="E23" s="97">
        <f>+'sp fin'!D23</f>
        <v>0</v>
      </c>
      <c r="F23" s="97">
        <f>+'sp fin'!E23</f>
        <v>0</v>
      </c>
      <c r="G23" s="97">
        <f>+'sp fin'!F23</f>
        <v>12561.549999999996</v>
      </c>
      <c r="H23" s="97">
        <f>+$G$23-Calcoli!C14-'Scheda Inv'!D186+'Scheda Inv'!D26</f>
        <v>11305.394999999997</v>
      </c>
      <c r="I23" s="97">
        <f>+$G$23-Calcoli!D14-SUM('Scheda Inv'!$D186:E186)+SUM('Scheda Inv'!$D26:E26)</f>
        <v>10049.239999999996</v>
      </c>
      <c r="J23" s="97">
        <f>+$G$23-Calcoli!E14-SUM('Scheda Inv'!$D186:F186)+SUM('Scheda Inv'!$D26:F26)</f>
        <v>8793.0849999999973</v>
      </c>
    </row>
    <row r="24" spans="1:11" ht="15" thickBot="1" x14ac:dyDescent="0.35">
      <c r="A24">
        <f t="shared" si="1"/>
        <v>23</v>
      </c>
      <c r="C24" s="60"/>
    </row>
    <row r="25" spans="1:11" ht="15" thickBot="1" x14ac:dyDescent="0.35">
      <c r="A25">
        <f t="shared" si="1"/>
        <v>24</v>
      </c>
      <c r="C25" s="135" t="s">
        <v>868</v>
      </c>
      <c r="D25" s="139">
        <f>+D26</f>
        <v>0</v>
      </c>
      <c r="E25" s="139">
        <f>+E26</f>
        <v>0</v>
      </c>
      <c r="F25" s="139">
        <f>+F26</f>
        <v>0</v>
      </c>
      <c r="G25" s="139">
        <f>+G26</f>
        <v>193091.14</v>
      </c>
      <c r="H25" s="139">
        <f t="shared" ref="H25:J25" si="7">+H26</f>
        <v>173782.02600000001</v>
      </c>
      <c r="I25" s="139">
        <f t="shared" si="7"/>
        <v>154472.91200000001</v>
      </c>
      <c r="J25" s="139">
        <f t="shared" si="7"/>
        <v>135163.79800000001</v>
      </c>
    </row>
    <row r="26" spans="1:11" x14ac:dyDescent="0.3">
      <c r="A26">
        <f t="shared" si="1"/>
        <v>25</v>
      </c>
      <c r="C26" s="136" t="s">
        <v>1013</v>
      </c>
      <c r="D26" s="68">
        <f>+SUM(D27:D29)</f>
        <v>0</v>
      </c>
      <c r="E26" s="68">
        <f>+SUM(E27:E29)</f>
        <v>0</v>
      </c>
      <c r="F26" s="68">
        <f>+SUM(F27:F29)</f>
        <v>0</v>
      </c>
      <c r="G26" s="68">
        <f>+SUM(G27:G29)</f>
        <v>193091.14</v>
      </c>
      <c r="H26" s="68">
        <f t="shared" ref="H26:J26" si="8">+SUM(H27:H29)</f>
        <v>173782.02600000001</v>
      </c>
      <c r="I26" s="68">
        <f t="shared" si="8"/>
        <v>154472.91200000001</v>
      </c>
      <c r="J26" s="68">
        <f t="shared" si="8"/>
        <v>135163.79800000001</v>
      </c>
    </row>
    <row r="27" spans="1:11" x14ac:dyDescent="0.3">
      <c r="A27">
        <f t="shared" si="1"/>
        <v>26</v>
      </c>
      <c r="C27" s="136" t="s">
        <v>870</v>
      </c>
      <c r="D27" s="97">
        <f>+'sp fin'!C27</f>
        <v>0</v>
      </c>
      <c r="E27" s="97">
        <f>+'sp fin'!D27</f>
        <v>0</v>
      </c>
      <c r="F27" s="97">
        <f>+'sp fin'!E27</f>
        <v>0</v>
      </c>
      <c r="G27" s="97">
        <f>+'sp fin'!F27</f>
        <v>0</v>
      </c>
      <c r="H27" s="97">
        <f>+$G$27-Calcoli!C23-'Scheda Inv'!D190+'Scheda Inv'!D30</f>
        <v>0</v>
      </c>
      <c r="I27" s="97">
        <f>+$G$27-Calcoli!D23-SUM('Scheda Inv'!$D190:E190)+SUM('Scheda Inv'!$D30:E30)</f>
        <v>0</v>
      </c>
      <c r="J27" s="97">
        <f>+$G$27-Calcoli!E23-SUM('Scheda Inv'!$D190:F190)+SUM('Scheda Inv'!$D30:F30)</f>
        <v>0</v>
      </c>
    </row>
    <row r="28" spans="1:11" x14ac:dyDescent="0.3">
      <c r="A28">
        <f t="shared" si="1"/>
        <v>27</v>
      </c>
      <c r="C28" s="136" t="s">
        <v>871</v>
      </c>
      <c r="D28" s="97">
        <f>+'sp fin'!C28</f>
        <v>0</v>
      </c>
      <c r="E28" s="97">
        <f>+'sp fin'!D28</f>
        <v>0</v>
      </c>
      <c r="F28" s="97">
        <f>+'sp fin'!E28</f>
        <v>0</v>
      </c>
      <c r="G28" s="97">
        <f>+'sp fin'!F28</f>
        <v>0</v>
      </c>
      <c r="H28" s="97">
        <f>+$G$28-Calcoli!C24-'Scheda Inv'!D191+'Scheda Inv'!D31</f>
        <v>0</v>
      </c>
      <c r="I28" s="97">
        <f>+$G$28-Calcoli!D24-SUM('Scheda Inv'!$D191:E191)+SUM('Scheda Inv'!$D31:E31)</f>
        <v>0</v>
      </c>
      <c r="J28" s="97">
        <f>+$G$28-Calcoli!E24-SUM('Scheda Inv'!$D191:F191)+SUM('Scheda Inv'!$D31:F31)</f>
        <v>0</v>
      </c>
    </row>
    <row r="29" spans="1:11" x14ac:dyDescent="0.3">
      <c r="A29">
        <f t="shared" si="1"/>
        <v>28</v>
      </c>
      <c r="C29" s="136" t="s">
        <v>872</v>
      </c>
      <c r="D29" s="97">
        <f>+'sp fin'!C29</f>
        <v>0</v>
      </c>
      <c r="E29" s="97">
        <f>+'sp fin'!D29</f>
        <v>0</v>
      </c>
      <c r="F29" s="97">
        <f>+'sp fin'!E29</f>
        <v>0</v>
      </c>
      <c r="G29" s="97">
        <f>+'sp fin'!F29</f>
        <v>193091.14</v>
      </c>
      <c r="H29" s="97">
        <f>+$G$29-Calcoli!C25-'Scheda Inv'!D192+'Scheda Inv'!D32</f>
        <v>173782.02600000001</v>
      </c>
      <c r="I29" s="97">
        <f>+$G$29-Calcoli!D25-SUM('Scheda Inv'!$D192:E192)+SUM('Scheda Inv'!$D32:E32)</f>
        <v>154472.91200000001</v>
      </c>
      <c r="J29" s="97">
        <f>+$G$29-Calcoli!E25-SUM('Scheda Inv'!$D192:F192)+SUM('Scheda Inv'!$D32:F32)</f>
        <v>135163.79800000001</v>
      </c>
    </row>
    <row r="30" spans="1:11" ht="15" thickBot="1" x14ac:dyDescent="0.35">
      <c r="A30">
        <f t="shared" si="1"/>
        <v>29</v>
      </c>
      <c r="C30" s="59"/>
    </row>
    <row r="31" spans="1:11" ht="15" thickBot="1" x14ac:dyDescent="0.35">
      <c r="A31">
        <f t="shared" si="1"/>
        <v>30</v>
      </c>
      <c r="C31" s="135" t="s">
        <v>47</v>
      </c>
      <c r="D31" s="139">
        <f>+'sp fin'!C31</f>
        <v>0</v>
      </c>
      <c r="E31" s="139">
        <f>+'sp fin'!D31</f>
        <v>0</v>
      </c>
      <c r="F31" s="139">
        <f>+'sp fin'!E31</f>
        <v>0</v>
      </c>
      <c r="G31" s="139">
        <f>+'sp fin'!F31</f>
        <v>27750</v>
      </c>
      <c r="H31" s="139">
        <f>+$G$31+'Scheda Inv'!D35</f>
        <v>27750</v>
      </c>
      <c r="I31" s="139">
        <f>+$G$31+SUM('Scheda Inv'!$D35:E35)</f>
        <v>27750</v>
      </c>
      <c r="J31" s="139">
        <f>+$G$31+SUM('Scheda Inv'!$D35:F35)</f>
        <v>27750</v>
      </c>
    </row>
    <row r="32" spans="1:11" ht="15" thickBot="1" x14ac:dyDescent="0.35">
      <c r="A32">
        <f t="shared" si="1"/>
        <v>31</v>
      </c>
      <c r="C32" s="59"/>
      <c r="D32" s="58"/>
      <c r="E32" s="58"/>
      <c r="F32" s="58"/>
      <c r="G32" s="58"/>
      <c r="H32" s="58"/>
      <c r="I32" s="58"/>
      <c r="J32" s="58"/>
      <c r="K32" s="58"/>
    </row>
    <row r="33" spans="1:10" ht="15" thickBot="1" x14ac:dyDescent="0.35">
      <c r="A33">
        <f t="shared" si="1"/>
        <v>32</v>
      </c>
      <c r="C33" s="67" t="s">
        <v>873</v>
      </c>
      <c r="D33" s="138">
        <f>+D25+D17+D13+D7+D5+D31</f>
        <v>0</v>
      </c>
      <c r="E33" s="138">
        <f>+E25+E17+E13+E7+E5+E31</f>
        <v>0</v>
      </c>
      <c r="F33" s="138">
        <f>+F25+F17+F13+F7+F5+F31</f>
        <v>126617</v>
      </c>
      <c r="G33" s="138">
        <f>+G25+G17+G13+G7+G5+G31</f>
        <v>1453619.62</v>
      </c>
      <c r="H33" s="138">
        <f t="shared" ref="H33:J33" si="9">+H25+H17+H13+H7+H5+H31</f>
        <v>1619735.1010602333</v>
      </c>
      <c r="I33" s="138">
        <f t="shared" si="9"/>
        <v>1691752.1175370601</v>
      </c>
      <c r="J33" s="138">
        <f t="shared" si="9"/>
        <v>1792490.7092836797</v>
      </c>
    </row>
    <row r="34" spans="1:10" x14ac:dyDescent="0.3">
      <c r="A34">
        <f t="shared" si="1"/>
        <v>33</v>
      </c>
      <c r="C34" s="59"/>
    </row>
    <row r="35" spans="1:10" ht="15.6" x14ac:dyDescent="0.3">
      <c r="A35">
        <f t="shared" si="1"/>
        <v>34</v>
      </c>
      <c r="C35" s="89" t="s">
        <v>360</v>
      </c>
      <c r="D35" s="100">
        <f>+D3</f>
        <v>2014</v>
      </c>
      <c r="E35" s="100">
        <f>+E3</f>
        <v>2015</v>
      </c>
      <c r="F35" s="100">
        <f>+F3</f>
        <v>2016</v>
      </c>
      <c r="G35" s="100">
        <f>+G3</f>
        <v>2017</v>
      </c>
      <c r="H35" s="100">
        <f t="shared" ref="H35:J35" si="10">+H3</f>
        <v>2018</v>
      </c>
      <c r="I35" s="100">
        <f t="shared" si="10"/>
        <v>2019</v>
      </c>
      <c r="J35" s="100">
        <f t="shared" si="10"/>
        <v>2020</v>
      </c>
    </row>
    <row r="36" spans="1:10" ht="15" thickBot="1" x14ac:dyDescent="0.35">
      <c r="A36">
        <f t="shared" si="1"/>
        <v>35</v>
      </c>
      <c r="C36" s="59"/>
    </row>
    <row r="37" spans="1:10" ht="15" thickBot="1" x14ac:dyDescent="0.35">
      <c r="A37">
        <f t="shared" si="1"/>
        <v>36</v>
      </c>
      <c r="C37" s="135" t="s">
        <v>874</v>
      </c>
      <c r="D37" s="139">
        <f>+D38</f>
        <v>0</v>
      </c>
      <c r="E37" s="139">
        <f>+E38</f>
        <v>0</v>
      </c>
      <c r="F37" s="139">
        <f>+F38</f>
        <v>0</v>
      </c>
      <c r="G37" s="139">
        <f>+G38</f>
        <v>529.32000000000005</v>
      </c>
      <c r="H37" s="139">
        <f t="shared" ref="H37:J37" si="11">+H38</f>
        <v>0</v>
      </c>
      <c r="I37" s="139">
        <f t="shared" si="11"/>
        <v>0</v>
      </c>
      <c r="J37" s="139">
        <f t="shared" si="11"/>
        <v>0</v>
      </c>
    </row>
    <row r="38" spans="1:10" x14ac:dyDescent="0.3">
      <c r="A38">
        <f t="shared" si="1"/>
        <v>37</v>
      </c>
      <c r="C38" s="136" t="s">
        <v>1014</v>
      </c>
      <c r="D38" s="97">
        <f>+'sp fin'!C38</f>
        <v>0</v>
      </c>
      <c r="E38" s="97">
        <f>+'sp fin'!D38</f>
        <v>0</v>
      </c>
      <c r="F38" s="97">
        <f>+'sp fin'!E38</f>
        <v>0</v>
      </c>
      <c r="G38" s="97">
        <f>+'sp fin'!F38</f>
        <v>529.32000000000005</v>
      </c>
      <c r="H38" s="97">
        <f>+IF(Calcoli!C115&lt;0,-Calcoli!C115,0)</f>
        <v>0</v>
      </c>
      <c r="I38" s="97">
        <f>+IF(Calcoli!D115&lt;0,-Calcoli!D115,0)</f>
        <v>0</v>
      </c>
      <c r="J38" s="97">
        <f>+IF(Calcoli!E115&lt;0,-Calcoli!E115,0)</f>
        <v>0</v>
      </c>
    </row>
    <row r="39" spans="1:10" ht="15" thickBot="1" x14ac:dyDescent="0.35">
      <c r="A39">
        <f t="shared" si="1"/>
        <v>38</v>
      </c>
      <c r="C39" s="60"/>
    </row>
    <row r="40" spans="1:10" ht="15" thickBot="1" x14ac:dyDescent="0.35">
      <c r="A40">
        <f t="shared" si="1"/>
        <v>39</v>
      </c>
      <c r="C40" s="135" t="s">
        <v>876</v>
      </c>
      <c r="D40" s="139">
        <f>+D41+D42+D43+D44+D45</f>
        <v>0</v>
      </c>
      <c r="E40" s="139">
        <f>+E41+E42+E43+E44+E45</f>
        <v>0</v>
      </c>
      <c r="F40" s="139">
        <f>+F41+F42+F43+F44+F45</f>
        <v>0</v>
      </c>
      <c r="G40" s="139">
        <f>+G41+G42+G43+G44+G45</f>
        <v>1406907.88</v>
      </c>
      <c r="H40" s="139">
        <f t="shared" ref="H40:J40" si="12">+H41+H42+H43+H44+H45</f>
        <v>1521358.0556506333</v>
      </c>
      <c r="I40" s="139">
        <f t="shared" si="12"/>
        <v>1530735.1375184997</v>
      </c>
      <c r="J40" s="139">
        <f t="shared" si="12"/>
        <v>1540583.5287297599</v>
      </c>
    </row>
    <row r="41" spans="1:10" x14ac:dyDescent="0.3">
      <c r="A41">
        <f t="shared" si="1"/>
        <v>40</v>
      </c>
      <c r="C41" s="136" t="s">
        <v>1015</v>
      </c>
      <c r="D41" s="97">
        <f>+'sp fin'!C41</f>
        <v>0</v>
      </c>
      <c r="E41" s="97">
        <f>+'sp fin'!D41</f>
        <v>0</v>
      </c>
      <c r="F41" s="97">
        <f>+'sp fin'!E41</f>
        <v>0</v>
      </c>
      <c r="G41" s="97">
        <f>+'sp fin'!F41</f>
        <v>201779.33</v>
      </c>
      <c r="H41" s="97">
        <f>+G41+Calcoli!C67+Calcoli!C76-'Scheda Debiti'!E14</f>
        <v>287860.33916263335</v>
      </c>
      <c r="I41" s="97">
        <f>+H41+Calcoli!D67-Calcoli!C67+Calcoli!D76-Calcoli!C76-'Scheda Debiti'!F14</f>
        <v>292159.84016969998</v>
      </c>
      <c r="J41" s="97">
        <f>+I41+Calcoli!E67-Calcoli!D67+Calcoli!E76-Calcoli!D76-'Scheda Debiti'!G14</f>
        <v>296676.77147712</v>
      </c>
    </row>
    <row r="42" spans="1:10" x14ac:dyDescent="0.3">
      <c r="A42">
        <f t="shared" si="1"/>
        <v>41</v>
      </c>
      <c r="C42" s="136" t="s">
        <v>1016</v>
      </c>
      <c r="D42" s="97">
        <f>+'sp fin'!C42</f>
        <v>0</v>
      </c>
      <c r="E42" s="97">
        <f>+'sp fin'!D42</f>
        <v>0</v>
      </c>
      <c r="F42" s="97">
        <f>+'sp fin'!E42</f>
        <v>0</v>
      </c>
      <c r="G42" s="97">
        <f>+'sp fin'!F42</f>
        <v>3624</v>
      </c>
      <c r="H42" s="97">
        <f>+G42-'Scheda Debiti'!E15</f>
        <v>3624</v>
      </c>
      <c r="I42" s="97">
        <f>+$G$42-SUM('Scheda Debiti'!$E15:F15)</f>
        <v>3624</v>
      </c>
      <c r="J42" s="97">
        <f>+$G$42-SUM('Scheda Debiti'!$E15:G15)</f>
        <v>3624</v>
      </c>
    </row>
    <row r="43" spans="1:10" x14ac:dyDescent="0.3">
      <c r="A43">
        <f t="shared" si="1"/>
        <v>42</v>
      </c>
      <c r="C43" s="136" t="s">
        <v>1017</v>
      </c>
      <c r="D43" s="97">
        <f>+'sp fin'!C43</f>
        <v>0</v>
      </c>
      <c r="E43" s="97">
        <f>+'sp fin'!D43</f>
        <v>0</v>
      </c>
      <c r="F43" s="97">
        <f>+'sp fin'!E43</f>
        <v>0</v>
      </c>
      <c r="G43" s="97">
        <f>+'sp fin'!F43</f>
        <v>8554.7200000000012</v>
      </c>
      <c r="H43" s="97">
        <f>+Calcoli!C144-'Scheda Debiti'!E16+$G$43</f>
        <v>36923.886487999989</v>
      </c>
      <c r="I43" s="97">
        <f>+Calcoli!D144+$G$43-SUM('Scheda Debiti'!$E16:F16)</f>
        <v>42001.467348799983</v>
      </c>
      <c r="J43" s="97">
        <f>+Calcoli!E144+$G$43-SUM('Scheda Debiti'!$E16:G16)</f>
        <v>47332.927252640009</v>
      </c>
    </row>
    <row r="44" spans="1:10" x14ac:dyDescent="0.3">
      <c r="A44">
        <f t="shared" si="1"/>
        <v>43</v>
      </c>
      <c r="C44" s="136" t="s">
        <v>1018</v>
      </c>
      <c r="D44" s="97">
        <f>+'sp fin'!C44</f>
        <v>0</v>
      </c>
      <c r="E44" s="97">
        <f>+'sp fin'!D44</f>
        <v>0</v>
      </c>
      <c r="F44" s="97">
        <f>+'sp fin'!E44</f>
        <v>0</v>
      </c>
      <c r="G44" s="97">
        <f>+'sp fin'!F44</f>
        <v>1192949.8299999998</v>
      </c>
      <c r="H44" s="97">
        <f>+G44-'Scheda Debiti'!E17</f>
        <v>1192949.8299999998</v>
      </c>
      <c r="I44" s="97">
        <f>+H44-'Scheda Debiti'!F17</f>
        <v>1192949.8299999998</v>
      </c>
      <c r="J44" s="97">
        <f>+I44-'Scheda Debiti'!G17</f>
        <v>1192949.8299999998</v>
      </c>
    </row>
    <row r="45" spans="1:10" x14ac:dyDescent="0.3">
      <c r="A45">
        <f t="shared" si="1"/>
        <v>44</v>
      </c>
      <c r="C45" s="136" t="s">
        <v>1019</v>
      </c>
      <c r="D45" s="97">
        <f>+'sp fin'!C45</f>
        <v>0</v>
      </c>
      <c r="E45" s="97">
        <f>+'sp fin'!D45</f>
        <v>0</v>
      </c>
      <c r="F45" s="97">
        <f>+'sp fin'!E45</f>
        <v>0</v>
      </c>
      <c r="G45" s="97">
        <f>+'sp fin'!F45</f>
        <v>0</v>
      </c>
      <c r="H45" s="97">
        <f>+G45-'Scheda Debiti'!E18</f>
        <v>0</v>
      </c>
      <c r="I45" s="97">
        <f>+H45-'Scheda Debiti'!F18</f>
        <v>0</v>
      </c>
      <c r="J45" s="97">
        <f>+I45-'Scheda Debiti'!G18</f>
        <v>0</v>
      </c>
    </row>
    <row r="46" spans="1:10" ht="15" thickBot="1" x14ac:dyDescent="0.35">
      <c r="A46">
        <f t="shared" si="1"/>
        <v>45</v>
      </c>
      <c r="C46" s="59"/>
    </row>
    <row r="47" spans="1:10" ht="15" thickBot="1" x14ac:dyDescent="0.35">
      <c r="A47">
        <f t="shared" si="1"/>
        <v>46</v>
      </c>
      <c r="C47" s="135" t="s">
        <v>882</v>
      </c>
      <c r="D47" s="139">
        <f>+'sp fin'!C47</f>
        <v>0</v>
      </c>
      <c r="E47" s="139">
        <f>+'sp fin'!D47</f>
        <v>0</v>
      </c>
      <c r="F47" s="139">
        <f>+'sp fin'!E47</f>
        <v>0</v>
      </c>
      <c r="G47" s="139">
        <f>+'sp fin'!F47</f>
        <v>0</v>
      </c>
      <c r="H47" s="139">
        <f>+G47</f>
        <v>0</v>
      </c>
      <c r="I47" s="139">
        <f t="shared" ref="I47:J47" si="13">+H47</f>
        <v>0</v>
      </c>
      <c r="J47" s="139">
        <f t="shared" si="13"/>
        <v>0</v>
      </c>
    </row>
    <row r="48" spans="1:10" ht="15" thickBot="1" x14ac:dyDescent="0.35">
      <c r="A48">
        <f t="shared" si="1"/>
        <v>47</v>
      </c>
      <c r="C48" s="67"/>
    </row>
    <row r="49" spans="1:10" ht="15" thickBot="1" x14ac:dyDescent="0.35">
      <c r="A49">
        <f t="shared" si="1"/>
        <v>48</v>
      </c>
      <c r="C49" s="135" t="s">
        <v>883</v>
      </c>
      <c r="D49" s="139">
        <f>+SUM(D50:D54)</f>
        <v>0</v>
      </c>
      <c r="E49" s="139">
        <f>+SUM(E50:E54)</f>
        <v>0</v>
      </c>
      <c r="F49" s="139">
        <f>+SUM(F50:F54)</f>
        <v>0</v>
      </c>
      <c r="G49" s="139">
        <f>+SUM(G50:G54)</f>
        <v>15296.07</v>
      </c>
      <c r="H49" s="139">
        <f t="shared" ref="H49:J49" si="14">+SUM(H50:H54)</f>
        <v>19772.814200000001</v>
      </c>
      <c r="I49" s="139">
        <f t="shared" si="14"/>
        <v>24249.558400000002</v>
      </c>
      <c r="J49" s="139">
        <f t="shared" si="14"/>
        <v>28726.302600000003</v>
      </c>
    </row>
    <row r="50" spans="1:10" x14ac:dyDescent="0.3">
      <c r="A50">
        <f t="shared" si="1"/>
        <v>49</v>
      </c>
      <c r="C50" s="136" t="s">
        <v>1021</v>
      </c>
      <c r="D50" s="97">
        <f>+'sp fin'!C50</f>
        <v>0</v>
      </c>
      <c r="E50" s="97">
        <f>+'sp fin'!D50</f>
        <v>0</v>
      </c>
      <c r="F50" s="97">
        <f>+'sp fin'!E50</f>
        <v>0</v>
      </c>
      <c r="G50" s="97">
        <f>+'sp fin'!F50</f>
        <v>0</v>
      </c>
      <c r="H50" s="97">
        <f>+G50-'Scheda Debiti'!E5+'Input Previsionale'!E24-'Input Previsionale'!E25</f>
        <v>0</v>
      </c>
      <c r="I50" s="97">
        <f>+H50-'Scheda Debiti'!F5+'Input Previsionale'!F24-'Input Previsionale'!F25</f>
        <v>0</v>
      </c>
      <c r="J50" s="97">
        <f>+I50-'Scheda Debiti'!G5+'Input Previsionale'!G24-'Input Previsionale'!G25</f>
        <v>0</v>
      </c>
    </row>
    <row r="51" spans="1:10" x14ac:dyDescent="0.3">
      <c r="A51">
        <f t="shared" si="1"/>
        <v>50</v>
      </c>
      <c r="C51" s="136" t="s">
        <v>1020</v>
      </c>
      <c r="D51" s="97">
        <f>+'sp fin'!C51</f>
        <v>0</v>
      </c>
      <c r="E51" s="97">
        <f>+'sp fin'!D51</f>
        <v>0</v>
      </c>
      <c r="F51" s="97">
        <f>+'sp fin'!E51</f>
        <v>0</v>
      </c>
      <c r="G51" s="97">
        <f>+'sp fin'!F51</f>
        <v>15296.07</v>
      </c>
      <c r="H51" s="97">
        <f>+G51-'Scheda Debiti'!E9+'CE Previsionale'!F28</f>
        <v>19772.814200000001</v>
      </c>
      <c r="I51" s="97">
        <f>+H51-'Scheda Debiti'!F9+'CE Previsionale'!G28</f>
        <v>24249.558400000002</v>
      </c>
      <c r="J51" s="97">
        <f>+I51-'Scheda Debiti'!G9+'CE Previsionale'!H28</f>
        <v>28726.302600000003</v>
      </c>
    </row>
    <row r="52" spans="1:10" x14ac:dyDescent="0.3">
      <c r="A52">
        <f t="shared" si="1"/>
        <v>51</v>
      </c>
      <c r="C52" s="136" t="s">
        <v>1022</v>
      </c>
      <c r="D52" s="97">
        <f>+'sp fin'!C52</f>
        <v>0</v>
      </c>
      <c r="E52" s="97">
        <f>+'sp fin'!D52</f>
        <v>0</v>
      </c>
      <c r="F52" s="97">
        <f>+'sp fin'!E52</f>
        <v>0</v>
      </c>
      <c r="G52" s="97">
        <f>+'sp fin'!F52</f>
        <v>0</v>
      </c>
      <c r="H52" s="97">
        <f>+G52-'Scheda Debiti'!E10+'CE Previsionale'!F26</f>
        <v>0</v>
      </c>
      <c r="I52" s="97">
        <f>+H52-'Scheda Debiti'!F10+'CE Previsionale'!G26</f>
        <v>0</v>
      </c>
      <c r="J52" s="97">
        <f>+I52-'Scheda Debiti'!G10+'CE Previsionale'!H26</f>
        <v>0</v>
      </c>
    </row>
    <row r="53" spans="1:10" x14ac:dyDescent="0.3">
      <c r="A53">
        <f t="shared" si="1"/>
        <v>52</v>
      </c>
      <c r="C53" s="136" t="s">
        <v>1023</v>
      </c>
      <c r="D53" s="97">
        <f>+'sp fin'!C53</f>
        <v>0</v>
      </c>
      <c r="E53" s="97">
        <f>+'sp fin'!D53</f>
        <v>0</v>
      </c>
      <c r="F53" s="97">
        <f>+'sp fin'!E53</f>
        <v>0</v>
      </c>
      <c r="G53" s="97">
        <f>+'sp fin'!F53</f>
        <v>0</v>
      </c>
      <c r="H53" s="97">
        <f>+G53-'Scheda Debiti'!E11</f>
        <v>0</v>
      </c>
      <c r="I53" s="97">
        <f>+H53-'Scheda Debiti'!F11</f>
        <v>0</v>
      </c>
      <c r="J53" s="97">
        <f>+I53-'Scheda Debiti'!G11</f>
        <v>0</v>
      </c>
    </row>
    <row r="54" spans="1:10" x14ac:dyDescent="0.3">
      <c r="A54">
        <f t="shared" si="1"/>
        <v>53</v>
      </c>
      <c r="C54" s="136" t="s">
        <v>1024</v>
      </c>
      <c r="D54" s="97">
        <f>+'sp fin'!C54</f>
        <v>0</v>
      </c>
      <c r="E54" s="97">
        <f>+'sp fin'!D54</f>
        <v>0</v>
      </c>
      <c r="F54" s="97">
        <f>+'sp fin'!E54</f>
        <v>0</v>
      </c>
      <c r="G54" s="97">
        <f>+'sp fin'!F54</f>
        <v>0</v>
      </c>
      <c r="H54" s="97">
        <f>+G54-'Scheda Debiti'!E12</f>
        <v>0</v>
      </c>
      <c r="I54" s="97">
        <f>+H54-'Scheda Debiti'!F12</f>
        <v>0</v>
      </c>
      <c r="J54" s="97">
        <f>+I54-'Scheda Debiti'!G12</f>
        <v>0</v>
      </c>
    </row>
    <row r="55" spans="1:10" ht="15" thickBot="1" x14ac:dyDescent="0.35">
      <c r="A55">
        <f t="shared" si="1"/>
        <v>54</v>
      </c>
      <c r="C55" s="60"/>
    </row>
    <row r="56" spans="1:10" ht="15" thickBot="1" x14ac:dyDescent="0.35">
      <c r="A56">
        <f t="shared" si="1"/>
        <v>55</v>
      </c>
      <c r="C56" s="135" t="s">
        <v>889</v>
      </c>
      <c r="D56" s="139">
        <f>+D57+D58+D59+D60+D61</f>
        <v>0</v>
      </c>
      <c r="E56" s="139">
        <f>+E57+E58+E59+E60+E61</f>
        <v>0</v>
      </c>
      <c r="F56" s="139">
        <f>+F57+F58+F59+F60+F61</f>
        <v>0</v>
      </c>
      <c r="G56" s="139">
        <f>+G57+G58+G59+G60+G61</f>
        <v>30886.350000000002</v>
      </c>
      <c r="H56" s="139">
        <f t="shared" ref="H56:J56" si="15">+H57+H58+H59+H60+H61</f>
        <v>78604.231209599981</v>
      </c>
      <c r="I56" s="139">
        <f t="shared" si="15"/>
        <v>136767.42161855998</v>
      </c>
      <c r="J56" s="139">
        <f t="shared" si="15"/>
        <v>223180.87795391999</v>
      </c>
    </row>
    <row r="57" spans="1:10" x14ac:dyDescent="0.3">
      <c r="A57">
        <f t="shared" si="1"/>
        <v>56</v>
      </c>
      <c r="C57" s="136" t="s">
        <v>1025</v>
      </c>
      <c r="D57" s="97">
        <f>+'sp fin'!C57</f>
        <v>0</v>
      </c>
      <c r="E57" s="97">
        <f>+'sp fin'!D57</f>
        <v>0</v>
      </c>
      <c r="F57" s="97">
        <f>+'sp fin'!E57</f>
        <v>0</v>
      </c>
      <c r="G57" s="97">
        <f>+'sp fin'!F57</f>
        <v>100000</v>
      </c>
      <c r="H57" s="97">
        <f>+G57+'Input Previsionale'!E29</f>
        <v>100000</v>
      </c>
      <c r="I57" s="97">
        <f>+H57+'Input Previsionale'!F29</f>
        <v>100000</v>
      </c>
      <c r="J57" s="97">
        <f>+I57+'Input Previsionale'!G29</f>
        <v>100000</v>
      </c>
    </row>
    <row r="58" spans="1:10" x14ac:dyDescent="0.3">
      <c r="A58">
        <f t="shared" si="1"/>
        <v>57</v>
      </c>
      <c r="C58" s="136" t="s">
        <v>1027</v>
      </c>
      <c r="D58" s="97">
        <f>+'sp fin'!C58</f>
        <v>0</v>
      </c>
      <c r="E58" s="97">
        <f>+'sp fin'!D58</f>
        <v>0</v>
      </c>
      <c r="F58" s="97">
        <f>+'sp fin'!E58</f>
        <v>0</v>
      </c>
      <c r="G58" s="97">
        <f>+'sp fin'!F58</f>
        <v>0</v>
      </c>
      <c r="H58" s="97">
        <f>+G58</f>
        <v>0</v>
      </c>
      <c r="I58" s="97">
        <f t="shared" ref="I58:J58" si="16">+H58</f>
        <v>0</v>
      </c>
      <c r="J58" s="97">
        <f t="shared" si="16"/>
        <v>0</v>
      </c>
    </row>
    <row r="59" spans="1:10" x14ac:dyDescent="0.3">
      <c r="A59">
        <f t="shared" si="1"/>
        <v>58</v>
      </c>
      <c r="C59" s="136" t="s">
        <v>1026</v>
      </c>
      <c r="D59" s="97">
        <f>+'sp fin'!C59</f>
        <v>0</v>
      </c>
      <c r="E59" s="97">
        <f>+'sp fin'!D59</f>
        <v>0</v>
      </c>
      <c r="F59" s="97">
        <f>+'sp fin'!E59</f>
        <v>0</v>
      </c>
      <c r="G59" s="97">
        <f>+'sp fin'!F59</f>
        <v>0</v>
      </c>
      <c r="H59" s="97">
        <f>+G59</f>
        <v>0</v>
      </c>
      <c r="I59" s="97">
        <f t="shared" ref="I59:J59" si="17">+H59</f>
        <v>0</v>
      </c>
      <c r="J59" s="97">
        <f t="shared" si="17"/>
        <v>0</v>
      </c>
    </row>
    <row r="60" spans="1:10" x14ac:dyDescent="0.3">
      <c r="A60">
        <f t="shared" si="1"/>
        <v>59</v>
      </c>
      <c r="C60" s="136" t="s">
        <v>1028</v>
      </c>
      <c r="D60" s="97">
        <f>+'sp fin'!C60</f>
        <v>0</v>
      </c>
      <c r="E60" s="97">
        <f>+'sp fin'!D60</f>
        <v>0</v>
      </c>
      <c r="F60" s="97">
        <f>+'sp fin'!E60</f>
        <v>0</v>
      </c>
      <c r="G60" s="155">
        <f>+'sp fin'!F60</f>
        <v>-60634.45</v>
      </c>
      <c r="H60" s="155">
        <f>+G60+G61-'Input Previsionale'!E37</f>
        <v>-81043.120302399984</v>
      </c>
      <c r="I60" s="155">
        <f>+H60+H61-'Input Previsionale'!F37</f>
        <v>-35936.566392640016</v>
      </c>
      <c r="J60" s="155">
        <f>+I60+I61-'Input Previsionale'!G37</f>
        <v>36767.421618559965</v>
      </c>
    </row>
    <row r="61" spans="1:10" x14ac:dyDescent="0.3">
      <c r="A61">
        <f t="shared" si="1"/>
        <v>60</v>
      </c>
      <c r="C61" s="136" t="s">
        <v>1029</v>
      </c>
      <c r="D61" s="97">
        <f>+'sp fin'!C61</f>
        <v>0</v>
      </c>
      <c r="E61" s="97">
        <f>+'sp fin'!D61</f>
        <v>0</v>
      </c>
      <c r="F61" s="97">
        <f>+'sp fin'!E61</f>
        <v>0</v>
      </c>
      <c r="G61" s="155">
        <f>+'sp fin'!F61</f>
        <v>-8479.2000000000007</v>
      </c>
      <c r="H61" s="155">
        <f>+'CE Previsionale'!F44</f>
        <v>59647.351511999965</v>
      </c>
      <c r="I61" s="155">
        <f>+'CE Previsionale'!G44</f>
        <v>72703.988011199981</v>
      </c>
      <c r="J61" s="155">
        <f>+'CE Previsionale'!H44</f>
        <v>86413.456335360024</v>
      </c>
    </row>
    <row r="62" spans="1:10" x14ac:dyDescent="0.3">
      <c r="C62" s="64"/>
    </row>
    <row r="63" spans="1:10" x14ac:dyDescent="0.3">
      <c r="C63" s="67" t="s">
        <v>895</v>
      </c>
      <c r="D63" s="58">
        <f t="shared" ref="D63" si="18">+D56+D49+D47+D40+D37</f>
        <v>0</v>
      </c>
      <c r="E63" s="58">
        <f t="shared" ref="E63:F63" si="19">+E56+E49+E47+E40+E37</f>
        <v>0</v>
      </c>
      <c r="F63" s="58">
        <f t="shared" si="19"/>
        <v>0</v>
      </c>
      <c r="G63" s="58">
        <f t="shared" ref="G63:J63" si="20">+G56+G49+G47+G40+G37</f>
        <v>1453619.6199999999</v>
      </c>
      <c r="H63" s="58">
        <f t="shared" si="20"/>
        <v>1619735.1010602333</v>
      </c>
      <c r="I63" s="58">
        <f t="shared" si="20"/>
        <v>1691752.1175370598</v>
      </c>
      <c r="J63" s="58">
        <f t="shared" si="20"/>
        <v>1792490.7092836797</v>
      </c>
    </row>
    <row r="65" spans="4:10" x14ac:dyDescent="0.3">
      <c r="D65" s="62">
        <f t="shared" ref="D65:I65" si="21">+D33-D63</f>
        <v>0</v>
      </c>
      <c r="E65" s="62">
        <f t="shared" si="21"/>
        <v>0</v>
      </c>
      <c r="F65" s="62">
        <f t="shared" si="21"/>
        <v>126617</v>
      </c>
      <c r="G65" s="62">
        <f t="shared" si="21"/>
        <v>0</v>
      </c>
      <c r="H65" s="158">
        <f>+H33-H63</f>
        <v>0</v>
      </c>
      <c r="I65" s="158">
        <f t="shared" si="21"/>
        <v>0</v>
      </c>
      <c r="J65" s="158">
        <f t="shared" ref="J65" si="22">+J33-J63</f>
        <v>0</v>
      </c>
    </row>
  </sheetData>
  <conditionalFormatting sqref="G61:J61">
    <cfRule type="cellIs" dxfId="6" priority="2" operator="greaterThan">
      <formula>0</formula>
    </cfRule>
    <cfRule type="cellIs" dxfId="5" priority="3" operator="lessThan">
      <formula>0</formula>
    </cfRule>
  </conditionalFormatting>
  <conditionalFormatting sqref="D65:J65">
    <cfRule type="cellIs" dxfId="4" priority="1" operator="notEqual">
      <formula>0</formula>
    </cfRule>
  </conditionalFormatting>
  <hyperlinks>
    <hyperlink ref="A1" location="Menu!A1" display="MENU" xr:uid="{00000000-0004-0000-0800-000000000000}"/>
  </hyperlink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Menu</vt:lpstr>
      <vt:lpstr>SP</vt:lpstr>
      <vt:lpstr>CE</vt:lpstr>
      <vt:lpstr>Input Previsionale</vt:lpstr>
      <vt:lpstr>Scheda Debiti</vt:lpstr>
      <vt:lpstr>Scheda Crediti</vt:lpstr>
      <vt:lpstr>Scheda Inv</vt:lpstr>
      <vt:lpstr>Calcoli</vt:lpstr>
      <vt:lpstr>SP Previsionale</vt:lpstr>
      <vt:lpstr>CE Previsionale</vt:lpstr>
      <vt:lpstr>sp fin</vt:lpstr>
      <vt:lpstr>ce mcl</vt:lpstr>
      <vt:lpstr>ce va</vt:lpstr>
      <vt:lpstr>Valore Aziendale</vt:lpstr>
      <vt:lpstr>CE!firstItemRow</vt:lpstr>
      <vt:lpstr>CE!nomeFoglio</vt:lpstr>
      <vt:lpstr>prefix</vt:lpstr>
      <vt:lpstr>CE!Print_Area</vt:lpstr>
      <vt:lpstr>'Input Previsionale'!Print_Area</vt:lpstr>
      <vt:lpstr>SP!Print_Area</vt:lpstr>
      <vt:lpstr>'sp fin'!Print_Area</vt:lpstr>
    </vt:vector>
  </TitlesOfParts>
  <Manager/>
  <Company>Accenture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Imperiale, Gianluca</dc:creator>
  <cp:keywords/>
  <dc:description/>
  <cp:lastModifiedBy>Imperiale, Gianluca</cp:lastModifiedBy>
  <cp:revision/>
  <cp:lastPrinted>2018-07-16T14:23:47Z</cp:lastPrinted>
  <dcterms:created xsi:type="dcterms:W3CDTF">2015-03-06T11:34:44Z</dcterms:created>
  <dcterms:modified xsi:type="dcterms:W3CDTF">2018-07-24T12:21:18Z</dcterms:modified>
  <cp:category/>
  <cp:contentStatus/>
</cp:coreProperties>
</file>