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<sst xmlns="http://schemas.openxmlformats.org/spreadsheetml/2006/main" count="802" uniqueCount="430">
  <si>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</si>
  <si>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</si>
  <si>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</si>
  <si>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</si>
  <si>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</si>
  <si>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</si>
  <si>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</si>
  <si>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</si>
  <si>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</si>
  <si>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</si>
  <si>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</si>
  <si>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</si>
  <si>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</si>
  <si>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</si>
  <si>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</si>
  <si>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</si>
  <si>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</si>
  <si>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</si>
  <si>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</si>
  <si>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</si>
  <si>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</si>
  <si>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</si>
  <si>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</si>
  <si>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</si>
  <si>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</si>
  <si>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</si>
  <si>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</si>
  <si>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</si>
  <si>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</si>
  <si>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</si>
  <si>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</si>
  <si>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</si>
  <si>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</si>
  <si>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</si>
  <si>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</si>
  <si>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</si>
  <si>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</si>
  <si>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</si>
  <si>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</si>
  <si>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</si>
  <si>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</si>
  <si>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</si>
  <si>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</si>
  <si>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</si>
  <si>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</si>
  <si>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</si>
  <si>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</si>
  <si>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</si>
  <si>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</si>
  <si>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</si>
  <si>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</si>
  <si>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</si>
  <si>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</si>
  <si>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</si>
  <si>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</si>
  <si>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</si>
  <si>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</si>
  <si>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</si>
  <si>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</si>
  <si>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</si>
  <si>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</si>
  <si>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</si>
  <si>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</si>
  <si>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</si>
  <si>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</si>
  <si>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</si>
  <si>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</si>
  <si>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</si>
  <si>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</si>
  <si>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</si>
  <si>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</si>
  <si>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</si>
  <si>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</si>
  <si>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</si>
  <si>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</si>
  <si>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</si>
  <si>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</si>
  <si>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</si>
  <si>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</si>
  <si>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</si>
  <si>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</si>
  <si>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</si>
  <si>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</si>
  <si>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</si>
  <si>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</si>
  <si>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</si>
  <si>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</si>
  <si>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</si>
  <si>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</si>
  <si>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</si>
  <si>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</si>
  <si>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</si>
  <si>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</si>
  <si>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</si>
  <si>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</si>
  <si>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</si>
  <si>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</si>
  <si>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</si>
  <si>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</si>
  <si>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</si>
  <si>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</si>
  <si>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</si>
  <si>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</si>
  <si>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</si>
  <si>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</si>
  <si>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</si>
  <si>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</si>
  <si>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</si>
  <si>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</si>
  <si>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</si>
  <si>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</si>
  <si>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</si>
  <si>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</si>
  <si>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</si>
  <si>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</si>
  <si>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</si>
  <si>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</si>
  <si>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</si>
  <si>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</si>
  <si>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</si>
  <si>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</si>
  <si>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</si>
  <si>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</si>
  <si>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</si>
  <si>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</si>
  <si>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</si>
  <si>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</si>
  <si>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</si>
  <si>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</si>
  <si>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</si>
  <si>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</si>
  <si>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</si>
  <si>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</si>
  <si>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</si>
  <si>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</si>
  <si>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</si>
  <si>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</si>
  <si>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</si>
  <si>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</si>
  <si>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</si>
  <si>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</si>
  <si>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</si>
  <si>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</si>
  <si>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</si>
  <si>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</si>
  <si>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</si>
  <si>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</si>
  <si>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</si>
  <si>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</si>
  <si>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</si>
  <si>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</si>
  <si>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</si>
  <si>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</si>
  <si>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</si>
  <si>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</si>
  <si>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</si>
  <si>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</si>
  <si>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</si>
  <si>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</si>
  <si>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</si>
  <si>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</si>
  <si>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</si>
  <si>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</si>
  <si>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</si>
  <si>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</si>
  <si>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</si>
  <si>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</si>
  <si>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</si>
  <si>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</si>
  <si>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</si>
  <si>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</si>
  <si>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</si>
  <si>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</si>
  <si>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</si>
  <si>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</si>
  <si>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</si>
  <si>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</si>
  <si>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</si>
  <si>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</si>
  <si>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</si>
  <si>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</si>
  <si>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</si>
  <si>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</si>
  <si>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</si>
  <si>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</si>
  <si>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</si>
  <si>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</si>
  <si>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</si>
  <si>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</si>
  <si>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</si>
  <si>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</si>
  <si>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</si>
  <si>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</si>
  <si>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</si>
  <si>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</si>
  <si>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</si>
  <si>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</si>
  <si>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</si>
  <si>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</si>
  <si>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</si>
  <si>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</si>
  <si>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</si>
  <si>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</si>
  <si>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</si>
  <si>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</si>
  <si>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</si>
  <si>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</si>
  <si>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</si>
  <si>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</si>
  <si>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</si>
  <si>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</si>
  <si>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</si>
  <si>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</si>
  <si>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</si>
  <si>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</si>
  <si>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</si>
  <si>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</si>
  <si>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</si>
  <si>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</si>
  <si>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</si>
  <si>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</si>
  <si>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</si>
  <si>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</si>
  <si>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</si>
  <si>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</si>
  <si>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</si>
  <si>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</si>
  <si>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</si>
  <si>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</si>
  <si>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</si>
  <si>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</si>
  <si>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</si>
  <si>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</si>
  <si>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</si>
  <si>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</si>
  <si>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</si>
  <si>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</si>
  <si>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</si>
  <si>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</si>
  <si>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</si>
  <si>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</si>
  <si>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</si>
  <si>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</si>
  <si>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</si>
  <si>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</si>
  <si>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</si>
  <si>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</si>
  <si>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</si>
  <si>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</si>
  <si>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</si>
  <si>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</si>
  <si>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</si>
  <si>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</si>
  <si>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</si>
  <si>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</si>
  <si>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</si>
  <si>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</si>
  <si>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</si>
  <si>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</si>
  <si>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</si>
  <si>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</si>
  <si>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</si>
  <si>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</si>
  <si>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</si>
  <si>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</si>
  <si>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</si>
  <si>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</si>
  <si>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</si>
  <si>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</si>
  <si>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</si>
  <si>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</si>
  <si>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</si>
  <si>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</si>
  <si>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</si>
  <si>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</si>
  <si>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</si>
  <si>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</si>
  <si>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</si>
  <si>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</si>
  <si>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</si>
  <si>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</si>
  <si>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</si>
  <si>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</si>
  <si>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</si>
  <si>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</si>
  <si>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</si>
  <si>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</si>
  <si>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</si>
  <si>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</si>
  <si>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</si>
  <si>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</si>
  <si>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</si>
  <si>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</si>
  <si>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</si>
  <si>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</si>
  <si>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</si>
  <si>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</si>
  <si>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</si>
  <si>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</si>
  <si>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</si>
  <si>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</si>
  <si>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</si>
  <si>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</si>
  <si>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</si>
  <si>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</si>
  <si>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</si>
  <si>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</si>
  <si>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</si>
  <si>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</si>
  <si>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</si>
  <si>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</si>
  <si>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</si>
  <si>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</si>
  <si>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</si>
  <si>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</si>
  <si>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</si>
  <si>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</si>
  <si>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</si>
  <si>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</si>
  <si>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</si>
  <si>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</si>
  <si>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</si>
  <si>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</si>
  <si>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</si>
  <si>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</si>
  <si>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</si>
  <si>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</si>
  <si>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</si>
  <si>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</si>
  <si>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</si>
  <si>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</si>
  <si>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</si>
  <si>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</si>
  <si>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</si>
  <si>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</si>
  <si>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</si>
  <si>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</si>
  <si>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</si>
  <si>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</si>
  <si>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</si>
  <si>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</si>
  <si>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</si>
  <si>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</si>
  <si>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</si>
  <si>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</si>
  <si>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</si>
  <si>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</si>
  <si>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</si>
  <si>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</si>
  <si>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</si>
  <si>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</si>
  <si>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</si>
  <si>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</si>
  <si>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</si>
  <si>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</si>
  <si>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</si>
  <si>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</si>
  <si>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</si>
  <si>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</si>
  <si>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</si>
  <si>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</si>
  <si>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</si>
  <si>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</si>
  <si>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</si>
  <si>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</si>
  <si>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</si>
  <si>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</si>
  <si>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</si>
  <si>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</si>
  <si>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</si>
  <si>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</si>
  <si>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</si>
  <si>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</si>
  <si>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</si>
  <si>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</si>
  <si>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</si>
  <si>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</si>
  <si>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</si>
  <si>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</si>
  <si>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</si>
  <si>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</si>
  <si>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</si>
  <si>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</si>
  <si>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</si>
  <si>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</si>
  <si>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</si>
  <si>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</si>
  <si>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</si>
  <si>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</si>
  <si>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</si>
  <si>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</si>
  <si>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</si>
  <si>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</si>
  <si>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</si>
  <si>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</si>
  <si>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</si>
  <si>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</si>
  <si>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</si>
  <si>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</si>
  <si>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</si>
  <si>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</si>
  <si>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</si>
  <si>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</si>
  <si>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</si>
  <si>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</si>
  <si>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</si>
  <si>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</si>
  <si>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</si>
  <si>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Consumi MP</t>
  </si>
  <si>
    <t>Giacenza magazzino</t>
  </si>
  <si>
    <t>Prezzo medio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</si>
  <si>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</si>
  <si>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</si>
  <si>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</si>
  <si>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</si>
  <si>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</si>
  <si>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</si>
  <si>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</si>
  <si>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</si>
  <si>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</si>
  <si>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</si>
  <si>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</si>
  <si>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</si>
  <si>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>Format:</t>
  </si>
  <si>
    <t>Fotodigitaldiscount</t>
  </si>
  <si>
    <t>32 mq</t>
  </si>
  <si>
    <t>% su acquisti frnachising</t>
  </si>
  <si>
    <t>Commercio / Servizi</t>
  </si>
  <si>
    <t>Servizi Fotografici</t>
  </si>
  <si>
    <t xml:space="preserve">          3) Feee d'ingresso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</si>
</sst>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9" fontId="44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4" fillId="8" borderId="0" xfId="0" applyFont="1" applyFill="1" applyBorder="1" applyAlignment="1">
      <alignment/>
    </xf>
    <xf numFmtId="0" fontId="44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4" fillId="0" borderId="26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4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8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/>
    </xf>
    <xf numFmtId="0" fontId="28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5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4" fillId="2" borderId="0" xfId="0" applyNumberFormat="1" applyFont="1" applyFill="1" applyBorder="1" applyAlignment="1" applyProtection="1">
      <alignment horizontal="center"/>
      <protection hidden="1"/>
    </xf>
    <xf numFmtId="0" fontId="44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4" fillId="0" borderId="0" xfId="0" applyNumberFormat="1" applyFont="1" applyFill="1" applyAlignment="1">
      <alignment/>
    </xf>
    <xf numFmtId="164" fontId="44" fillId="0" borderId="0" xfId="0" applyNumberFormat="1" applyFont="1" applyFill="1" applyAlignment="1" applyProtection="1">
      <alignment horizontal="left"/>
      <protection hidden="1"/>
    </xf>
    <xf numFmtId="164" fontId="44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4" fillId="0" borderId="0" xfId="0" applyFont="1" applyFill="1" applyAlignment="1" quotePrefix="1">
      <alignment/>
    </xf>
    <xf numFmtId="9" fontId="44" fillId="0" borderId="0" xfId="59" applyNumberFormat="1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38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10" fontId="47" fillId="0" borderId="36" xfId="0" applyNumberFormat="1" applyFont="1" applyBorder="1" applyAlignment="1">
      <alignment horizontal="center" vertical="center" wrapText="1"/>
    </xf>
    <xf numFmtId="165" fontId="47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4" fillId="0" borderId="0" xfId="0" applyNumberFormat="1" applyFont="1" applyAlignment="1">
      <alignment/>
    </xf>
    <xf numFmtId="0" fontId="46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4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4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8" fillId="16" borderId="0" xfId="53" applyFont="1" applyFill="1" applyAlignment="1">
      <alignment horizontal="center"/>
    </xf>
    <xf numFmtId="0" fontId="44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4" fillId="0" borderId="18" xfId="0" applyFont="1" applyBorder="1" applyAlignment="1">
      <alignment/>
    </xf>
    <xf numFmtId="165" fontId="44" fillId="0" borderId="15" xfId="0" applyNumberFormat="1" applyFont="1" applyBorder="1" applyAlignment="1">
      <alignment/>
    </xf>
    <xf numFmtId="0" fontId="0" fillId="7" borderId="0" xfId="0" applyFill="1" applyBorder="1" applyAlignment="1">
      <alignment/>
    </xf>
    <xf numFmtId="9" fontId="0" fillId="7" borderId="34" xfId="59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44" fillId="0" borderId="15" xfId="0" applyNumberFormat="1" applyFont="1" applyBorder="1" applyAlignment="1">
      <alignment/>
    </xf>
    <xf numFmtId="165" fontId="4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6" sqref="G36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9.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17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389</v>
      </c>
      <c r="F2" s="137" t="s">
        <v>424</v>
      </c>
      <c r="H2" s="6" t="s">
        <v>423</v>
      </c>
      <c r="I2" s="137" t="s">
        <v>425</v>
      </c>
    </row>
    <row r="3" spans="3:13" ht="46.5">
      <c r="C3" s="136" t="s">
        <v>388</v>
      </c>
      <c r="E3" s="6" t="s">
        <v>348</v>
      </c>
      <c r="F3" t="s">
        <v>427</v>
      </c>
      <c r="H3" t="s">
        <v>371</v>
      </c>
      <c r="I3" s="126" t="s">
        <v>428</v>
      </c>
      <c r="J3" s="6" t="s">
        <v>349</v>
      </c>
      <c r="K3" s="126" t="s">
        <v>351</v>
      </c>
      <c r="M3" s="2" t="s">
        <v>366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30251.630173600533</v>
      </c>
      <c r="E7" s="50">
        <f>+'CE'!E55</f>
        <v>53738.25270571429</v>
      </c>
      <c r="F7" s="50">
        <f>+'CE'!F55</f>
        <v>103778.31072571431</v>
      </c>
      <c r="G7" s="50">
        <f>+'CE'!G55</f>
        <v>111697.73813544039</v>
      </c>
      <c r="H7" s="50">
        <f>+'CE'!H55</f>
        <v>115698.858322161</v>
      </c>
      <c r="I7" s="15"/>
      <c r="K7" s="105" t="s">
        <v>345</v>
      </c>
    </row>
    <row r="8" spans="2:11" ht="15">
      <c r="B8" s="16"/>
      <c r="C8" s="17" t="s">
        <v>365</v>
      </c>
      <c r="D8" s="50">
        <f>+'CE'!D63</f>
        <v>14210.164149019518</v>
      </c>
      <c r="E8" s="50">
        <f>+'CE'!E63</f>
        <v>22913.335368571432</v>
      </c>
      <c r="F8" s="50">
        <f>+'CE'!F63</f>
        <v>39249.59693342859</v>
      </c>
      <c r="G8" s="50">
        <f>+'CE'!G63</f>
        <v>41780.352560407635</v>
      </c>
      <c r="H8" s="50">
        <f>+'CE'!H63</f>
        <v>43058.962351606286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76788.39129458336</v>
      </c>
      <c r="E10" s="50">
        <f>+IF(SP!D4&gt;0,SP!D4,-SP!D27)</f>
        <v>152876.31867444317</v>
      </c>
      <c r="F10" s="50">
        <f>+IF(SP!E4&gt;0,SP!E4,-SP!E27)</f>
        <v>263794.27948615025</v>
      </c>
      <c r="G10" s="50">
        <f>+IF(SP!F4&gt;0,SP!F4,-SP!F27)</f>
        <v>379475.58243452397</v>
      </c>
      <c r="H10" s="50">
        <f>+IF(SP!G4&gt;0,SP!G4,-SP!G27)</f>
        <v>498940.78891655325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15">
      <c r="B17" s="16"/>
      <c r="C17" s="17"/>
      <c r="D17" s="13" t="s">
        <v>426</v>
      </c>
      <c r="E17" s="127"/>
      <c r="F17" s="127" t="s">
        <v>226</v>
      </c>
      <c r="G17" s="17"/>
      <c r="H17" s="17"/>
      <c r="I17" s="15"/>
    </row>
    <row r="18" spans="2:9" ht="15">
      <c r="B18" s="16"/>
      <c r="C18" s="17" t="s">
        <v>383</v>
      </c>
      <c r="D18" s="23">
        <v>0.01</v>
      </c>
      <c r="E18" s="17"/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30">
      <c r="B20" s="16"/>
      <c r="C20" s="17"/>
      <c r="D20" s="17"/>
      <c r="E20" s="127" t="s">
        <v>226</v>
      </c>
      <c r="F20" s="127" t="s">
        <v>415</v>
      </c>
      <c r="G20" s="17"/>
      <c r="H20" s="17"/>
      <c r="I20" s="15"/>
    </row>
    <row r="21" spans="2:9" ht="15">
      <c r="B21" s="16"/>
      <c r="C21" s="17" t="s">
        <v>421</v>
      </c>
      <c r="D21" s="2">
        <v>15000</v>
      </c>
      <c r="E21" s="23">
        <v>0.21</v>
      </c>
      <c r="F21" s="145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7" t="s">
        <v>45</v>
      </c>
      <c r="J22" s="17"/>
    </row>
    <row r="23" spans="2:9" ht="15">
      <c r="B23" s="16"/>
      <c r="C23" s="17" t="s">
        <v>422</v>
      </c>
      <c r="D23" s="2">
        <v>0</v>
      </c>
      <c r="E23" s="2">
        <v>0</v>
      </c>
      <c r="F23" s="2"/>
      <c r="G23" s="2"/>
      <c r="H23" s="2"/>
      <c r="I23" s="146">
        <f>+($D$21+($D$21*E21))-SUM(D23:H23)</f>
        <v>18150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/>
      <c r="F30" s="2"/>
      <c r="G30" s="2"/>
      <c r="H30" s="2"/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410</v>
      </c>
      <c r="J33" s="21"/>
      <c r="K33" s="21"/>
      <c r="L33" s="21"/>
      <c r="M33" s="21"/>
      <c r="N33" s="9"/>
      <c r="O33" s="21" t="s">
        <v>411</v>
      </c>
      <c r="P33" s="21"/>
      <c r="Q33" s="153">
        <f>350000/K35</f>
        <v>58333.333333333336</v>
      </c>
      <c r="R33" s="148"/>
      <c r="S33" s="21"/>
      <c r="T33" s="10"/>
    </row>
    <row r="34" spans="1:30" ht="30">
      <c r="A34" s="6"/>
      <c r="B34" s="11"/>
      <c r="C34" s="12" t="s">
        <v>9</v>
      </c>
      <c r="D34" s="12"/>
      <c r="E34" s="22" t="s">
        <v>390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372</v>
      </c>
      <c r="D35" s="12"/>
      <c r="E35" s="23">
        <v>0.683</v>
      </c>
      <c r="F35" s="23">
        <v>0.21</v>
      </c>
      <c r="G35" s="24">
        <v>0</v>
      </c>
      <c r="H35" s="17"/>
      <c r="I35" s="152">
        <v>5</v>
      </c>
      <c r="J35" s="152">
        <v>5.5</v>
      </c>
      <c r="K35" s="152">
        <v>6</v>
      </c>
      <c r="L35" s="152">
        <v>6</v>
      </c>
      <c r="M35" s="152">
        <v>6</v>
      </c>
      <c r="N35" s="17"/>
      <c r="O35" s="139">
        <v>30000</v>
      </c>
      <c r="P35" s="140">
        <v>35000</v>
      </c>
      <c r="Q35" s="140">
        <v>45000</v>
      </c>
      <c r="R35" s="140">
        <v>47000</v>
      </c>
      <c r="S35" s="141">
        <v>48000</v>
      </c>
      <c r="T35" s="15"/>
      <c r="AC35" s="1">
        <v>0</v>
      </c>
      <c r="AD35" s="1">
        <v>0</v>
      </c>
    </row>
    <row r="36" spans="2:30" ht="15">
      <c r="B36" s="16"/>
      <c r="C36" s="27" t="s">
        <v>373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374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375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2">
        <v>0</v>
      </c>
      <c r="P38" s="143">
        <v>0</v>
      </c>
      <c r="Q38" s="143">
        <v>0</v>
      </c>
      <c r="R38" s="143">
        <v>0</v>
      </c>
      <c r="S38" s="144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376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2"/>
      <c r="P39" s="143"/>
      <c r="Q39" s="143"/>
      <c r="R39" s="143"/>
      <c r="S39" s="144"/>
      <c r="T39" s="15"/>
      <c r="AC39" s="1">
        <v>120</v>
      </c>
      <c r="AD39" s="1">
        <v>120</v>
      </c>
    </row>
    <row r="40" spans="2:30" ht="15">
      <c r="B40" s="16"/>
      <c r="C40" s="27" t="s">
        <v>377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2"/>
      <c r="P40" s="143"/>
      <c r="Q40" s="143"/>
      <c r="R40" s="143"/>
      <c r="S40" s="144"/>
      <c r="T40" s="15"/>
      <c r="AC40" s="1">
        <v>150</v>
      </c>
      <c r="AD40" s="1">
        <v>150</v>
      </c>
    </row>
    <row r="41" spans="2:30" ht="15">
      <c r="B41" s="16"/>
      <c r="C41" s="27" t="s">
        <v>378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2"/>
      <c r="P41" s="143"/>
      <c r="Q41" s="143"/>
      <c r="R41" s="143"/>
      <c r="S41" s="144"/>
      <c r="T41" s="15"/>
      <c r="AC41" s="1">
        <v>180</v>
      </c>
      <c r="AD41" s="1">
        <v>180</v>
      </c>
    </row>
    <row r="42" spans="2:20" ht="15">
      <c r="B42" s="16"/>
      <c r="C42" s="27" t="s">
        <v>379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2"/>
      <c r="P42" s="143"/>
      <c r="Q42" s="143"/>
      <c r="R42" s="143"/>
      <c r="S42" s="144"/>
      <c r="T42" s="15"/>
    </row>
    <row r="43" spans="2:20" ht="15">
      <c r="B43" s="16"/>
      <c r="C43" s="27" t="s">
        <v>380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2"/>
      <c r="P43" s="143"/>
      <c r="Q43" s="143"/>
      <c r="R43" s="143"/>
      <c r="S43" s="144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408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409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0.21</v>
      </c>
      <c r="F48" s="24">
        <v>30</v>
      </c>
      <c r="G48" s="24">
        <v>30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30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30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30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30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30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30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30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30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f>30800-15000</f>
        <v>15800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19118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44</v>
      </c>
      <c r="D68" s="17"/>
      <c r="E68" s="2"/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1.5</v>
      </c>
      <c r="F77" s="135">
        <v>1.5</v>
      </c>
      <c r="G77" s="135">
        <v>1.5</v>
      </c>
      <c r="H77" s="135">
        <v>1.5</v>
      </c>
      <c r="I77" s="135">
        <v>1.5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f>250*12</f>
        <v>3000</v>
      </c>
      <c r="G99" s="2">
        <f>250*12</f>
        <v>3000</v>
      </c>
      <c r="H99" s="2">
        <f>250*12</f>
        <v>3000</v>
      </c>
      <c r="I99" s="2">
        <f>250*12</f>
        <v>3000</v>
      </c>
      <c r="J99" s="2">
        <f>250*12</f>
        <v>3000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1500*12</f>
        <v>18000</v>
      </c>
      <c r="G107" s="2">
        <f>1500*12</f>
        <v>18000</v>
      </c>
      <c r="H107" s="2">
        <f>1500*12</f>
        <v>18000</v>
      </c>
      <c r="I107" s="2">
        <f>1500*12</f>
        <v>18000</v>
      </c>
      <c r="J107" s="2">
        <f>1500*12</f>
        <v>18000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406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149" t="str">
        <f>+C18</f>
        <v>Royalties Franchising</v>
      </c>
      <c r="D112" s="150">
        <f>+F18</f>
        <v>0.21</v>
      </c>
      <c r="E112" s="17"/>
      <c r="F112" s="151">
        <f>+MCL!D27*Input!$D$18</f>
        <v>475.49999999999994</v>
      </c>
      <c r="G112" s="151">
        <f>+MCL!E27*Input!$D$18</f>
        <v>610.2249999999999</v>
      </c>
      <c r="H112" s="151">
        <f>+MCL!F27*Input!$D$18</f>
        <v>855.8999999999999</v>
      </c>
      <c r="I112" s="151">
        <f>+MCL!G27*Input!$D$18</f>
        <v>893.9399999999998</v>
      </c>
      <c r="J112" s="151">
        <f>+MCL!H27*Input!$D$18</f>
        <v>912.9599999999999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392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395</v>
      </c>
      <c r="D137" s="4">
        <v>30800</v>
      </c>
      <c r="E137" s="17"/>
      <c r="F137" s="17"/>
      <c r="G137" s="17"/>
      <c r="H137" s="17"/>
      <c r="I137" s="15"/>
    </row>
    <row r="138" spans="2:9" ht="15">
      <c r="B138" s="16"/>
      <c r="C138" s="17" t="s">
        <v>396</v>
      </c>
      <c r="D138" s="4">
        <v>30800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61600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30800</v>
      </c>
      <c r="E141" s="134"/>
      <c r="F141" s="17" t="s">
        <v>399</v>
      </c>
      <c r="G141" s="17"/>
      <c r="H141" s="107">
        <v>0.02</v>
      </c>
      <c r="I141" s="15"/>
    </row>
    <row r="142" spans="2:9" ht="15">
      <c r="B142" s="16"/>
      <c r="C142" s="17" t="s">
        <v>397</v>
      </c>
      <c r="D142" s="39">
        <f>+D141</f>
        <v>30800</v>
      </c>
      <c r="E142" s="17"/>
      <c r="F142" s="17"/>
      <c r="G142" s="17"/>
      <c r="H142" s="17"/>
      <c r="I142" s="15"/>
    </row>
    <row r="143" spans="2:9" ht="15">
      <c r="B143" s="16"/>
      <c r="C143" s="12" t="s">
        <v>398</v>
      </c>
      <c r="D143" s="34">
        <f>SUM(D141:D142)</f>
        <v>61600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402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30800</v>
      </c>
      <c r="E146" s="17"/>
      <c r="F146" s="17"/>
      <c r="G146" s="17"/>
      <c r="H146" s="17"/>
      <c r="I146" s="15"/>
    </row>
    <row r="147" spans="2:9" ht="15">
      <c r="B147" s="16"/>
      <c r="C147" s="17" t="s">
        <v>403</v>
      </c>
      <c r="D147" s="4">
        <v>15400</v>
      </c>
      <c r="E147" s="4">
        <v>15400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404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30800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4758.968247975474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4758.968247975474</v>
      </c>
      <c r="H18" s="69">
        <f t="shared" si="4"/>
        <v>4758.968247975474</v>
      </c>
      <c r="I18" s="69">
        <f t="shared" si="4"/>
        <v>4758.968247975474</v>
      </c>
      <c r="J18" s="69">
        <f t="shared" si="4"/>
        <v>4758.968247975474</v>
      </c>
      <c r="K18" s="69">
        <f t="shared" si="4"/>
        <v>4758.968247975474</v>
      </c>
      <c r="L18" s="69">
        <f t="shared" si="4"/>
        <v>4758.968247975474</v>
      </c>
      <c r="M18" s="69">
        <f t="shared" si="4"/>
        <v>4758.968247975474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4142.968247975473</v>
      </c>
      <c r="H19" s="69">
        <f t="shared" si="5"/>
        <v>4225.827612934982</v>
      </c>
      <c r="I19" s="69">
        <f t="shared" si="5"/>
        <v>4310.344165193683</v>
      </c>
      <c r="J19" s="69">
        <f>J18-J21</f>
        <v>4396.551048497557</v>
      </c>
      <c r="K19" s="69">
        <f aca="true" t="shared" si="6" ref="K19:AM19">K18-K21</f>
        <v>4484.482069467507</v>
      </c>
      <c r="L19" s="69">
        <f t="shared" si="6"/>
        <v>4574.171710856857</v>
      </c>
      <c r="M19" s="69">
        <f t="shared" si="6"/>
        <v>4665.655145073995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4142.968247975473</v>
      </c>
      <c r="H20" s="69">
        <f t="shared" si="7"/>
        <v>8368.795860910455</v>
      </c>
      <c r="I20" s="69">
        <f t="shared" si="7"/>
        <v>12679.140026104138</v>
      </c>
      <c r="J20" s="69">
        <f t="shared" si="7"/>
        <v>17075.691074601695</v>
      </c>
      <c r="K20" s="69">
        <f t="shared" si="7"/>
        <v>21560.173144069202</v>
      </c>
      <c r="L20" s="69">
        <f t="shared" si="7"/>
        <v>26134.344854926057</v>
      </c>
      <c r="M20" s="69">
        <f t="shared" si="7"/>
        <v>30800.00000000005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616.0000000000006</v>
      </c>
      <c r="H21" s="69">
        <f t="shared" si="8"/>
        <v>533.140635040491</v>
      </c>
      <c r="I21" s="69">
        <f t="shared" si="8"/>
        <v>448.62408278179134</v>
      </c>
      <c r="J21" s="69">
        <f t="shared" si="8"/>
        <v>362.41719947791756</v>
      </c>
      <c r="K21" s="69">
        <f t="shared" si="8"/>
        <v>274.4861785079664</v>
      </c>
      <c r="L21" s="69">
        <f t="shared" si="8"/>
        <v>184.79653711861613</v>
      </c>
      <c r="M21" s="69">
        <f t="shared" si="8"/>
        <v>93.31310290147893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30800</v>
      </c>
      <c r="F22" s="69">
        <f t="shared" si="9"/>
        <v>30800</v>
      </c>
      <c r="G22" s="69">
        <f t="shared" si="9"/>
        <v>26657.031752024526</v>
      </c>
      <c r="H22" s="69">
        <f t="shared" si="9"/>
        <v>22431.204139089547</v>
      </c>
      <c r="I22" s="69">
        <f t="shared" si="9"/>
        <v>18120.859973895862</v>
      </c>
      <c r="J22" s="69">
        <f t="shared" si="9"/>
        <v>13724.308925398305</v>
      </c>
      <c r="K22" s="69">
        <f t="shared" si="9"/>
        <v>9239.826855930798</v>
      </c>
      <c r="L22" s="69">
        <f t="shared" si="9"/>
        <v>4665.655145073943</v>
      </c>
      <c r="M22" s="69">
        <f t="shared" si="9"/>
        <v>-5.093170329928398E-11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30800</v>
      </c>
      <c r="F26" s="69">
        <f>+F22-F28</f>
        <v>30800</v>
      </c>
      <c r="G26" s="69">
        <f t="shared" si="11"/>
        <v>26041.031752024526</v>
      </c>
      <c r="H26" s="69">
        <f t="shared" si="11"/>
        <v>21898.063504049056</v>
      </c>
      <c r="I26" s="69">
        <f t="shared" si="11"/>
        <v>17672.23589111407</v>
      </c>
      <c r="J26" s="69">
        <f>+J22-SUM($I$28:J28)</f>
        <v>12913.267643138597</v>
      </c>
      <c r="K26" s="69">
        <f>+K22-SUM($I$28:K28)</f>
        <v>8154.299395163123</v>
      </c>
      <c r="L26" s="69">
        <f>+L22-SUM($I$28:L28)</f>
        <v>3395.3311471876514</v>
      </c>
      <c r="M26" s="69">
        <f>+M22-SUM($I$28:M28)</f>
        <v>-1363.637100787821</v>
      </c>
      <c r="N26" s="69">
        <f>+N22-SUM($I$28:N28)</f>
        <v>-1363.6371007877701</v>
      </c>
      <c r="O26" s="69">
        <f>+O22-SUM($I$28:O28)</f>
        <v>-1363.6371007877701</v>
      </c>
      <c r="P26" s="69">
        <f>+P22-SUM($I$28:P28)</f>
        <v>-1363.6371007877701</v>
      </c>
      <c r="Q26" s="69">
        <f>+Q22-SUM($I$28:Q28)</f>
        <v>-1363.6371007877701</v>
      </c>
      <c r="R26" s="69">
        <f>+R22-SUM($I$28:R28)</f>
        <v>-1363.6371007877701</v>
      </c>
      <c r="S26" s="69">
        <f>+S22-SUM($I$28:S28)</f>
        <v>-1363.6371007877701</v>
      </c>
      <c r="T26" s="69">
        <f>+T22-SUM($I$28:T28)</f>
        <v>-1363.6371007877701</v>
      </c>
      <c r="U26" s="69">
        <f>+U22-SUM($I$28:U28)</f>
        <v>-1363.6371007877701</v>
      </c>
      <c r="V26" s="69">
        <f>+V22-SUM($I$28:V28)</f>
        <v>-1363.6371007877701</v>
      </c>
      <c r="W26" s="69">
        <f>+W22-SUM($I$28:W28)</f>
        <v>-1363.6371007877701</v>
      </c>
      <c r="X26" s="69">
        <f>+X22-SUM($I$28:X28)</f>
        <v>-1363.6371007877701</v>
      </c>
      <c r="Y26" s="69">
        <f>+Y22-SUM($I$28:Y28)</f>
        <v>-1363.6371007877701</v>
      </c>
      <c r="Z26" s="69">
        <f>+Z22-SUM($I$28:Z28)</f>
        <v>-1363.6371007877701</v>
      </c>
      <c r="AA26" s="69">
        <f>+AA22-SUM($I$28:AA28)</f>
        <v>-1363.6371007877701</v>
      </c>
      <c r="AB26" s="69">
        <f>+AB22-SUM($I$28:AB28)</f>
        <v>-1363.6371007877701</v>
      </c>
      <c r="AC26" s="69">
        <f>+AC22-SUM($I$28:AC28)</f>
        <v>-1363.6371007877701</v>
      </c>
      <c r="AD26" s="69">
        <f>+AD22-SUM($I$28:AD28)</f>
        <v>-1363.6371007877701</v>
      </c>
      <c r="AE26" s="69">
        <f>+AE22-SUM($I$28:AE28)</f>
        <v>-1363.6371007877701</v>
      </c>
      <c r="AF26" s="69">
        <f>+AF22-SUM($I$28:AF28)</f>
        <v>-1363.6371007877701</v>
      </c>
      <c r="AG26" s="69">
        <f>+AG22-SUM($I$28:AG28)</f>
        <v>-1363.6371007877701</v>
      </c>
      <c r="AH26" s="69">
        <f>+AH22-SUM($I$28:AH28)</f>
        <v>-1363.6371007877701</v>
      </c>
      <c r="AI26" s="69">
        <f>+AI22-SUM($I$28:AI28)</f>
        <v>-1363.6371007877701</v>
      </c>
      <c r="AJ26" s="69">
        <f>+AJ22-SUM($I$28:AJ28)</f>
        <v>-1363.6371007877701</v>
      </c>
      <c r="AK26" s="69">
        <f>+AK22-SUM($I$28:AK28)</f>
        <v>-1363.6371007877701</v>
      </c>
      <c r="AL26" s="69">
        <f>+AL22-SUM($I$28:AL28)</f>
        <v>-1363.6371007877701</v>
      </c>
      <c r="AM26" s="69">
        <f>+AM22-SUM($I$28:AM28)</f>
        <v>-1363.6371007877701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616.0000000000006</v>
      </c>
      <c r="H28" s="69">
        <f t="shared" si="12"/>
        <v>533.140635040491</v>
      </c>
      <c r="I28" s="69">
        <f t="shared" si="12"/>
        <v>448.62408278179134</v>
      </c>
      <c r="J28" s="69">
        <f t="shared" si="12"/>
        <v>362.41719947791756</v>
      </c>
      <c r="K28" s="69">
        <f t="shared" si="12"/>
        <v>274.4861785079664</v>
      </c>
      <c r="L28" s="69">
        <f t="shared" si="12"/>
        <v>184.79653711861613</v>
      </c>
      <c r="M28" s="69">
        <f t="shared" si="12"/>
        <v>93.31310290147893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30800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4758.968247975474</v>
      </c>
      <c r="H34" s="82">
        <f t="shared" si="13"/>
        <v>4758.96824797547</v>
      </c>
      <c r="I34" s="82">
        <f t="shared" si="13"/>
        <v>4758.968247975477</v>
      </c>
      <c r="J34" s="82">
        <f t="shared" si="13"/>
        <v>4758.968247975474</v>
      </c>
      <c r="K34" s="82">
        <f t="shared" si="13"/>
        <v>4758.968247975474</v>
      </c>
      <c r="L34" s="82">
        <f t="shared" si="13"/>
        <v>4758.968247975472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630</v>
      </c>
      <c r="E4" s="33">
        <f>+Input!G99*Input!$D99</f>
        <v>630</v>
      </c>
      <c r="F4" s="33">
        <f>+Input!H99*Input!$D99</f>
        <v>630</v>
      </c>
      <c r="G4" s="33">
        <f>+Input!I99*Input!$D99</f>
        <v>630</v>
      </c>
      <c r="H4" s="33">
        <f>+Input!J99*Input!$D99</f>
        <v>630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Royalties Franchising</v>
      </c>
      <c r="D17" s="33">
        <f>+Input!F112*Input!$D112</f>
        <v>99.85499999999999</v>
      </c>
      <c r="E17" s="33">
        <f>+Input!G112*Input!$D112</f>
        <v>128.14724999999999</v>
      </c>
      <c r="F17" s="33">
        <f>+Input!H112*Input!$D112</f>
        <v>179.73899999999998</v>
      </c>
      <c r="G17" s="33">
        <f>+Input!I112*Input!$D112</f>
        <v>187.72739999999996</v>
      </c>
      <c r="H17" s="33">
        <f>+Input!J112*Input!$D112</f>
        <v>191.72159999999997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1065.855</v>
      </c>
      <c r="E25" s="34">
        <f>SUM(E4:E24)</f>
        <v>1094.14725</v>
      </c>
      <c r="F25" s="34">
        <f>SUM(F4:F24)</f>
        <v>1145.739</v>
      </c>
      <c r="G25" s="34">
        <f>SUM(G4:G24)</f>
        <v>1153.7274</v>
      </c>
      <c r="H25" s="34">
        <f>SUM(H4:H24)</f>
        <v>1157.7215999999999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3630</v>
      </c>
      <c r="E30" s="45">
        <f>+Input!G99+'Altri costi'!E4</f>
        <v>3630</v>
      </c>
      <c r="F30" s="45">
        <f>+Input!H99+'Altri costi'!F4</f>
        <v>3630</v>
      </c>
      <c r="G30" s="45">
        <f>+Input!I99+'Altri costi'!G4</f>
        <v>3630</v>
      </c>
      <c r="H30" s="45">
        <f>+Input!J99+'Altri costi'!H4</f>
        <v>3630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18000</v>
      </c>
      <c r="E38" s="45">
        <f>+Input!G107+'Altri costi'!E12</f>
        <v>18000</v>
      </c>
      <c r="F38" s="45">
        <f>+Input!H107+'Altri costi'!F12</f>
        <v>18000</v>
      </c>
      <c r="G38" s="45">
        <f>+Input!I107+'Altri costi'!G12</f>
        <v>18000</v>
      </c>
      <c r="H38" s="45">
        <f>+Input!J107+'Altri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Royalties Franchising</v>
      </c>
      <c r="D43" s="45">
        <f>+Input!F112+'Altri costi'!D17</f>
        <v>575.3549999999999</v>
      </c>
      <c r="E43" s="45">
        <f>+Input!G112+'Altri costi'!E17</f>
        <v>738.3722499999999</v>
      </c>
      <c r="F43" s="45">
        <f>+Input!H112+'Altri costi'!F17</f>
        <v>1035.639</v>
      </c>
      <c r="G43" s="45">
        <f>+Input!I112+'Altri costi'!G17</f>
        <v>1081.6673999999998</v>
      </c>
      <c r="H43" s="45">
        <f>+Input!J112+'Altri costi'!H17</f>
        <v>1104.6816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24641.355</v>
      </c>
      <c r="E51" s="50">
        <f>SUM(E30:E50)</f>
        <v>24804.37225</v>
      </c>
      <c r="F51" s="50">
        <f>SUM(F30:F50)</f>
        <v>25101.639</v>
      </c>
      <c r="G51" s="50">
        <f>SUM(G30:G50)</f>
        <v>25147.6674</v>
      </c>
      <c r="H51" s="50">
        <f>SUM(H30:H50)</f>
        <v>25170.6816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31500</v>
      </c>
      <c r="D5" s="26">
        <f>+MCL!N41+MCL!E84</f>
        <v>40425</v>
      </c>
      <c r="E5" s="26">
        <f>+MCL!O41+MCL!F84</f>
        <v>56700</v>
      </c>
      <c r="F5" s="26">
        <f>+MCL!P41+MCL!G84</f>
        <v>59220</v>
      </c>
      <c r="G5" s="26">
        <f>+MCL!Q41+MCL!H84</f>
        <v>60480</v>
      </c>
      <c r="H5" s="85"/>
    </row>
    <row r="6" spans="2:8" ht="15">
      <c r="B6" s="17" t="s">
        <v>23</v>
      </c>
      <c r="C6" s="26">
        <f>+MCL!M55+Inve!M7+'Altri costi'!D25+MCL!D79</f>
        <v>18351.4905</v>
      </c>
      <c r="D6" s="26">
        <f>+MCL!N55+Inve!N7+'Altri costi'!E25+MCL!E79</f>
        <v>14144.652549999997</v>
      </c>
      <c r="E6" s="26">
        <f>+MCL!O55+Inve!O7+'Altri costi'!F25+MCL!F79</f>
        <v>19549.582849999995</v>
      </c>
      <c r="F6" s="26">
        <f>+MCL!P55+Inve!P7+'Altri costi'!G25+MCL!G79</f>
        <v>19993.049999999996</v>
      </c>
      <c r="G6" s="26">
        <f>+MCL!Q55+Inve!Q7+'Altri costi'!H25+MCL!H79</f>
        <v>20363.179199999995</v>
      </c>
      <c r="H6" s="85"/>
    </row>
    <row r="7" spans="2:8" ht="15">
      <c r="B7" s="87"/>
      <c r="C7" s="35">
        <f>+C6-C5</f>
        <v>-13148.5095</v>
      </c>
      <c r="D7" s="35">
        <f>+D6-D5</f>
        <v>-26280.34745</v>
      </c>
      <c r="E7" s="35">
        <f>+E6-E5</f>
        <v>-37150.41715000001</v>
      </c>
      <c r="F7" s="35">
        <f>+F6-F5</f>
        <v>-39226.950000000004</v>
      </c>
      <c r="G7" s="35">
        <f>+G6-G5</f>
        <v>-40116.8208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-13148.5095</v>
      </c>
      <c r="D10" s="26">
        <f>+D7</f>
        <v>-26280.34745</v>
      </c>
      <c r="E10" s="26">
        <f>+E7</f>
        <v>-37150.41715000001</v>
      </c>
      <c r="F10" s="26">
        <f>+F7</f>
        <v>-39226.950000000004</v>
      </c>
      <c r="G10" s="26">
        <f>+G7</f>
        <v>-40116.8208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-13148.5095</v>
      </c>
      <c r="D12" s="26">
        <f>+IF((D10+D11)&gt;0,0,(D10+D11))</f>
        <v>-26280.34745</v>
      </c>
      <c r="E12" s="26">
        <f>+IF((E10+E11)&gt;0,0,(E10+E11))</f>
        <v>-37150.41715000001</v>
      </c>
      <c r="F12" s="26">
        <f>+IF((F10+F11)&gt;0,0,(F10+F11))</f>
        <v>-39226.950000000004</v>
      </c>
      <c r="G12" s="26">
        <f>+IF((G10+G11)&gt;0,0,(G10+G11))</f>
        <v>-40116.8208</v>
      </c>
      <c r="H12" s="87"/>
    </row>
    <row r="13" spans="2:8" ht="15">
      <c r="B13" s="86" t="s">
        <v>257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-12052.800374999999</v>
      </c>
      <c r="D14" s="26">
        <f>+(D12*(11/12))+(C12-C14)</f>
        <v>-25186.027620833334</v>
      </c>
      <c r="E14" s="26">
        <f>+(E12*(11/12))+(D12-D14)+(C12-C14)</f>
        <v>-36244.578008333345</v>
      </c>
      <c r="F14" s="26">
        <f>+(F12*(11/12))+(E12-E14)+(D12-D14)+(C12-C14)</f>
        <v>-39053.90559583334</v>
      </c>
      <c r="G14" s="26">
        <f>+(G12*(11/12))+(F12-F14)+(E12-E14)+(D12-D14)+(C12-C14)</f>
        <v>-40042.664899999996</v>
      </c>
      <c r="H14" s="87"/>
    </row>
    <row r="15" spans="2:8" ht="15">
      <c r="B15" s="87"/>
      <c r="C15" s="89">
        <f>+C12-C14</f>
        <v>-1095.7091250000012</v>
      </c>
      <c r="D15" s="89">
        <f>+D12-D14</f>
        <v>-1094.3198291666668</v>
      </c>
      <c r="E15" s="89">
        <f>+E12-E14</f>
        <v>-905.8391416666636</v>
      </c>
      <c r="F15" s="89">
        <f>+F12-F14</f>
        <v>-173.0444041666633</v>
      </c>
      <c r="G15" s="89">
        <f>+G12-G14</f>
        <v>-74.1559000000052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-13148.5095</v>
      </c>
      <c r="D18" s="26">
        <f>+D7</f>
        <v>-26280.34745</v>
      </c>
      <c r="E18" s="26">
        <f>+E7</f>
        <v>-37150.41715000001</v>
      </c>
      <c r="F18" s="26">
        <f>+F7</f>
        <v>-39226.950000000004</v>
      </c>
      <c r="G18" s="26">
        <f>+G7</f>
        <v>-40116.8208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-13148.5095</v>
      </c>
      <c r="D20" s="26">
        <f>+IF((D18+D19)&gt;0,0,(D18+D19))</f>
        <v>-26280.34745</v>
      </c>
      <c r="E20" s="26">
        <f>+IF((E18+E19)&gt;0,0,(E18+E19))</f>
        <v>-37150.41715000001</v>
      </c>
      <c r="F20" s="26">
        <f>+IF((F18+F19)&gt;0,0,(F18+F19))</f>
        <v>-39226.950000000004</v>
      </c>
      <c r="G20" s="26">
        <f>+IF((G18+G19)&gt;0,0,(G18+G19))</f>
        <v>-40116.8208</v>
      </c>
      <c r="H20" s="87"/>
    </row>
    <row r="21" spans="2:8" ht="15">
      <c r="B21" s="86" t="s">
        <v>257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-9861.382125</v>
      </c>
      <c r="D22" s="26">
        <f>+(D20*(9/12))+(C20-C22)</f>
        <v>-22997.3879625</v>
      </c>
      <c r="E22" s="26">
        <f>+(E20*(9/12)*(9/12))+(D20-D22)+(C20-C22)</f>
        <v>-27467.196509375004</v>
      </c>
      <c r="F22" s="26">
        <f>+(F20*(9/12))+(E20-E22)+(D20-D22)+(C20-C22)</f>
        <v>-45673.520003125</v>
      </c>
      <c r="G22" s="26">
        <f>+(G20*(9/12))+(F20-F22)+(E20-E22)+(D20-D22)+(C20-C22)</f>
        <v>-39894.35310000001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1095.7091250000012</v>
      </c>
      <c r="D26" s="26">
        <f>+IF($C$2="mensile",-(D12-D14),-(D20-D22))+C26</f>
        <v>2190.028954166668</v>
      </c>
      <c r="E26" s="26">
        <f>+IF($C$2="mensile",-(E12-E14),-(E20-E22))+D26</f>
        <v>3095.8680958333316</v>
      </c>
      <c r="F26" s="26">
        <f>+IF($C$2="mensile",-(F12-F14),-(F20-F22))+E26</f>
        <v>3268.912499999995</v>
      </c>
      <c r="G26" s="26">
        <f>+IF($C$2="mensile",-(G12-G14),-(G20-G22))+F26</f>
        <v>3343.0684</v>
      </c>
      <c r="H26" s="87"/>
    </row>
    <row r="27" spans="2:8" ht="15">
      <c r="B27" s="86" t="s">
        <v>258</v>
      </c>
      <c r="C27" s="26">
        <f>IF($C$2="mensile",-C14,-C22)</f>
        <v>12052.800374999999</v>
      </c>
      <c r="D27" s="26">
        <f>IF($C$2="mensile",-D14,-D22)</f>
        <v>25186.027620833334</v>
      </c>
      <c r="E27" s="26">
        <f>IF($C$2="mensile",-E14,-E22)</f>
        <v>36244.578008333345</v>
      </c>
      <c r="F27" s="26">
        <f>IF($C$2="mensile",-F14,-F22)</f>
        <v>39053.90559583334</v>
      </c>
      <c r="G27" s="26">
        <f>IF($C$2="mensile",-G14,-G22)</f>
        <v>40042.664899999996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33208.147943392854</v>
      </c>
      <c r="F6" s="34">
        <f>+'CE'!E51</f>
        <v>57734.362857142856</v>
      </c>
      <c r="G6" s="34">
        <f>+'CE'!F51</f>
        <v>109805.18285714288</v>
      </c>
      <c r="H6" s="34">
        <f>+'CE'!G51</f>
        <v>118046.00222210238</v>
      </c>
      <c r="I6" s="34">
        <f>+'CE'!H51</f>
        <v>122209.49877436108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42600</v>
      </c>
      <c r="F9" s="33">
        <f>+'CE'!E43</f>
        <v>44730</v>
      </c>
      <c r="G9" s="33">
        <f>+'CE'!F43</f>
        <v>44730</v>
      </c>
      <c r="H9" s="33">
        <f>+'CE'!G43</f>
        <v>44730</v>
      </c>
      <c r="I9" s="33">
        <f>+'CE'!H43</f>
        <v>44730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42600</v>
      </c>
      <c r="F11" s="34">
        <f>SUM(F9:F10)</f>
        <v>44730</v>
      </c>
      <c r="G11" s="34">
        <f>SUM(G9:G10)</f>
        <v>44730</v>
      </c>
      <c r="H11" s="34">
        <f>SUM(H9:H10)</f>
        <v>44730</v>
      </c>
      <c r="I11" s="34">
        <f>SUM(I9:I10)</f>
        <v>44730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75808.14794339286</v>
      </c>
      <c r="F14" s="45">
        <f>+F6+F11</f>
        <v>102464.36285714286</v>
      </c>
      <c r="G14" s="45">
        <f>+G6+G11</f>
        <v>154535.18285714288</v>
      </c>
      <c r="H14" s="45">
        <f>+H6+H11</f>
        <v>162776.00222210237</v>
      </c>
      <c r="I14" s="45">
        <f>+I6+I11</f>
        <v>166939.4987743611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2956.517769792322</v>
      </c>
      <c r="F16" s="45">
        <f>+F14*$D$3</f>
        <v>3996.1101514285715</v>
      </c>
      <c r="G16" s="45">
        <f>+G14*$D$3</f>
        <v>6026.872131428572</v>
      </c>
      <c r="H16" s="45">
        <f>+H14*$D$3</f>
        <v>6348.264086661992</v>
      </c>
      <c r="I16" s="45">
        <f>+I14*$D$3</f>
        <v>6510.640452200083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5913.035539584644</v>
      </c>
      <c r="G18" s="45">
        <f>+F16</f>
        <v>3996.1101514285715</v>
      </c>
      <c r="H18" s="45">
        <f>+G16</f>
        <v>6026.872131428572</v>
      </c>
      <c r="I18" s="45">
        <f>+H16</f>
        <v>6348.264086661992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2956.517769792322</v>
      </c>
      <c r="F20" s="45">
        <f>+IF(SUM(E$16:F16)-SUM($E$18:$F$18)&gt;0,SUM($E$16:$F$16)-SUM($E$18:$F$18),0)</f>
        <v>1039.5923816362501</v>
      </c>
      <c r="G20" s="45">
        <f>+IF(SUM($E$16:$G$16)-SUM($E$18:$G$18)&gt;0,SUM($E$16:$G$16)-SUM($E$18:$G$18),0)</f>
        <v>3070.3543616362513</v>
      </c>
      <c r="H20" s="45">
        <f>+IF(SUM($E$16:$H$16)-SUM($E$18:$H$18)&gt;0,SUM($E$16:$H$16)-SUM($E$18:$H$18),0)</f>
        <v>3391.7463168696704</v>
      </c>
      <c r="I20" s="45">
        <f>+IF(SUM($E$16:$I$16)-SUM($E$18:$I$18)&gt;0,SUM($E$16:$I$16)-SUM($E$18:$I$18),0)</f>
        <v>3554.122682407764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5913.035539584644</v>
      </c>
      <c r="G23" s="45">
        <f>+G18</f>
        <v>3996.1101514285715</v>
      </c>
      <c r="H23" s="45">
        <f>+H18</f>
        <v>6026.872131428572</v>
      </c>
      <c r="I23" s="45">
        <f>+I18</f>
        <v>6348.264086661992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33208.147943392854</v>
      </c>
      <c r="E5" s="88">
        <f>+'CE'!E51</f>
        <v>57734.362857142856</v>
      </c>
      <c r="F5" s="88">
        <f>+'CE'!F51</f>
        <v>109805.18285714288</v>
      </c>
      <c r="G5" s="88">
        <f>+'CE'!G51</f>
        <v>118046.00222210238</v>
      </c>
      <c r="H5" s="88">
        <f>+'CE'!H51</f>
        <v>122209.49877436108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33208.147943392854</v>
      </c>
      <c r="E11" s="88">
        <f>+E5*E7*E9</f>
        <v>57734.362857142856</v>
      </c>
      <c r="F11" s="88">
        <f>+F5*F7*F9</f>
        <v>109805.18285714288</v>
      </c>
      <c r="G11" s="88">
        <f>+G5*G7*G9</f>
        <v>118046.00222210238</v>
      </c>
      <c r="H11" s="88">
        <f>+H5*H7*H9</f>
        <v>122209.49877436108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33208.147943392854</v>
      </c>
      <c r="E15" s="93">
        <f>+E11</f>
        <v>57734.362857142856</v>
      </c>
      <c r="F15" s="93">
        <f>+F11</f>
        <v>109805.18285714288</v>
      </c>
      <c r="G15" s="93">
        <f>+G11</f>
        <v>118046.00222210238</v>
      </c>
      <c r="H15" s="93">
        <f>+H11</f>
        <v>122209.49877436108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1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54" t="s">
        <v>260</v>
      </c>
      <c r="G20" s="155"/>
      <c r="H20" s="154" t="s">
        <v>261</v>
      </c>
      <c r="I20" s="155"/>
      <c r="J20" s="154" t="s">
        <v>262</v>
      </c>
      <c r="K20" s="155"/>
      <c r="L20" s="154" t="s">
        <v>263</v>
      </c>
      <c r="M20" s="155"/>
      <c r="N20" s="154" t="s">
        <v>264</v>
      </c>
      <c r="O20" s="155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15000</v>
      </c>
      <c r="G22" s="97">
        <f>+$E$22*F22</f>
        <v>3450</v>
      </c>
      <c r="H22" s="97">
        <f>+IF(E15&gt;$D$22,$D22,E15)*H19</f>
        <v>15000</v>
      </c>
      <c r="I22" s="97">
        <f>+$E$22*H22</f>
        <v>3450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13000</v>
      </c>
      <c r="G23" s="97">
        <f>+$E$23*F23</f>
        <v>3510.0000000000005</v>
      </c>
      <c r="H23" s="97">
        <f>+IF(H22=E15,0,IF(E15&gt;$D$23,$D$23-$C$23,E15-$C$23))*H19</f>
        <v>13000</v>
      </c>
      <c r="I23" s="97">
        <f>+$E$23*H23</f>
        <v>3510.0000000000005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5208.147943392854</v>
      </c>
      <c r="G24" s="97">
        <f>+$E$24*F24</f>
        <v>1979.0962184892846</v>
      </c>
      <c r="H24" s="97">
        <f>+IF(H22+H23=E15,0,IF(E15&gt;$D$24,$D$24-$C$24,E15-$C$24))*H19</f>
        <v>27000</v>
      </c>
      <c r="I24" s="97">
        <f>+$E$24*H24</f>
        <v>10260</v>
      </c>
      <c r="J24" s="97">
        <f>+IF(J22+J23=F15,0,IF(F15&gt;$D$24,$D$24-$C$24,F15-$C$24))*J19</f>
        <v>27000</v>
      </c>
      <c r="K24" s="97">
        <f>+$E$24*J24</f>
        <v>10260</v>
      </c>
      <c r="L24" s="97">
        <f>+IF(L22+L23=G15,0,IF(G15&gt;$D$24,$D$24-$C$24,G15-$C$24))*L19</f>
        <v>27000</v>
      </c>
      <c r="M24" s="97">
        <f>+$E$24*L24</f>
        <v>10260</v>
      </c>
      <c r="N24" s="97">
        <f>+IF(N22+N23=H15,0,IF(H15&gt;$D$24,$D$24-$C$24,H15-$C$24))*N19</f>
        <v>27000</v>
      </c>
      <c r="O24" s="97">
        <f>+$E$24*N24</f>
        <v>10260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2734.3628571428562</v>
      </c>
      <c r="I25" s="97">
        <f>+$E$25*H25</f>
        <v>1121.088771428571</v>
      </c>
      <c r="J25" s="97">
        <f>+IF(J23+J24+J22=F15,0,IF(F15&gt;$D$25,$D$25-$C$25,F15-$C$25))*J19</f>
        <v>20000</v>
      </c>
      <c r="K25" s="97">
        <f>+$E$25*J25</f>
        <v>8200</v>
      </c>
      <c r="L25" s="97">
        <f>+IF(L23+L24+L22=G15,0,IF(G15&gt;$D$25,$D$25-$C$25,G15-$C$25))*L19</f>
        <v>20000</v>
      </c>
      <c r="M25" s="97">
        <f>+$E$25*L25</f>
        <v>8200</v>
      </c>
      <c r="N25" s="97">
        <f>+IF(N23+N24+N22=H15,0,IF(H15&gt;$D$25,$D$25-$C$25,H15-$C$25))*N19</f>
        <v>20000</v>
      </c>
      <c r="O25" s="97">
        <f>+$E$25*N25</f>
        <v>8200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34805.18285714288</v>
      </c>
      <c r="K26" s="97">
        <f>+$E$26*J26</f>
        <v>14966.228628571438</v>
      </c>
      <c r="L26" s="97">
        <f>+IF(L24+L25+L23+L22=G15,0,G15-$C$26)*L19</f>
        <v>43046.00222210238</v>
      </c>
      <c r="M26" s="97">
        <f>+$E$26*L26</f>
        <v>18509.780955504026</v>
      </c>
      <c r="N26" s="97">
        <f>+IF(N24+N25+N23+N22=H15,0,H15-$C$26)*N19</f>
        <v>47209.49877436108</v>
      </c>
      <c r="O26" s="97">
        <f>+$E$26*N26</f>
        <v>20300.084472975264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8939.096218489285</v>
      </c>
      <c r="H27" s="86" t="s">
        <v>15</v>
      </c>
      <c r="I27" s="98">
        <f>SUM(I22:I26)</f>
        <v>18341.08877142857</v>
      </c>
      <c r="J27" s="86" t="s">
        <v>15</v>
      </c>
      <c r="K27" s="98">
        <f>SUM(K22:K26)</f>
        <v>40386.228628571436</v>
      </c>
      <c r="L27" s="86" t="s">
        <v>15</v>
      </c>
      <c r="M27" s="98">
        <f>SUM(M22:M26)</f>
        <v>43929.78095550403</v>
      </c>
      <c r="N27" s="86" t="s">
        <v>15</v>
      </c>
      <c r="O27" s="98">
        <f>SUM(O22:O26)</f>
        <v>45720.084472975264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33208.147943392854</v>
      </c>
      <c r="E5" s="88">
        <f>+'CE'!E51</f>
        <v>57734.362857142856</v>
      </c>
      <c r="F5" s="88">
        <f>+'CE'!F51</f>
        <v>109805.18285714288</v>
      </c>
      <c r="G5" s="88">
        <f>+'CE'!G51</f>
        <v>118046.00222210238</v>
      </c>
      <c r="H5" s="88">
        <f>+'CE'!H51</f>
        <v>122209.49877436108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355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33208.147943392854</v>
      </c>
      <c r="E11" s="88">
        <f>+E5*E7*E9</f>
        <v>57734.362857142856</v>
      </c>
      <c r="F11" s="88">
        <f>+F5*F7*F9</f>
        <v>109805.18285714288</v>
      </c>
      <c r="G11" s="88">
        <f>+G5*G7*G9</f>
        <v>118046.00222210238</v>
      </c>
      <c r="H11" s="88">
        <f>+H5*H7*H9</f>
        <v>122209.49877436108</v>
      </c>
    </row>
    <row r="13" spans="3:8" ht="15">
      <c r="C13" t="s">
        <v>358</v>
      </c>
      <c r="D13" s="117">
        <f>+T23</f>
        <v>7102.369806091731</v>
      </c>
      <c r="E13" s="117">
        <f>+U23</f>
        <v>12483.828565714284</v>
      </c>
      <c r="F13" s="117">
        <f>+V23</f>
        <v>24142.485163714286</v>
      </c>
      <c r="G13" s="117">
        <f>+W23</f>
        <v>25987.604619528727</v>
      </c>
      <c r="H13" s="117">
        <f>+X23</f>
        <v>26919.811497579445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56" t="s">
        <v>356</v>
      </c>
      <c r="M19" s="157"/>
      <c r="N19" s="157"/>
      <c r="O19" s="158"/>
      <c r="P19" s="113" t="s">
        <v>361</v>
      </c>
      <c r="Q19" s="113" t="s">
        <v>359</v>
      </c>
      <c r="R19" s="113" t="s">
        <v>360</v>
      </c>
      <c r="S19" s="113" t="s">
        <v>362</v>
      </c>
      <c r="T19" s="119" t="s">
        <v>363</v>
      </c>
      <c r="U19" s="119" t="s">
        <v>363</v>
      </c>
      <c r="V19" s="119" t="s">
        <v>363</v>
      </c>
      <c r="W19" s="119" t="s">
        <v>363</v>
      </c>
      <c r="X19" s="119" t="s">
        <v>363</v>
      </c>
    </row>
    <row r="20" spans="12:24" ht="15">
      <c r="L20" s="156" t="s">
        <v>357</v>
      </c>
      <c r="M20" s="157"/>
      <c r="N20" s="157"/>
      <c r="O20" s="158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6" t="s">
        <v>357</v>
      </c>
      <c r="M21" s="157"/>
      <c r="N21" s="157"/>
      <c r="O21" s="158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3909.4798060917315</v>
      </c>
      <c r="U21" s="120">
        <f>+IF(E11&lt;$P$21,0,IF(E11&gt;$Q$21,(($Q$21-$P$21)*$S$21),((E11-$P$21)*$S$21)))</f>
        <v>6261.492561</v>
      </c>
      <c r="V21" s="120">
        <f>+IF(F11&lt;$P$21,0,IF(F11&gt;$Q$21,(($Q$21-$P$21)*$S$21),((F11-$P$21)*$S$21)))</f>
        <v>6261.492561</v>
      </c>
      <c r="W21" s="120">
        <f>+IF(G11&lt;$P$21,0,IF(G11&gt;$Q$21,(($Q$21-$P$21)*$S$21),((G11-$P$21)*$S$21)))</f>
        <v>6261.492561</v>
      </c>
      <c r="X21" s="120">
        <f>+IF(H11&lt;$P$21,0,IF(H11&gt;$Q$21,(($Q$21-$P$21)*$S$21),((H11-$P$21)*$S$21)))</f>
        <v>6261.492561</v>
      </c>
    </row>
    <row r="22" spans="12:24" ht="15">
      <c r="L22" s="156" t="s">
        <v>357</v>
      </c>
      <c r="M22" s="157"/>
      <c r="N22" s="157"/>
      <c r="O22" s="158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3029.4460047142848</v>
      </c>
      <c r="V22" s="120">
        <f>+IF(F11&lt;$P$22,0,(F11-$P$22)*$S$22)</f>
        <v>14688.102602714287</v>
      </c>
      <c r="W22" s="120">
        <f>+IF(G11&lt;$P$22,0,(G11-$P$22)*$S$22)</f>
        <v>16533.222058528725</v>
      </c>
      <c r="X22" s="120">
        <f>+IF(H11&lt;$P$22,0,(H11-$P$22)*$S$22)</f>
        <v>17465.428936579447</v>
      </c>
    </row>
    <row r="23" spans="4:24" ht="15">
      <c r="D23" s="112"/>
      <c r="S23" s="6" t="s">
        <v>15</v>
      </c>
      <c r="T23" s="118">
        <f>SUM(T20:T22)</f>
        <v>7102.369806091731</v>
      </c>
      <c r="U23" s="118">
        <f>SUM(U20:U22)</f>
        <v>12483.828565714284</v>
      </c>
      <c r="V23" s="118">
        <f>SUM(V20:V22)</f>
        <v>24142.485163714286</v>
      </c>
      <c r="W23" s="118">
        <f>SUM(W20:W22)</f>
        <v>25987.604619528727</v>
      </c>
      <c r="X23" s="118">
        <f>SUM(X20:X22)</f>
        <v>26919.811497579445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227700</v>
      </c>
      <c r="D3" s="25">
        <f>+MCL!E69+finanziamento!F33+Input!E29+C3+'Mutuo invitalia'!F33+Input!E147</f>
        <v>476025</v>
      </c>
      <c r="E3" s="25">
        <f>+MCL!F69+finanziamento!G33+Input!F29+D3+'Mutuo invitalia'!G33+Input!F147</f>
        <v>802725</v>
      </c>
      <c r="F3" s="25">
        <f>+MCL!G69+finanziamento!H33+Input!G29+E3+'Mutuo invitalia'!H33+Input!G147</f>
        <v>1143945</v>
      </c>
      <c r="G3" s="25">
        <f>+MCL!H69+finanziamento!I33+Input!H29+F3+'Mutuo invitalia'!I33+Input!H147</f>
        <v>1492425</v>
      </c>
    </row>
    <row r="4" spans="2:8" ht="15">
      <c r="B4" t="s">
        <v>61</v>
      </c>
      <c r="C4" s="25">
        <f>+MCL!M69+Inve!M23+Personale!D23+finanziamento!E34+'Altri costi'!D51+Iva!C27+Irap!E23+Input!D30+MCL!D89+Input!D130+'Mutuo invitalia'!E34</f>
        <v>153148.16379166665</v>
      </c>
      <c r="D4" s="25">
        <f>+MCL!N69+Inve!N23+Personale!E23+finanziamento!F34+'Altri costi'!E51+Iva!D27+Irap!F23+Input!E30+C4+MCL!E89+Input!E130+'Mutuo invitalia'!F34</f>
        <v>325385.23641180684</v>
      </c>
      <c r="E4" s="25">
        <f>+MCL!O69+Inve!O23+Personale!F23+finanziamento!G34+'Altri costi'!F51+Iva!E27+Irap!G23+Input!F30+D4+MCL!F89+Input!F130+'Mutuo invitalia'!G34</f>
        <v>541167.2756000997</v>
      </c>
      <c r="F4" s="25">
        <f>+MCL!P69+Inve!P23+Personale!G23+finanziamento!H34+'Altri costi'!G51+Iva!F27+Irap!H23+Input!G30+E4+MCL!G89+Input!G130+'Mutuo invitalia'!H34</f>
        <v>766705.972651726</v>
      </c>
      <c r="G4" s="25">
        <f>+MCL!Q69+Inve!Q23+Personale!H23+finanziamento!I34+'Altri costi'!H51+Iva!G27+Irap!I23+Input!H30+F4+MCL!H89+Input!H130+'Mutuo invitalia'!I34</f>
        <v>995720.7661696967</v>
      </c>
      <c r="H4" s="25"/>
    </row>
    <row r="6" spans="2:7" ht="15">
      <c r="B6" t="s">
        <v>331</v>
      </c>
      <c r="C6" s="85">
        <f>+IF((C3-C4)&gt;0,(C3-C4),0)</f>
        <v>74551.83620833335</v>
      </c>
      <c r="D6" s="85">
        <f>+IF((D3-D4)&gt;0,(D3-D4),0)</f>
        <v>150639.76358819316</v>
      </c>
      <c r="E6" s="85">
        <f>+IF((E3-E4)&gt;0,(E3-E4),0)</f>
        <v>261557.7243999003</v>
      </c>
      <c r="F6" s="85">
        <f>+IF((F3-F4)&gt;0,(F3-F4),0)</f>
        <v>377239.027348274</v>
      </c>
      <c r="G6" s="85">
        <f>+IF((G3-G4)&gt;0,(G3-G4),0)</f>
        <v>496704.2338303033</v>
      </c>
    </row>
    <row r="7" spans="2:7" ht="15">
      <c r="B7" t="s">
        <v>332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0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2236.5550862500004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0</v>
      </c>
      <c r="D13" s="85">
        <f>+D7*Input!$D$123+C13</f>
        <v>0</v>
      </c>
      <c r="E13" s="85">
        <f>+E7*Input!$D$123+D13</f>
        <v>0</v>
      </c>
      <c r="F13" s="85">
        <f>+F7*Input!$D$123+E13</f>
        <v>0</v>
      </c>
      <c r="G13" s="85">
        <f>+G7*Input!$D$123+F13</f>
        <v>0</v>
      </c>
    </row>
    <row r="14" spans="2:7" ht="15">
      <c r="B14" t="s">
        <v>340</v>
      </c>
      <c r="C14" s="85">
        <f>+C6*Input!D125</f>
        <v>2236.5550862500004</v>
      </c>
      <c r="D14" s="85">
        <f>+D6*Input!E125+C14</f>
        <v>2236.5550862500004</v>
      </c>
      <c r="E14" s="85">
        <f>+E6*Input!F125+D14</f>
        <v>2236.5550862500004</v>
      </c>
      <c r="F14" s="85">
        <f>+F6*Input!G125+E14</f>
        <v>2236.5550862500004</v>
      </c>
      <c r="G14" s="85">
        <f>+G6*Input!H125+F14</f>
        <v>2236.5550862500004</v>
      </c>
    </row>
    <row r="16" spans="2:7" ht="15">
      <c r="B16" t="s">
        <v>335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</row>
    <row r="17" spans="2:7" ht="15">
      <c r="B17" t="s">
        <v>341</v>
      </c>
      <c r="C17" s="85">
        <f>+C14</f>
        <v>2236.5550862500004</v>
      </c>
      <c r="D17" s="85">
        <f t="shared" si="0"/>
        <v>2236.5550862500004</v>
      </c>
      <c r="E17" s="85">
        <f t="shared" si="0"/>
        <v>2236.5550862500004</v>
      </c>
      <c r="F17" s="85">
        <f t="shared" si="0"/>
        <v>2236.5550862500004</v>
      </c>
      <c r="G17" s="85">
        <f t="shared" si="0"/>
        <v>2236.5550862500004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229936.55508625</v>
      </c>
      <c r="D20" s="85">
        <f>+D3+D17</f>
        <v>478261.55508625</v>
      </c>
      <c r="E20" s="85">
        <f>+E3+E17</f>
        <v>804961.55508625</v>
      </c>
      <c r="F20" s="85">
        <f>+F3+F17</f>
        <v>1146181.55508625</v>
      </c>
      <c r="G20" s="85">
        <f>+G3+G17</f>
        <v>1494661.55508625</v>
      </c>
    </row>
    <row r="21" spans="2:7" ht="15">
      <c r="B21" t="s">
        <v>61</v>
      </c>
      <c r="C21" s="85">
        <f>+C4+C16</f>
        <v>153148.16379166665</v>
      </c>
      <c r="D21" s="85">
        <f>+D4+D16</f>
        <v>325385.23641180684</v>
      </c>
      <c r="E21" s="85">
        <f>+E4+E16</f>
        <v>541167.2756000997</v>
      </c>
      <c r="F21" s="85">
        <f>+F4+F16</f>
        <v>766705.972651726</v>
      </c>
      <c r="G21" s="85">
        <f>+G4+G16</f>
        <v>995720.7661696967</v>
      </c>
    </row>
    <row r="23" spans="2:7" ht="15">
      <c r="B23" t="s">
        <v>331</v>
      </c>
      <c r="C23" s="85">
        <f>+IF((C20-C21)&gt;0,(C20-C21),0)</f>
        <v>76788.39129458336</v>
      </c>
      <c r="D23" s="85">
        <f>+IF((D20-D21)&gt;0,(D20-D21),0)</f>
        <v>152876.31867444317</v>
      </c>
      <c r="E23" s="85">
        <f>+IF((E20-E21)&gt;0,(E20-E21),0)</f>
        <v>263794.27948615025</v>
      </c>
      <c r="F23" s="85">
        <f>+IF((F20-F21)&gt;0,(F20-F21),0)</f>
        <v>379475.58243452397</v>
      </c>
      <c r="G23" s="85">
        <f>+IF((G20-G21)&gt;0,(G20-G21),0)</f>
        <v>498940.78891655325</v>
      </c>
    </row>
    <row r="24" spans="2:7" ht="15">
      <c r="B24" t="s">
        <v>332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76788.39129458336</v>
      </c>
      <c r="D4" s="35">
        <f>+Banca!D23</f>
        <v>152876.31867444317</v>
      </c>
      <c r="E4" s="35">
        <f>+Banca!E23</f>
        <v>263794.27948615025</v>
      </c>
      <c r="F4" s="35">
        <f>+Banca!F23</f>
        <v>379475.58243452397</v>
      </c>
      <c r="G4" s="35">
        <f>+Banca!G23</f>
        <v>498940.78891655325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0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3962.499999999999</v>
      </c>
      <c r="D11" s="35">
        <f>+MCL!N27</f>
        <v>5085.208333333332</v>
      </c>
      <c r="E11" s="35">
        <f>+MCL!O27</f>
        <v>7132.499999999998</v>
      </c>
      <c r="F11" s="35">
        <f>+MCL!P27</f>
        <v>7449.499999999998</v>
      </c>
      <c r="G11" s="35">
        <f>+MCL!Q27</f>
        <v>7607.999999999998</v>
      </c>
      <c r="H11" s="25"/>
    </row>
    <row r="13" spans="2:7" ht="15">
      <c r="B13" s="7" t="s">
        <v>39</v>
      </c>
      <c r="C13" s="35">
        <f>+C14+C15+C16-C17-C18-C19</f>
        <v>25497.14285714286</v>
      </c>
      <c r="D13" s="35">
        <f>+D14+D15+D16-D17-D18-D19</f>
        <v>20194.285714285714</v>
      </c>
      <c r="E13" s="35">
        <f>+E14+E15+E16-E17-E18-E19</f>
        <v>14891.428571428572</v>
      </c>
      <c r="F13" s="35">
        <f>+F14+F15+F16-F17-F18-F19</f>
        <v>9588.57142857143</v>
      </c>
      <c r="G13" s="35">
        <f>+G14+G15+G16-G17-G18-G19</f>
        <v>4285.714285714286</v>
      </c>
    </row>
    <row r="14" spans="2:7" ht="15">
      <c r="B14" t="s">
        <v>53</v>
      </c>
      <c r="C14" s="26">
        <f>+Input!E62</f>
        <v>15800</v>
      </c>
      <c r="D14" s="26">
        <f>+Input!F62+C14</f>
        <v>15800</v>
      </c>
      <c r="E14" s="26">
        <f>+Input!G62+D14</f>
        <v>15800</v>
      </c>
      <c r="F14" s="26">
        <f>+Input!H62+E14</f>
        <v>15800</v>
      </c>
      <c r="G14" s="26">
        <f>+Input!I62+F14</f>
        <v>15800</v>
      </c>
    </row>
    <row r="15" spans="2:7" ht="15">
      <c r="B15" t="s">
        <v>54</v>
      </c>
      <c r="C15" s="26">
        <f>+Input!E63</f>
        <v>0</v>
      </c>
      <c r="D15" s="26">
        <f>+Input!F63+C15</f>
        <v>0</v>
      </c>
      <c r="E15" s="26">
        <f>+Input!G63+D15</f>
        <v>0</v>
      </c>
      <c r="F15" s="26">
        <f>+Input!H63+E15</f>
        <v>0</v>
      </c>
      <c r="G15" s="26">
        <f>+Input!I63+F15</f>
        <v>0</v>
      </c>
    </row>
    <row r="16" spans="2:7" ht="15">
      <c r="B16" t="s">
        <v>416</v>
      </c>
      <c r="C16" s="26">
        <f>+Inve!D71</f>
        <v>15000</v>
      </c>
      <c r="D16" s="26">
        <f>+Inve!E71</f>
        <v>15000</v>
      </c>
      <c r="E16" s="26">
        <f>+Inve!F71</f>
        <v>15000</v>
      </c>
      <c r="F16" s="26">
        <f>+Inve!G71</f>
        <v>15000</v>
      </c>
      <c r="G16" s="26">
        <f>+Inve!H71</f>
        <v>15000</v>
      </c>
    </row>
    <row r="17" spans="2:7" ht="15">
      <c r="B17" t="s">
        <v>55</v>
      </c>
      <c r="C17" s="26">
        <f>+Inve!D62</f>
        <v>3160</v>
      </c>
      <c r="D17" s="26">
        <f>+Inve!E62</f>
        <v>6320</v>
      </c>
      <c r="E17" s="26">
        <f>+Inve!F62</f>
        <v>9480</v>
      </c>
      <c r="F17" s="26">
        <f>+Inve!G62</f>
        <v>12640</v>
      </c>
      <c r="G17" s="26">
        <f>+Inve!H62</f>
        <v>15800</v>
      </c>
    </row>
    <row r="18" spans="2:7" ht="15">
      <c r="B18" t="s">
        <v>56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417</v>
      </c>
      <c r="C19" s="26">
        <f>+Inve!D75</f>
        <v>2142.8571428571427</v>
      </c>
      <c r="D19" s="26">
        <f>+Inve!E75</f>
        <v>4285.714285714285</v>
      </c>
      <c r="E19" s="26">
        <f>+Inve!F75</f>
        <v>6428.5714285714275</v>
      </c>
      <c r="F19" s="26">
        <f>+Inve!G75</f>
        <v>8571.42857142857</v>
      </c>
      <c r="G19" s="26">
        <f>+Inve!H75</f>
        <v>10714.285714285714</v>
      </c>
    </row>
    <row r="20" spans="3:7" ht="15">
      <c r="C20" s="26"/>
      <c r="D20" s="26"/>
      <c r="E20" s="26"/>
      <c r="F20" s="26"/>
      <c r="G20" s="26"/>
    </row>
    <row r="21" spans="2:7" ht="15">
      <c r="B21" t="s">
        <v>393</v>
      </c>
      <c r="C21" s="26">
        <f>+Input!D130</f>
        <v>0</v>
      </c>
      <c r="D21" s="26">
        <f>+Input!E130+C21</f>
        <v>0</v>
      </c>
      <c r="E21" s="26">
        <f>+Input!F130+D21</f>
        <v>0</v>
      </c>
      <c r="F21" s="26">
        <f>+Input!G130+E21</f>
        <v>0</v>
      </c>
      <c r="G21" s="26">
        <f>+Input!H130+F21</f>
        <v>0</v>
      </c>
    </row>
    <row r="23" spans="2:12" ht="15">
      <c r="B23" s="6" t="s">
        <v>28</v>
      </c>
      <c r="C23" s="35">
        <f>+C13+C11+C6+C4+C21</f>
        <v>106248.03415172621</v>
      </c>
      <c r="D23" s="35">
        <f>+D13+D11+D6+D4+D21</f>
        <v>178155.81272206223</v>
      </c>
      <c r="E23" s="35">
        <f>+E13+E11+E6+E4+E21</f>
        <v>285818.2080575788</v>
      </c>
      <c r="F23" s="35">
        <f>+F13+F11+F6+F4+F21</f>
        <v>396513.6538630954</v>
      </c>
      <c r="G23" s="35">
        <f>+G13+G11+G6+G4+G21</f>
        <v>510834.5032022675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0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27396.403978125654</v>
      </c>
      <c r="D29" s="35">
        <f>SUM(D30:D33)</f>
        <v>27645.92984274736</v>
      </c>
      <c r="E29" s="35">
        <f>SUM(E30:E33)</f>
        <v>33152.98270052514</v>
      </c>
      <c r="F29" s="35">
        <f>SUM(F30:F33)</f>
        <v>33856.51798353633</v>
      </c>
      <c r="G29" s="35">
        <f>SUM(G30:G33)</f>
        <v>34268.85316574109</v>
      </c>
      <c r="H29" s="25"/>
    </row>
    <row r="30" spans="2:12" ht="15">
      <c r="B30" t="s">
        <v>22</v>
      </c>
      <c r="C30" s="26">
        <f>+MCL!D55</f>
        <v>5194.177083333333</v>
      </c>
      <c r="D30" s="26">
        <f>+MCL!E55</f>
        <v>6266.308506944443</v>
      </c>
      <c r="E30" s="26">
        <f>+MCL!F55</f>
        <v>8836.760243055554</v>
      </c>
      <c r="F30" s="26">
        <f>+MCL!G55</f>
        <v>9045.859166666665</v>
      </c>
      <c r="G30" s="26">
        <f>+MCL!H55</f>
        <v>9221.66208333333</v>
      </c>
      <c r="L30" s="25"/>
    </row>
    <row r="31" spans="2:12" ht="15">
      <c r="B31" t="s">
        <v>62</v>
      </c>
      <c r="C31" s="26">
        <f>+Inve!M15</f>
        <v>18150</v>
      </c>
      <c r="D31" s="26">
        <f>+Inve!N15+C31</f>
        <v>18150</v>
      </c>
      <c r="E31" s="26">
        <f>+Inve!O15+D31</f>
        <v>18150</v>
      </c>
      <c r="F31" s="26">
        <f>+Inve!P15+E31</f>
        <v>18150</v>
      </c>
      <c r="G31" s="26">
        <f>+Inve!Q15+F31</f>
        <v>18150</v>
      </c>
      <c r="L31" s="25"/>
    </row>
    <row r="32" spans="2:12" ht="15">
      <c r="B32" t="s">
        <v>298</v>
      </c>
      <c r="C32" s="26">
        <f>+Irap!E20</f>
        <v>2956.517769792322</v>
      </c>
      <c r="D32" s="26">
        <f>+Irap!F20</f>
        <v>1039.5923816362501</v>
      </c>
      <c r="E32" s="26">
        <f>+Irap!G20</f>
        <v>3070.3543616362513</v>
      </c>
      <c r="F32" s="26">
        <f>+Irap!H20</f>
        <v>3391.7463168696704</v>
      </c>
      <c r="G32" s="26">
        <f>+Irap!I20</f>
        <v>3554.122682407764</v>
      </c>
      <c r="L32" s="25"/>
    </row>
    <row r="33" spans="2:8" ht="15">
      <c r="B33" t="s">
        <v>19</v>
      </c>
      <c r="C33" s="26">
        <f>+Iva!C26</f>
        <v>1095.7091250000012</v>
      </c>
      <c r="D33" s="26">
        <f>+Iva!D26</f>
        <v>2190.028954166668</v>
      </c>
      <c r="E33" s="26">
        <f>+Iva!E26</f>
        <v>3095.8680958333316</v>
      </c>
      <c r="F33" s="26">
        <f>+Iva!F26</f>
        <v>3268.912499999995</v>
      </c>
      <c r="G33" s="26">
        <f>+Iva!G26</f>
        <v>3343.0684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48600</v>
      </c>
      <c r="D35" s="35">
        <f>SUM(D36:D40)</f>
        <v>66520</v>
      </c>
      <c r="E35" s="35">
        <f>SUM(E36:E40)</f>
        <v>64897.03175202453</v>
      </c>
      <c r="F35" s="35">
        <f>SUM(F36:F40)</f>
        <v>63191.20413908955</v>
      </c>
      <c r="G35" s="35">
        <f>SUM(G36:G40)</f>
        <v>61400.85997389586</v>
      </c>
      <c r="H35" s="25"/>
    </row>
    <row r="36" spans="2:8" ht="15">
      <c r="B36" t="s">
        <v>328</v>
      </c>
      <c r="C36" s="26">
        <f>+Personale!D22</f>
        <v>2400</v>
      </c>
      <c r="D36" s="26">
        <f>+Personale!E22+C36</f>
        <v>4920</v>
      </c>
      <c r="E36" s="26">
        <f>+Personale!F22+D36</f>
        <v>7440</v>
      </c>
      <c r="F36" s="26">
        <f>+Personale!G22+E36</f>
        <v>9960</v>
      </c>
      <c r="G36" s="26">
        <f>+Personale!H22+F36</f>
        <v>12480</v>
      </c>
      <c r="H36" s="25"/>
    </row>
    <row r="37" spans="2:8" ht="15">
      <c r="B37" t="s">
        <v>400</v>
      </c>
      <c r="C37" s="26">
        <f>+'Mutuo invitalia'!E22</f>
        <v>30800</v>
      </c>
      <c r="D37" s="26">
        <f>+'Mutuo invitalia'!F22</f>
        <v>30800</v>
      </c>
      <c r="E37" s="26">
        <f>+'Mutuo invitalia'!G22</f>
        <v>26657.031752024526</v>
      </c>
      <c r="F37" s="26">
        <f>+'Mutuo invitalia'!H22</f>
        <v>22431.204139089547</v>
      </c>
      <c r="G37" s="26">
        <f>+'Mutuo invitalia'!I22</f>
        <v>18120.859973895862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405</v>
      </c>
      <c r="C39" s="102">
        <f>+Input!D147</f>
        <v>15400</v>
      </c>
      <c r="D39" s="102">
        <f>+C39+Input!E147</f>
        <v>30800</v>
      </c>
      <c r="E39" s="102">
        <f>+D39+Input!F147</f>
        <v>30800</v>
      </c>
      <c r="F39" s="102">
        <f>+E39+Input!G147</f>
        <v>30800</v>
      </c>
      <c r="G39" s="102">
        <f>+F39+Input!H147</f>
        <v>30800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30251.630173600533</v>
      </c>
      <c r="D42" s="35">
        <f>SUM(D43:D44)</f>
        <v>83989.88287931483</v>
      </c>
      <c r="E42" s="35">
        <f>SUM(E43:E44)</f>
        <v>187768.19360502914</v>
      </c>
      <c r="F42" s="35">
        <f>SUM(F43:F44)</f>
        <v>299465.93174046953</v>
      </c>
      <c r="G42" s="35">
        <f>SUM(G43:G44)</f>
        <v>415164.79006263055</v>
      </c>
    </row>
    <row r="43" spans="2:8" ht="15">
      <c r="B43" t="s">
        <v>31</v>
      </c>
      <c r="D43" s="26">
        <f>+C43+C44</f>
        <v>30251.630173600533</v>
      </c>
      <c r="E43" s="26">
        <f>+D43+D44</f>
        <v>83989.88287931483</v>
      </c>
      <c r="F43" s="26">
        <f>+E43+E44</f>
        <v>187768.19360502914</v>
      </c>
      <c r="G43" s="26">
        <f>+F43+F44</f>
        <v>299465.93174046953</v>
      </c>
      <c r="H43" s="25"/>
    </row>
    <row r="44" spans="2:9" ht="15">
      <c r="B44" t="s">
        <v>30</v>
      </c>
      <c r="C44" s="26">
        <f>+'CE'!D55</f>
        <v>30251.630173600533</v>
      </c>
      <c r="D44" s="26">
        <f>+'CE'!E55-Input!E30</f>
        <v>53738.25270571429</v>
      </c>
      <c r="E44" s="26">
        <f>+'CE'!F55-Input!F30</f>
        <v>103778.31072571431</v>
      </c>
      <c r="F44" s="26">
        <f>+'CE'!G55-Input!G30</f>
        <v>111697.73813544039</v>
      </c>
      <c r="G44" s="26">
        <f>+'CE'!H55-Input!H30</f>
        <v>115698.858322161</v>
      </c>
      <c r="H44" s="25"/>
      <c r="I44" s="25"/>
    </row>
    <row r="45" spans="2:8" ht="15">
      <c r="B45" s="6" t="s">
        <v>29</v>
      </c>
      <c r="C45" s="35">
        <f>+C27+C29+C35+C42</f>
        <v>106248.0341517262</v>
      </c>
      <c r="D45" s="35">
        <f>+D27+D29+D35+D42</f>
        <v>178155.81272206217</v>
      </c>
      <c r="E45" s="35">
        <f>+E27+E29+E35+E42</f>
        <v>285818.2080575788</v>
      </c>
      <c r="F45" s="35">
        <f>+F27+F29+F35+F42</f>
        <v>396513.65386309545</v>
      </c>
      <c r="G45" s="35">
        <f>+G27+G29+G35+G42</f>
        <v>510834.5032022675</v>
      </c>
      <c r="H45" s="35"/>
    </row>
    <row r="47" spans="2:7" ht="15">
      <c r="B47" s="6" t="s">
        <v>322</v>
      </c>
      <c r="C47" s="25">
        <f>+C23-C45</f>
        <v>0</v>
      </c>
      <c r="D47" s="25">
        <f>+D23-D45</f>
        <v>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>
        <f>+E47-D47</f>
        <v>0</v>
      </c>
      <c r="F48" s="25">
        <f>+F47-E47</f>
        <v>0</v>
      </c>
      <c r="G48" s="25">
        <f>+G47-F47</f>
        <v>0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150000</v>
      </c>
      <c r="E3" s="35">
        <f>+MCL!E13</f>
        <v>192500</v>
      </c>
      <c r="F3" s="35">
        <f>+MCL!F13</f>
        <v>270000</v>
      </c>
      <c r="G3" s="35">
        <f>+MCL!G13</f>
        <v>282000</v>
      </c>
      <c r="H3" s="35">
        <f>+MCL!H13</f>
        <v>288000</v>
      </c>
    </row>
    <row r="5" spans="2:8" ht="15">
      <c r="B5" s="6" t="s">
        <v>385</v>
      </c>
      <c r="D5" s="35">
        <f>+D7-D8+D6</f>
        <v>47549.99999999999</v>
      </c>
      <c r="E5" s="35">
        <f>+E7-E8+E6</f>
        <v>61022.5</v>
      </c>
      <c r="F5" s="35">
        <f>+F7-F8+F6</f>
        <v>85589.99999999999</v>
      </c>
      <c r="G5" s="35">
        <f>+G7-G8+G6</f>
        <v>89393.99999999999</v>
      </c>
      <c r="H5" s="35">
        <f>+H7-H8+H6</f>
        <v>91295.99999999999</v>
      </c>
    </row>
    <row r="6" spans="2:8" ht="15">
      <c r="B6" t="s">
        <v>412</v>
      </c>
      <c r="D6" s="35"/>
      <c r="E6" s="35">
        <f>+D8</f>
        <v>3962.499999999999</v>
      </c>
      <c r="F6" s="35">
        <f>+E8</f>
        <v>5085.208333333332</v>
      </c>
      <c r="G6" s="35">
        <f>+F8</f>
        <v>7132.499999999998</v>
      </c>
      <c r="H6" s="35">
        <f>+G8</f>
        <v>7449.499999999998</v>
      </c>
    </row>
    <row r="7" spans="2:8" ht="15">
      <c r="B7" t="s">
        <v>9</v>
      </c>
      <c r="C7" s="6"/>
      <c r="D7" s="35">
        <f>+MCL!D27+MCL!M27</f>
        <v>51512.49999999999</v>
      </c>
      <c r="E7" s="35">
        <f>+MCL!E27+MCL!N27-MCL!M27</f>
        <v>62145.20833333333</v>
      </c>
      <c r="F7" s="35">
        <f>+MCL!F27+MCL!O27-MCL!N27</f>
        <v>87637.29166666666</v>
      </c>
      <c r="G7" s="35">
        <f>+MCL!G27+MCL!P27-MCL!O27</f>
        <v>89710.99999999999</v>
      </c>
      <c r="H7" s="35">
        <f>+MCL!H27+MCL!Q27-MCL!P27</f>
        <v>91454.49999999999</v>
      </c>
    </row>
    <row r="8" spans="2:8" ht="15">
      <c r="B8" t="s">
        <v>413</v>
      </c>
      <c r="C8" s="6"/>
      <c r="D8" s="35">
        <f>+MCL!M27</f>
        <v>3962.499999999999</v>
      </c>
      <c r="E8" s="35">
        <f>+MCL!N27</f>
        <v>5085.208333333332</v>
      </c>
      <c r="F8" s="35">
        <f>+MCL!O27</f>
        <v>7132.499999999998</v>
      </c>
      <c r="G8" s="35">
        <f>+MCL!P27</f>
        <v>7449.499999999998</v>
      </c>
      <c r="H8" s="35">
        <f>+MCL!Q27</f>
        <v>7607.999999999998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384</v>
      </c>
      <c r="C10" s="6"/>
      <c r="D10" s="35">
        <f>+MCL!D74</f>
        <v>0.05</v>
      </c>
      <c r="E10" s="35">
        <f>+MCL!E74</f>
        <v>0.055</v>
      </c>
      <c r="F10" s="35">
        <f>+MCL!F74</f>
        <v>0.06</v>
      </c>
      <c r="G10" s="35">
        <f>+MCL!G74</f>
        <v>0.06</v>
      </c>
      <c r="H10" s="35">
        <f>+MCL!H74</f>
        <v>0.06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102449.95</v>
      </c>
      <c r="E12" s="35">
        <f>+E3-E5-E10</f>
        <v>131477.445</v>
      </c>
      <c r="F12" s="35">
        <f>+F3-F5-F10</f>
        <v>184409.94</v>
      </c>
      <c r="G12" s="35">
        <f>+G3-G5-G10</f>
        <v>192605.94</v>
      </c>
      <c r="H12" s="35">
        <f>+H3-H5-H10</f>
        <v>196703.94</v>
      </c>
    </row>
    <row r="13" spans="2:8" ht="15">
      <c r="B13" t="s">
        <v>414</v>
      </c>
      <c r="D13" s="130">
        <f>+D12/D3</f>
        <v>0.6829996666666667</v>
      </c>
      <c r="E13" s="130">
        <f>+E12/E3</f>
        <v>0.6829997142857144</v>
      </c>
      <c r="F13" s="130">
        <f>+F12/F3</f>
        <v>0.6829997777777778</v>
      </c>
      <c r="G13" s="130">
        <f>+G12/G3</f>
        <v>0.6829997872340425</v>
      </c>
      <c r="H13" s="130">
        <f>+H12/H3</f>
        <v>0.6829997916666667</v>
      </c>
    </row>
    <row r="15" spans="2:8" ht="15">
      <c r="B15" s="6" t="s">
        <v>225</v>
      </c>
      <c r="C15" s="6"/>
      <c r="D15" s="35">
        <f>SUM(D16:D36)</f>
        <v>23575.5</v>
      </c>
      <c r="E15" s="35">
        <f>SUM(E16:E36)</f>
        <v>23710.225</v>
      </c>
      <c r="F15" s="35">
        <f>SUM(F16:F36)</f>
        <v>23955.9</v>
      </c>
      <c r="G15" s="35">
        <f>SUM(G16:G36)</f>
        <v>23993.94</v>
      </c>
      <c r="H15" s="35">
        <f>SUM(H16:H36)</f>
        <v>24012.96</v>
      </c>
    </row>
    <row r="16" spans="2:8" ht="15">
      <c r="B16" t="str">
        <f>+Input!C99</f>
        <v>spese utenze</v>
      </c>
      <c r="D16" s="26">
        <f>+Input!F99</f>
        <v>3000</v>
      </c>
      <c r="E16" s="26">
        <f>+Input!G99</f>
        <v>3000</v>
      </c>
      <c r="F16" s="26">
        <f>+Input!H99</f>
        <v>3000</v>
      </c>
      <c r="G16" s="26">
        <f>+Input!I99</f>
        <v>3000</v>
      </c>
      <c r="H16" s="26">
        <f>+Input!J99</f>
        <v>3000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18000</v>
      </c>
      <c r="E24" s="26">
        <f>+Input!G107</f>
        <v>18000</v>
      </c>
      <c r="F24" s="26">
        <f>+Input!H107</f>
        <v>18000</v>
      </c>
      <c r="G24" s="26">
        <f>+Input!I107</f>
        <v>18000</v>
      </c>
      <c r="H24" s="26">
        <f>+Input!J107</f>
        <v>18000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Royalties Franchising</v>
      </c>
      <c r="D29" s="26">
        <f>+Input!F112</f>
        <v>475.49999999999994</v>
      </c>
      <c r="E29" s="26">
        <f>+Input!G112</f>
        <v>610.2249999999999</v>
      </c>
      <c r="F29" s="26">
        <f>+Input!H112</f>
        <v>855.8999999999999</v>
      </c>
      <c r="G29" s="26">
        <f>+Input!I112</f>
        <v>893.9399999999998</v>
      </c>
      <c r="H29" s="26">
        <f>+Input!J112</f>
        <v>912.9599999999999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5302.857142857143</v>
      </c>
      <c r="E38" s="35">
        <f>SUM(E39:E41)</f>
        <v>5302.857142857143</v>
      </c>
      <c r="F38" s="35">
        <f>SUM(F39:F41)</f>
        <v>5302.857142857143</v>
      </c>
      <c r="G38" s="35">
        <f>SUM(G39:G41)</f>
        <v>5302.857142857143</v>
      </c>
      <c r="H38" s="35">
        <f>SUM(H39:H41)</f>
        <v>5302.857142857143</v>
      </c>
    </row>
    <row r="39" spans="2:8" ht="15">
      <c r="B39" t="s">
        <v>51</v>
      </c>
      <c r="D39" s="26">
        <f>+Inve!D57</f>
        <v>3160</v>
      </c>
      <c r="E39" s="26">
        <f>+Inve!E57</f>
        <v>3160</v>
      </c>
      <c r="F39" s="26">
        <f>+Inve!F57</f>
        <v>3160</v>
      </c>
      <c r="G39" s="26">
        <f>+Inve!G57</f>
        <v>3160</v>
      </c>
      <c r="H39" s="26">
        <f>+Inve!H57</f>
        <v>3160</v>
      </c>
    </row>
    <row r="40" spans="2:8" ht="15">
      <c r="B40" t="s">
        <v>52</v>
      </c>
      <c r="D40" s="26">
        <f>+Inve!D58</f>
        <v>0</v>
      </c>
      <c r="E40" s="26">
        <f>+Inve!E58</f>
        <v>0</v>
      </c>
      <c r="F40" s="26">
        <f>+Inve!F58</f>
        <v>0</v>
      </c>
      <c r="G40" s="26">
        <f>+Inve!G58</f>
        <v>0</v>
      </c>
      <c r="H40" s="26">
        <f>+Inve!H58</f>
        <v>0</v>
      </c>
    </row>
    <row r="41" spans="2:8" ht="15">
      <c r="B41" t="s">
        <v>420</v>
      </c>
      <c r="D41" s="26">
        <f>+Inve!D73</f>
        <v>2142.8571428571427</v>
      </c>
      <c r="E41" s="26">
        <f>+Inve!E73</f>
        <v>2142.8571428571427</v>
      </c>
      <c r="F41" s="26">
        <f>+Inve!F73</f>
        <v>2142.8571428571427</v>
      </c>
      <c r="G41" s="26">
        <f>+Inve!G73</f>
        <v>2142.8571428571427</v>
      </c>
      <c r="H41" s="26">
        <f>+Inve!H73</f>
        <v>2142.8571428571427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42600</v>
      </c>
      <c r="E43" s="35">
        <f>+Personale!E8</f>
        <v>44730</v>
      </c>
      <c r="F43" s="35">
        <f>+Personale!F8</f>
        <v>44730</v>
      </c>
      <c r="G43" s="35">
        <f>+Personale!G8</f>
        <v>44730</v>
      </c>
      <c r="H43" s="35">
        <f>+Personale!H8</f>
        <v>44730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30971.592857142852</v>
      </c>
      <c r="E45" s="35">
        <f>+E12-E15-E38-E43</f>
        <v>57734.362857142856</v>
      </c>
      <c r="F45" s="35">
        <f>+F12-F15-F38-F43</f>
        <v>110421.18285714288</v>
      </c>
      <c r="G45" s="35">
        <f>+G12-G15-G38-G43</f>
        <v>118579.14285714287</v>
      </c>
      <c r="H45" s="35">
        <f>+H12-H15-H38-H43</f>
        <v>122658.12285714288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2236.5550862500004</v>
      </c>
      <c r="E47" s="35">
        <f>-E48+E49</f>
        <v>0</v>
      </c>
      <c r="F47" s="35">
        <f>-F48+F49</f>
        <v>-616.0000000000006</v>
      </c>
      <c r="G47" s="35">
        <f>-G48+G49</f>
        <v>-533.140635040491</v>
      </c>
      <c r="H47" s="35">
        <f>-H48+H49</f>
        <v>-448.62408278179134</v>
      </c>
    </row>
    <row r="48" spans="2:8" ht="15">
      <c r="B48" t="s">
        <v>129</v>
      </c>
      <c r="D48" s="26">
        <f>+finanziamento!E28+Banca!C9+'Mutuo invitalia'!E28</f>
        <v>0</v>
      </c>
      <c r="E48" s="26">
        <f>+finanziamento!F28+Banca!D9+'Mutuo invitalia'!F28</f>
        <v>0</v>
      </c>
      <c r="F48" s="26">
        <f>+finanziamento!G28+Banca!E9+'Mutuo invitalia'!G28</f>
        <v>616.0000000000006</v>
      </c>
      <c r="G48" s="26">
        <f>+finanziamento!H28+Banca!F9+'Mutuo invitalia'!H28</f>
        <v>533.140635040491</v>
      </c>
      <c r="H48" s="26">
        <f>+finanziamento!I28+Banca!G9+'Mutuo invitalia'!I28</f>
        <v>448.62408278179134</v>
      </c>
    </row>
    <row r="49" spans="2:8" ht="15">
      <c r="B49" t="s">
        <v>338</v>
      </c>
      <c r="D49" s="26">
        <f>+Banca!C10</f>
        <v>2236.5550862500004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33208.147943392854</v>
      </c>
      <c r="E51" s="35">
        <f>+E45+E47</f>
        <v>57734.362857142856</v>
      </c>
      <c r="F51" s="35">
        <f>+F45+F47</f>
        <v>109805.18285714288</v>
      </c>
      <c r="G51" s="35">
        <f>+G45+G47</f>
        <v>118046.00222210238</v>
      </c>
      <c r="H51" s="35">
        <f>+H45+H47</f>
        <v>122209.49877436108</v>
      </c>
    </row>
    <row r="53" spans="2:8" ht="15">
      <c r="B53" t="s">
        <v>290</v>
      </c>
      <c r="D53" s="35">
        <f>+Irap!E16</f>
        <v>2956.517769792322</v>
      </c>
      <c r="E53" s="35">
        <f>+Irap!F16</f>
        <v>3996.1101514285715</v>
      </c>
      <c r="F53" s="35">
        <f>+Irap!G16</f>
        <v>6026.872131428572</v>
      </c>
      <c r="G53" s="35">
        <f>+Irap!H16</f>
        <v>6348.264086661992</v>
      </c>
      <c r="H53" s="35">
        <f>+Irap!I16</f>
        <v>6510.640452200083</v>
      </c>
    </row>
    <row r="55" spans="2:8" ht="15">
      <c r="B55" s="6" t="s">
        <v>296</v>
      </c>
      <c r="D55" s="35">
        <f>+D51-D53</f>
        <v>30251.630173600533</v>
      </c>
      <c r="E55" s="35">
        <f>+E51-E53</f>
        <v>53738.25270571429</v>
      </c>
      <c r="F55" s="35">
        <f>+F51-F53</f>
        <v>103778.31072571431</v>
      </c>
      <c r="G55" s="35">
        <f>+G51-G53</f>
        <v>111697.73813544039</v>
      </c>
      <c r="H55" s="35">
        <f>+H51-H53</f>
        <v>115698.858322161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354</v>
      </c>
      <c r="C60" s="12"/>
      <c r="D60" s="17"/>
      <c r="E60" s="17"/>
      <c r="F60" s="17"/>
      <c r="G60" s="17"/>
      <c r="H60" s="15"/>
    </row>
    <row r="61" spans="2:8" ht="15">
      <c r="B61" s="16" t="s">
        <v>353</v>
      </c>
      <c r="C61" s="121">
        <f>+Input!D27</f>
        <v>1</v>
      </c>
      <c r="D61" s="34">
        <f>+'Irpef socio'!G27</f>
        <v>8939.096218489285</v>
      </c>
      <c r="E61" s="34">
        <f>+'Irpef socio'!I27</f>
        <v>18341.08877142857</v>
      </c>
      <c r="F61" s="34">
        <f>+'Irpef socio'!K27</f>
        <v>40386.228628571436</v>
      </c>
      <c r="G61" s="34">
        <f>+'Irpef socio'!M27</f>
        <v>43929.78095550403</v>
      </c>
      <c r="H61" s="122">
        <f>+'Irpef socio'!O27</f>
        <v>45720.084472975264</v>
      </c>
    </row>
    <row r="62" spans="2:8" ht="15">
      <c r="B62" s="16" t="s">
        <v>364</v>
      </c>
      <c r="C62" s="121">
        <f>+Input!D27</f>
        <v>1</v>
      </c>
      <c r="D62" s="34">
        <f>+'Inps socio'!T23</f>
        <v>7102.369806091731</v>
      </c>
      <c r="E62" s="34">
        <f>+'Inps socio'!U23</f>
        <v>12483.828565714284</v>
      </c>
      <c r="F62" s="34">
        <f>+'Inps socio'!V23</f>
        <v>24142.485163714286</v>
      </c>
      <c r="G62" s="34">
        <f>+'Inps socio'!W23</f>
        <v>25987.604619528727</v>
      </c>
      <c r="H62" s="122">
        <f>+'Inps socio'!X23</f>
        <v>26919.811497579445</v>
      </c>
    </row>
    <row r="63" spans="2:8" ht="15">
      <c r="B63" s="123" t="s">
        <v>352</v>
      </c>
      <c r="C63" s="121">
        <f>+Input!D27</f>
        <v>1</v>
      </c>
      <c r="D63" s="34">
        <f>+(D55*$C$63)-D61-D62</f>
        <v>14210.164149019518</v>
      </c>
      <c r="E63" s="34">
        <f>+(E55*$C$63)-E61-E62</f>
        <v>22913.335368571432</v>
      </c>
      <c r="F63" s="34">
        <f>+(F55*$C$63)-F61-F62</f>
        <v>39249.59693342859</v>
      </c>
      <c r="G63" s="34">
        <f>+(G55*$C$63)-G61-G62</f>
        <v>41780.352560407635</v>
      </c>
      <c r="H63" s="122">
        <f>+(H55*$C$63)-H61-H62</f>
        <v>43058.962351606286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3"/>
  <sheetViews>
    <sheetView showGridLines="0" zoomScalePageLayoutView="0" workbookViewId="0" topLeftCell="A12">
      <selection activeCell="O41" sqref="O41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30971.592857142852</v>
      </c>
      <c r="D3" s="101">
        <f>+'CE'!E45</f>
        <v>57734.362857142856</v>
      </c>
      <c r="E3" s="101">
        <f>+'CE'!F45</f>
        <v>110421.18285714288</v>
      </c>
      <c r="F3" s="101">
        <f>+'CE'!G45</f>
        <v>118579.14285714287</v>
      </c>
      <c r="G3" s="101">
        <f>+'CE'!H45</f>
        <v>122658.12285714288</v>
      </c>
    </row>
    <row r="4" spans="2:7" ht="15">
      <c r="B4" t="s">
        <v>301</v>
      </c>
      <c r="C4" s="25">
        <f>+SP!C36</f>
        <v>2400</v>
      </c>
      <c r="D4" s="25">
        <f>+SP!D36-SP!C36</f>
        <v>2520</v>
      </c>
      <c r="E4" s="25">
        <f>+SP!E36-SP!D36</f>
        <v>2520</v>
      </c>
      <c r="F4" s="25">
        <f>+SP!F36-SP!E36</f>
        <v>2520</v>
      </c>
      <c r="G4" s="25">
        <f>+SP!G36-SP!F36</f>
        <v>2520</v>
      </c>
    </row>
    <row r="5" spans="2:7" ht="15">
      <c r="B5" t="s">
        <v>302</v>
      </c>
      <c r="C5" s="25">
        <f>+'CE'!D38</f>
        <v>5302.857142857143</v>
      </c>
      <c r="D5" s="25">
        <f>+'CE'!E38</f>
        <v>5302.857142857143</v>
      </c>
      <c r="E5" s="25">
        <f>+'CE'!F38</f>
        <v>5302.857142857143</v>
      </c>
      <c r="F5" s="25">
        <f>+'CE'!G38</f>
        <v>5302.857142857143</v>
      </c>
      <c r="G5" s="25">
        <f>+'CE'!H38</f>
        <v>5302.857142857143</v>
      </c>
    </row>
    <row r="6" spans="2:7" ht="15">
      <c r="B6" t="s">
        <v>303</v>
      </c>
      <c r="C6" s="101">
        <f>+C3+C4+C5</f>
        <v>38674.45</v>
      </c>
      <c r="D6" s="101">
        <f>+D3+D4+D5</f>
        <v>65557.22</v>
      </c>
      <c r="E6" s="101">
        <f>+E3+E4+E5</f>
        <v>118244.04000000002</v>
      </c>
      <c r="F6" s="101">
        <f>+F3+F4+F5</f>
        <v>126402.00000000001</v>
      </c>
      <c r="G6" s="101">
        <f>+G3+G4+G5</f>
        <v>130480.98000000003</v>
      </c>
    </row>
    <row r="8" spans="2:7" ht="15">
      <c r="B8" s="6" t="s">
        <v>304</v>
      </c>
      <c r="C8" s="101">
        <f>SUM(C9:C13)</f>
        <v>5283.903978125657</v>
      </c>
      <c r="D8" s="101">
        <f>SUM(D9:D13)</f>
        <v>-873.1824687116277</v>
      </c>
      <c r="E8" s="101">
        <f>SUM(E9:E13)</f>
        <v>3459.76119111111</v>
      </c>
      <c r="F8" s="101">
        <f>SUM(F9:F13)</f>
        <v>386.5352830111933</v>
      </c>
      <c r="G8" s="101">
        <f>SUM(G9:G13)</f>
        <v>253.83518220476435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1095.7091250000012</v>
      </c>
      <c r="D10" s="25">
        <f>+SP!C8-SP!D8+SP!D33-SP!C33</f>
        <v>1094.3198291666668</v>
      </c>
      <c r="E10" s="25">
        <f>+SP!D8-SP!E8+SP!E33-SP!D33</f>
        <v>905.8391416666636</v>
      </c>
      <c r="F10" s="25">
        <f>+SP!E8-SP!F8+SP!F33-SP!E33</f>
        <v>173.0444041666633</v>
      </c>
      <c r="G10" s="25">
        <f>+SP!F8-SP!G8+SP!G33-SP!F33</f>
        <v>74.1559000000052</v>
      </c>
    </row>
    <row r="11" spans="2:7" ht="15">
      <c r="B11" t="s">
        <v>307</v>
      </c>
      <c r="C11" s="25">
        <f>-SP!C11</f>
        <v>-3962.499999999999</v>
      </c>
      <c r="D11" s="25">
        <f>+SP!C11-SP!D11</f>
        <v>-1122.708333333333</v>
      </c>
      <c r="E11" s="25">
        <f>+SP!D11-SP!E11</f>
        <v>-2047.291666666666</v>
      </c>
      <c r="F11" s="25">
        <f>+SP!E11-SP!F11</f>
        <v>-317</v>
      </c>
      <c r="G11" s="25">
        <f>+SP!F11-SP!G11</f>
        <v>-158.5</v>
      </c>
    </row>
    <row r="12" spans="2:7" ht="15">
      <c r="B12" t="s">
        <v>308</v>
      </c>
      <c r="C12" s="25">
        <f>+SP!C30</f>
        <v>5194.177083333333</v>
      </c>
      <c r="D12" s="25">
        <f>+SP!D30-SP!C30</f>
        <v>1072.1314236111102</v>
      </c>
      <c r="E12" s="25">
        <f>+SP!E30-SP!D30</f>
        <v>2570.451736111111</v>
      </c>
      <c r="F12" s="25">
        <f>+SP!F30-SP!E30</f>
        <v>209.09892361111088</v>
      </c>
      <c r="G12" s="25">
        <f>+SP!G30-SP!F30</f>
        <v>175.80291666666562</v>
      </c>
    </row>
    <row r="13" spans="2:7" ht="15">
      <c r="B13" t="s">
        <v>306</v>
      </c>
      <c r="C13" s="25">
        <f>+SP!C32-SP!C9</f>
        <v>2956.517769792322</v>
      </c>
      <c r="D13" s="25">
        <f>+SP!D32-SP!C32+SP!C9-SP!D9</f>
        <v>-1916.9253881560717</v>
      </c>
      <c r="E13" s="25">
        <f>+SP!E32-SP!D32+SP!D9-SP!E9</f>
        <v>2030.7619800000011</v>
      </c>
      <c r="F13" s="25">
        <f>+SP!F32-SP!E32+SP!E9-SP!F9</f>
        <v>321.39195523341914</v>
      </c>
      <c r="G13" s="25">
        <f>+SP!G32-SP!F32+SP!F9-SP!G9</f>
        <v>162.37636553809352</v>
      </c>
    </row>
    <row r="14" ht="15">
      <c r="A14" s="105"/>
    </row>
    <row r="15" spans="2:7" ht="15">
      <c r="B15" s="6" t="s">
        <v>309</v>
      </c>
      <c r="C15" s="101">
        <f>+C6+C8</f>
        <v>43958.353978125655</v>
      </c>
      <c r="D15" s="101">
        <f>+D6+D8</f>
        <v>64684.03753128837</v>
      </c>
      <c r="E15" s="101">
        <f>+E6+E8</f>
        <v>121703.80119111114</v>
      </c>
      <c r="F15" s="101">
        <f>+F6+F8</f>
        <v>126788.53528301121</v>
      </c>
      <c r="G15" s="101">
        <f>+G6+G8</f>
        <v>130734.8151822048</v>
      </c>
    </row>
    <row r="17" spans="2:7" ht="15">
      <c r="B17" s="6" t="s">
        <v>310</v>
      </c>
      <c r="C17" s="101">
        <f>SUM(C18:C20)</f>
        <v>-30800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311</v>
      </c>
      <c r="C18" s="25">
        <f>-SP!C14</f>
        <v>-15800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429</v>
      </c>
      <c r="C20" s="25">
        <f>-SP!C16</f>
        <v>-15000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32" t="s">
        <v>394</v>
      </c>
      <c r="C22" s="101">
        <f>-SP!C21</f>
        <v>0</v>
      </c>
      <c r="D22" s="101">
        <f>+SP!C21-SP!D21</f>
        <v>0</v>
      </c>
      <c r="E22" s="101">
        <f>+SP!D21-SP!E21</f>
        <v>0</v>
      </c>
      <c r="F22" s="101">
        <f>+SP!E21-SP!F21</f>
        <v>0</v>
      </c>
      <c r="G22" s="101">
        <f>+SP!F21-SP!G21</f>
        <v>0</v>
      </c>
    </row>
    <row r="24" spans="2:7" ht="15">
      <c r="B24" s="6" t="s">
        <v>313</v>
      </c>
      <c r="C24" s="101">
        <f>+C15+C17+C22</f>
        <v>13158.353978125655</v>
      </c>
      <c r="D24" s="101">
        <f>+D15+D17+D22</f>
        <v>64684.03753128837</v>
      </c>
      <c r="E24" s="101">
        <f>+E15+E17+E22</f>
        <v>121703.80119111114</v>
      </c>
      <c r="F24" s="101">
        <f>+F15+F17+F22</f>
        <v>126788.53528301121</v>
      </c>
      <c r="G24" s="101">
        <f>+G15+G17+G22</f>
        <v>130734.8151822048</v>
      </c>
    </row>
    <row r="26" spans="2:7" ht="15">
      <c r="B26" t="s">
        <v>314</v>
      </c>
      <c r="C26" s="101">
        <f>SUM(C27:C31)</f>
        <v>64350</v>
      </c>
      <c r="D26" s="101">
        <f>SUM(D27:D31)</f>
        <v>15400</v>
      </c>
      <c r="E26" s="101">
        <f>SUM(E27:E31)</f>
        <v>-4142.968247975474</v>
      </c>
      <c r="F26" s="101">
        <f>SUM(F27:F31)</f>
        <v>-4225.82761293498</v>
      </c>
      <c r="G26" s="101">
        <f>SUM(G27:G31)</f>
        <v>-4310.344165193685</v>
      </c>
    </row>
    <row r="27" spans="2:7" ht="15">
      <c r="B27" t="s">
        <v>315</v>
      </c>
      <c r="C27" s="25">
        <f>+SP!C38</f>
        <v>0</v>
      </c>
      <c r="D27" s="25">
        <f>+SP!D38-SP!C38</f>
        <v>0</v>
      </c>
      <c r="E27" s="25">
        <f>+SP!E38-SP!D38</f>
        <v>0</v>
      </c>
      <c r="F27" s="25">
        <f>+SP!F38-SP!E38</f>
        <v>0</v>
      </c>
      <c r="G27" s="25">
        <f>+SP!G38-SP!F38</f>
        <v>0</v>
      </c>
    </row>
    <row r="28" spans="2:7" ht="15">
      <c r="B28" t="s">
        <v>316</v>
      </c>
      <c r="C28" s="25">
        <f>+SP!C40</f>
        <v>0</v>
      </c>
      <c r="D28" s="25">
        <f>+SP!D40-SP!C40</f>
        <v>0</v>
      </c>
      <c r="E28" s="25">
        <f>+SP!E40-SP!D40</f>
        <v>0</v>
      </c>
      <c r="F28" s="25">
        <f>+SP!F40-SP!E40</f>
        <v>0</v>
      </c>
      <c r="G28" s="25">
        <f>+SP!G40-SP!F40</f>
        <v>0</v>
      </c>
    </row>
    <row r="29" spans="2:7" ht="15">
      <c r="B29" t="s">
        <v>401</v>
      </c>
      <c r="C29" s="25">
        <f>+SP!C37</f>
        <v>30800</v>
      </c>
      <c r="D29" s="25">
        <f>+SP!D37-SP!C37</f>
        <v>0</v>
      </c>
      <c r="E29" s="25">
        <f>+SP!E37-SP!D37</f>
        <v>-4142.968247975474</v>
      </c>
      <c r="F29" s="25">
        <f>+SP!F37-SP!E37</f>
        <v>-4225.82761293498</v>
      </c>
      <c r="G29" s="25">
        <f>+SP!G37-SP!F37</f>
        <v>-4310.344165193685</v>
      </c>
    </row>
    <row r="30" spans="2:7" ht="15">
      <c r="B30" t="s">
        <v>317</v>
      </c>
      <c r="C30" s="25">
        <f>+SP!C31</f>
        <v>18150</v>
      </c>
      <c r="D30" s="25">
        <f>+SP!D31-SP!C31</f>
        <v>0</v>
      </c>
      <c r="E30" s="25">
        <f>+SP!E31-SP!D31</f>
        <v>0</v>
      </c>
      <c r="F30" s="25">
        <f>+SP!F31-SP!E31</f>
        <v>0</v>
      </c>
      <c r="G30" s="25">
        <f>+SP!G31-SP!F31</f>
        <v>0</v>
      </c>
    </row>
    <row r="31" spans="2:7" ht="15">
      <c r="B31" t="s">
        <v>407</v>
      </c>
      <c r="C31" s="25">
        <f>+SP!C39</f>
        <v>15400</v>
      </c>
      <c r="D31" s="25">
        <f>+SP!D39-SP!C39</f>
        <v>15400</v>
      </c>
      <c r="E31" s="25">
        <f>+SP!E39-SP!D39</f>
        <v>0</v>
      </c>
      <c r="F31" s="25">
        <f>+SP!F39-SP!E39</f>
        <v>0</v>
      </c>
      <c r="G31" s="25">
        <f>+SP!G39-SP!F39</f>
        <v>0</v>
      </c>
    </row>
    <row r="33" spans="2:7" ht="15">
      <c r="B33" t="s">
        <v>318</v>
      </c>
      <c r="C33" s="101">
        <f>+'CE'!D47</f>
        <v>2236.5550862500004</v>
      </c>
      <c r="D33" s="101">
        <f>+'CE'!E47</f>
        <v>0</v>
      </c>
      <c r="E33" s="101">
        <f>+'CE'!F47</f>
        <v>-616.0000000000006</v>
      </c>
      <c r="F33" s="101">
        <f>+'CE'!G47</f>
        <v>-533.140635040491</v>
      </c>
      <c r="G33" s="101">
        <f>+'CE'!H47</f>
        <v>-448.62408278179134</v>
      </c>
    </row>
    <row r="34" spans="2:7" ht="15">
      <c r="B34" t="s">
        <v>319</v>
      </c>
      <c r="C34" s="101">
        <f>-'CE'!D53</f>
        <v>-2956.517769792322</v>
      </c>
      <c r="D34" s="101">
        <f>-'CE'!E53</f>
        <v>-3996.1101514285715</v>
      </c>
      <c r="E34" s="101">
        <f>-'CE'!F53</f>
        <v>-6026.872131428572</v>
      </c>
      <c r="F34" s="101">
        <f>-'CE'!G53</f>
        <v>-6348.264086661992</v>
      </c>
      <c r="G34" s="101">
        <f>-'CE'!H53</f>
        <v>-6510.640452200083</v>
      </c>
    </row>
    <row r="35" spans="3:7" ht="15">
      <c r="C35" s="101"/>
      <c r="D35" s="101"/>
      <c r="E35" s="101"/>
      <c r="F35" s="101"/>
      <c r="G35" s="101"/>
    </row>
    <row r="37" spans="2:7" ht="15">
      <c r="B37" t="s">
        <v>320</v>
      </c>
      <c r="C37" s="101">
        <f>+SP!C43</f>
        <v>0</v>
      </c>
      <c r="D37" s="101">
        <f>+SP!D43-SP!C43-SP!C44</f>
        <v>0</v>
      </c>
      <c r="E37" s="101">
        <f>+SP!E43-SP!D43-SP!D44</f>
        <v>0</v>
      </c>
      <c r="F37" s="101">
        <f>+SP!F43-SP!E43-SP!E44</f>
        <v>0</v>
      </c>
      <c r="G37" s="101">
        <f>+SP!G43-SP!F43-SP!F44</f>
        <v>0</v>
      </c>
    </row>
    <row r="39" spans="2:7" ht="15">
      <c r="B39" s="6" t="s">
        <v>321</v>
      </c>
      <c r="C39" s="101">
        <f>+C24+C26+C33+C34+C37</f>
        <v>76788.39129458333</v>
      </c>
      <c r="D39" s="101">
        <f>+D24+D26+D33+D34+D37</f>
        <v>76087.9273798598</v>
      </c>
      <c r="E39" s="101">
        <f>+E24+E26+E33+E34+E37</f>
        <v>110917.9608117071</v>
      </c>
      <c r="F39" s="101">
        <f>+F24+F26+F33+F34+F37</f>
        <v>115681.30294837375</v>
      </c>
      <c r="G39" s="101">
        <f>+G24+G26+G33+G34+G37</f>
        <v>119465.20648202923</v>
      </c>
    </row>
    <row r="41" spans="2:7" ht="15">
      <c r="B41" t="s">
        <v>322</v>
      </c>
      <c r="C41" s="25">
        <f>+SP!C4-SP!C27</f>
        <v>76788.39129458336</v>
      </c>
      <c r="D41" s="25">
        <f>-(+SP!D27-SP!C27+SP!C4-SP!D4)</f>
        <v>76087.92737985982</v>
      </c>
      <c r="E41" s="25">
        <f>-(+SP!E27-SP!D27+SP!D4-SP!E4)</f>
        <v>110917.96081170707</v>
      </c>
      <c r="F41" s="25">
        <f>-(+SP!F27-SP!E27+SP!E4-SP!F4)</f>
        <v>115681.30294837372</v>
      </c>
      <c r="G41" s="25">
        <f>-(+SP!G27-SP!F27+SP!F4-SP!G4)</f>
        <v>119465.20648202929</v>
      </c>
    </row>
    <row r="43" spans="3:7" ht="15">
      <c r="C43" s="25"/>
      <c r="D43" s="25"/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1">
      <selection activeCell="D27" sqref="D27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150000</v>
      </c>
      <c r="E4" s="33">
        <f>+Input!J35*Input!P35</f>
        <v>192500</v>
      </c>
      <c r="F4" s="33">
        <f>+Input!K35*Input!Q35</f>
        <v>270000</v>
      </c>
      <c r="G4" s="33">
        <f>+Input!L35*Input!R35</f>
        <v>282000</v>
      </c>
      <c r="H4" s="33">
        <f>+Input!M35*Input!S35</f>
        <v>288000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150000</v>
      </c>
      <c r="E13" s="34">
        <f>SUM(E4:E12)</f>
        <v>192500</v>
      </c>
      <c r="F13" s="34">
        <f>SUM(F4:F12)</f>
        <v>270000</v>
      </c>
      <c r="G13" s="34">
        <f>SUM(G4:G12)</f>
        <v>282000</v>
      </c>
      <c r="H13" s="34">
        <f>SUM(H4:H12)</f>
        <v>288000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47549.99999999999</v>
      </c>
      <c r="E18" s="33">
        <f>+E4*(1-(Input!$E35))</f>
        <v>61022.49999999999</v>
      </c>
      <c r="F18" s="33">
        <f>+F4*(1-(Input!$E35))</f>
        <v>85589.99999999999</v>
      </c>
      <c r="G18" s="33">
        <f>+G4*(1-(Input!$E35))</f>
        <v>89393.99999999999</v>
      </c>
      <c r="H18" s="33">
        <f>+H4*(1-(Input!$E35))</f>
        <v>91295.99999999999</v>
      </c>
      <c r="I18" s="15"/>
      <c r="K18" s="31"/>
      <c r="L18" s="17" t="str">
        <f aca="true" t="shared" si="0" ref="L18:L26">+C18</f>
        <v>Mp xTipologia 1</v>
      </c>
      <c r="M18" s="29">
        <f>+D18*(Input!$F48/360)</f>
        <v>3962.499999999999</v>
      </c>
      <c r="N18" s="29">
        <f>+E18*(Input!$F48/360)</f>
        <v>5085.208333333332</v>
      </c>
      <c r="O18" s="29">
        <f>+F18*(Input!$F48/360)</f>
        <v>7132.499999999998</v>
      </c>
      <c r="P18" s="29">
        <f>+G18*(Input!$F48/360)</f>
        <v>7449.499999999998</v>
      </c>
      <c r="Q18" s="29">
        <f>+H18*(Input!$F48/360)</f>
        <v>7607.999999999998</v>
      </c>
      <c r="R18" s="32"/>
      <c r="T18" s="31"/>
      <c r="U18" s="17" t="str">
        <f aca="true" t="shared" si="1" ref="U18:U26">+L18</f>
        <v>Mp xTipologia 1</v>
      </c>
      <c r="V18" s="29">
        <f>+D18+M18</f>
        <v>51512.49999999999</v>
      </c>
      <c r="W18" s="29">
        <f>+E18+N18-M18</f>
        <v>62145.20833333333</v>
      </c>
      <c r="X18" s="29">
        <f aca="true" t="shared" si="2" ref="X18:Z26">+F18+O18-N18</f>
        <v>87637.29166666666</v>
      </c>
      <c r="Y18" s="29">
        <f t="shared" si="2"/>
        <v>89710.99999999999</v>
      </c>
      <c r="Z18" s="29">
        <f t="shared" si="2"/>
        <v>91454.49999999999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47549.99999999999</v>
      </c>
      <c r="E27" s="34">
        <f>SUM(E18:E26)</f>
        <v>61022.49999999999</v>
      </c>
      <c r="F27" s="34">
        <f>SUM(F18:F26)</f>
        <v>85589.99999999999</v>
      </c>
      <c r="G27" s="34">
        <f>SUM(G18:G26)</f>
        <v>89393.99999999999</v>
      </c>
      <c r="H27" s="34">
        <f>SUM(H18:H26)</f>
        <v>91295.99999999999</v>
      </c>
      <c r="I27" s="15"/>
      <c r="K27" s="16"/>
      <c r="L27" s="12" t="s">
        <v>15</v>
      </c>
      <c r="M27" s="34">
        <f>SUM(M18:M26)</f>
        <v>3962.499999999999</v>
      </c>
      <c r="N27" s="34">
        <f>SUM(N18:N26)</f>
        <v>5085.208333333332</v>
      </c>
      <c r="O27" s="34">
        <f>SUM(O18:O26)</f>
        <v>7132.499999999998</v>
      </c>
      <c r="P27" s="34">
        <f>SUM(P18:P26)</f>
        <v>7449.499999999998</v>
      </c>
      <c r="Q27" s="34">
        <f>SUM(Q18:Q26)</f>
        <v>7607.999999999998</v>
      </c>
      <c r="R27" s="32"/>
      <c r="T27" s="16"/>
      <c r="U27" s="12" t="s">
        <v>15</v>
      </c>
      <c r="V27" s="34">
        <f>SUM(V18:V26)</f>
        <v>51512.49999999999</v>
      </c>
      <c r="W27" s="34">
        <f>SUM(W18:W26)</f>
        <v>62145.20833333333</v>
      </c>
      <c r="X27" s="34">
        <f>SUM(X18:X26)</f>
        <v>87637.29166666666</v>
      </c>
      <c r="Y27" s="34">
        <f>SUM(Y18:Y26)</f>
        <v>89710.99999999999</v>
      </c>
      <c r="Z27" s="34">
        <f>SUM(Z18:Z26)</f>
        <v>91454.49999999999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367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31500</v>
      </c>
      <c r="N32" s="33">
        <f>+Input!$F35*E4</f>
        <v>40425</v>
      </c>
      <c r="O32" s="33">
        <f>+Input!$F35*F4</f>
        <v>56700</v>
      </c>
      <c r="P32" s="33">
        <f>+Input!$F35*G4</f>
        <v>59220</v>
      </c>
      <c r="Q32" s="33">
        <f>+Input!$F35*H4</f>
        <v>60480</v>
      </c>
      <c r="R32" s="15"/>
      <c r="T32" s="16"/>
      <c r="U32" s="17" t="str">
        <f>+U18</f>
        <v>Mp xTipologia 1</v>
      </c>
      <c r="V32" s="33">
        <f>+M32/12</f>
        <v>2625</v>
      </c>
      <c r="W32" s="33">
        <f aca="true" t="shared" si="5" ref="W32:Z40">+N32/12</f>
        <v>3368.75</v>
      </c>
      <c r="X32" s="33">
        <f t="shared" si="5"/>
        <v>4725</v>
      </c>
      <c r="Y32" s="33">
        <f t="shared" si="5"/>
        <v>4935</v>
      </c>
      <c r="Z32" s="33">
        <f t="shared" si="5"/>
        <v>5040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31500</v>
      </c>
      <c r="N41" s="34">
        <f>SUM(N32:N40)</f>
        <v>40425</v>
      </c>
      <c r="O41" s="34">
        <f>SUM(O32:O40)</f>
        <v>56700</v>
      </c>
      <c r="P41" s="34">
        <f>SUM(P32:P40)</f>
        <v>59220</v>
      </c>
      <c r="Q41" s="34">
        <f>SUM(Q32:Q40)</f>
        <v>60480</v>
      </c>
      <c r="R41" s="15"/>
      <c r="T41" s="16"/>
      <c r="U41" s="12" t="s">
        <v>369</v>
      </c>
      <c r="V41" s="34">
        <f>SUM(V32:V40)</f>
        <v>2625</v>
      </c>
      <c r="W41" s="34">
        <f>SUM(W32:W40)</f>
        <v>3368.75</v>
      </c>
      <c r="X41" s="34">
        <f>SUM(X32:X40)</f>
        <v>4725</v>
      </c>
      <c r="Y41" s="34">
        <f>SUM(Y32:Y40)</f>
        <v>4935</v>
      </c>
      <c r="Z41" s="34">
        <f>SUM(Z32:Z40)</f>
        <v>5040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368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5194.177083333333</v>
      </c>
      <c r="E46" s="33">
        <f>+IF(Input!$G48=0,0,IF(Input!$G48=30,(W18+N46)/12,IF(Input!$G48=60,(W18+N46)/6,IF(Input!$G48=90,(W18+N46)/4,IF(Input!$G48=120,(W18+N46)/3,IF(Input!$G48=150,(W18+N46)*0.416667,(W18+N46)/2))))))</f>
        <v>6266.308506944443</v>
      </c>
      <c r="F46" s="33">
        <f>+IF(Input!$G48=0,0,IF(Input!$G48=30,(X18+O46)/12,IF(Input!$G48=60,(X18+O46)/6,IF(Input!$G48=90,(X18+O46)/4,IF(Input!$G48=120,(X18+O46)/3,IF(Input!$G48=150,(X18+O46)*0.416667,(X18+O46)/2))))))</f>
        <v>8836.760243055554</v>
      </c>
      <c r="G46" s="33">
        <f>+IF(Input!$G48=0,0,IF(Input!$G48=30,(Y18+P46)/12,IF(Input!$G48=60,(Y18+P46)/6,IF(Input!$G48=90,(Y18+P46)/4,IF(Input!$G48=120,(Y18+P46)/3,IF(Input!$G48=150,(Y18+P46)*0.416667,(Y18+P46)/2))))))</f>
        <v>9045.859166666665</v>
      </c>
      <c r="H46" s="33">
        <f>+IF(Input!$G48=0,0,IF(Input!$G48=30,(Z18+Q46)/12,IF(Input!$G48=60,(Z18+Q46)/6,IF(Input!$G48=90,(Z18+Q46)/4,IF(Input!$G48=120,(Z18+Q46)/3,IF(Input!$G48=150,(Z18+Q46)*0.416667,(Z18+Q46)/2))))))</f>
        <v>9221.66208333333</v>
      </c>
      <c r="I46" s="15"/>
      <c r="K46" s="16"/>
      <c r="L46" s="17" t="str">
        <f>+L32</f>
        <v>Mp xTipologia 1</v>
      </c>
      <c r="M46" s="33">
        <f>+MCL!V18*Input!$E48</f>
        <v>10817.624999999998</v>
      </c>
      <c r="N46" s="33">
        <f>+MCL!W18*Input!$E48</f>
        <v>13050.493749999998</v>
      </c>
      <c r="O46" s="33">
        <f>+MCL!X18*Input!$E48</f>
        <v>18403.831249999996</v>
      </c>
      <c r="P46" s="33">
        <f>+MCL!Y18*Input!$E48</f>
        <v>18839.309999999998</v>
      </c>
      <c r="Q46" s="33">
        <f>+MCL!Z18*Input!$E48</f>
        <v>19205.444999999996</v>
      </c>
      <c r="R46" s="15"/>
      <c r="T46" s="16"/>
      <c r="U46" s="17" t="str">
        <f>+U32</f>
        <v>Mp xTipologia 1</v>
      </c>
      <c r="V46" s="33">
        <f>+M46/12</f>
        <v>901.4687499999999</v>
      </c>
      <c r="W46" s="33">
        <f aca="true" t="shared" si="10" ref="W46:W54">+N46/12</f>
        <v>1087.541145833333</v>
      </c>
      <c r="X46" s="33">
        <f aca="true" t="shared" si="11" ref="X46:X54">+O46/12</f>
        <v>1533.6526041666664</v>
      </c>
      <c r="Y46" s="33">
        <f aca="true" t="shared" si="12" ref="Y46:Y54">+P46/12</f>
        <v>1569.9424999999999</v>
      </c>
      <c r="Z46" s="33">
        <f aca="true" t="shared" si="13" ref="Z46:Z54">+Q46/12</f>
        <v>1600.4537499999997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5194.177083333333</v>
      </c>
      <c r="E55" s="34">
        <f>SUM(E46:E54)</f>
        <v>6266.308506944443</v>
      </c>
      <c r="F55" s="34">
        <f>SUM(F46:F54)</f>
        <v>8836.760243055554</v>
      </c>
      <c r="G55" s="34">
        <f>SUM(G46:G54)</f>
        <v>9045.859166666665</v>
      </c>
      <c r="H55" s="34">
        <f>SUM(H46:H54)</f>
        <v>9221.66208333333</v>
      </c>
      <c r="I55" s="15"/>
      <c r="K55" s="16"/>
      <c r="L55" s="12" t="s">
        <v>25</v>
      </c>
      <c r="M55" s="34">
        <f>SUM(M46:M54)</f>
        <v>10817.624999999998</v>
      </c>
      <c r="N55" s="34">
        <f>SUM(N46:N54)</f>
        <v>13050.493749999998</v>
      </c>
      <c r="O55" s="34">
        <f>SUM(O46:O54)</f>
        <v>18403.831249999996</v>
      </c>
      <c r="P55" s="34">
        <f>SUM(P46:P54)</f>
        <v>18839.309999999998</v>
      </c>
      <c r="Q55" s="34">
        <f>SUM(Q46:Q54)</f>
        <v>19205.444999999996</v>
      </c>
      <c r="R55" s="15"/>
      <c r="T55" s="16"/>
      <c r="U55" s="12" t="s">
        <v>370</v>
      </c>
      <c r="V55" s="34">
        <f>SUM(V46:V54)</f>
        <v>901.4687499999999</v>
      </c>
      <c r="W55" s="34">
        <f>SUM(W46:W54)</f>
        <v>1087.541145833333</v>
      </c>
      <c r="X55" s="34">
        <f>SUM(X46:X54)</f>
        <v>1533.6526041666664</v>
      </c>
      <c r="Y55" s="34">
        <f>SUM(Y46:Y54)</f>
        <v>1569.9424999999999</v>
      </c>
      <c r="Z55" s="34">
        <f>SUM(Z46:Z54)</f>
        <v>1600.4537499999997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181500</v>
      </c>
      <c r="E60" s="33">
        <f>+E4+MCL!N32-MCL!E32+D32</f>
        <v>232925</v>
      </c>
      <c r="F60" s="33">
        <f>+F4+MCL!O32-MCL!F32+E32</f>
        <v>326700</v>
      </c>
      <c r="G60" s="33">
        <f>+G4+MCL!P32-MCL!G32+F32</f>
        <v>341220</v>
      </c>
      <c r="H60" s="33">
        <f>+H4+MCL!Q32-MCL!H32+G32</f>
        <v>348480</v>
      </c>
      <c r="I60" s="15"/>
      <c r="K60" s="16"/>
      <c r="L60" s="17" t="str">
        <f>+L46</f>
        <v>Mp xTipologia 1</v>
      </c>
      <c r="M60" s="33">
        <f>+V18+M46-D46</f>
        <v>57135.94791666666</v>
      </c>
      <c r="N60" s="33">
        <f>+W18+N46-E46+D46</f>
        <v>74123.5706597222</v>
      </c>
      <c r="O60" s="33">
        <f aca="true" t="shared" si="18" ref="O60:Q68">+X18+O46-F46+E46</f>
        <v>103470.67118055554</v>
      </c>
      <c r="P60" s="33">
        <f t="shared" si="18"/>
        <v>108341.21107638888</v>
      </c>
      <c r="Q60" s="33">
        <f t="shared" si="18"/>
        <v>110484.14208333331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181500</v>
      </c>
      <c r="E69" s="34">
        <f>SUM(E60:E68)</f>
        <v>232925</v>
      </c>
      <c r="F69" s="34">
        <f>SUM(F60:F68)</f>
        <v>326700</v>
      </c>
      <c r="G69" s="34">
        <f>SUM(G60:G68)</f>
        <v>341220</v>
      </c>
      <c r="H69" s="34">
        <f>SUM(H60:H68)</f>
        <v>348480</v>
      </c>
      <c r="I69" s="15"/>
      <c r="K69" s="16"/>
      <c r="L69" s="12" t="s">
        <v>36</v>
      </c>
      <c r="M69" s="34">
        <f>SUM(M60:M68)</f>
        <v>57135.94791666666</v>
      </c>
      <c r="N69" s="34">
        <f>SUM(N60:N68)</f>
        <v>74123.5706597222</v>
      </c>
      <c r="O69" s="34">
        <f>SUM(O60:O68)</f>
        <v>103470.67118055554</v>
      </c>
      <c r="P69" s="34">
        <f>SUM(P60:P68)</f>
        <v>108341.21107638888</v>
      </c>
      <c r="Q69" s="34">
        <f>SUM(Q60:Q68)</f>
        <v>110484.14208333331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382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381</v>
      </c>
      <c r="D74" s="33">
        <f>+Input!$D$18*Input!I35</f>
        <v>0.05</v>
      </c>
      <c r="E74" s="33">
        <f>+Input!$D$18*Input!J35</f>
        <v>0.055</v>
      </c>
      <c r="F74" s="33">
        <f>+Input!$D$18*Input!K35</f>
        <v>0.06</v>
      </c>
      <c r="G74" s="33">
        <f>+Input!$D$18*Input!L35</f>
        <v>0.06</v>
      </c>
      <c r="H74" s="33">
        <f>+Input!$D$18*Input!M35</f>
        <v>0.06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381</v>
      </c>
      <c r="D79" s="33">
        <f>+(D74*Input!$F$18)</f>
        <v>0.0105</v>
      </c>
      <c r="E79" s="33">
        <f>+(E74*Input!$F$18)</f>
        <v>0.01155</v>
      </c>
      <c r="F79" s="33">
        <f>+(F74*Input!$F$18)</f>
        <v>0.012599999999999998</v>
      </c>
      <c r="G79" s="33">
        <f>+(G74*Input!$F$18)</f>
        <v>0.012599999999999998</v>
      </c>
      <c r="H79" s="33">
        <f>+(H74*Input!$F$18)</f>
        <v>0.012599999999999998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386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381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387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381</v>
      </c>
      <c r="D89" s="33">
        <f>+D74+D79-D84</f>
        <v>0.060500000000000005</v>
      </c>
      <c r="E89" s="33">
        <f>+E74+E79-E84</f>
        <v>0.06655</v>
      </c>
      <c r="F89" s="33">
        <f>+F74+F79-F84</f>
        <v>0.0726</v>
      </c>
      <c r="G89" s="33">
        <f>+G74+G79-G84</f>
        <v>0.0726</v>
      </c>
      <c r="H89" s="33">
        <f>+H74+H79-H84</f>
        <v>0.0726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15800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3318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416</v>
      </c>
      <c r="M6" s="33">
        <f>+Input!$D$21*Input!E21</f>
        <v>3150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6468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3160</v>
      </c>
      <c r="E10" s="33">
        <f>+IF(D16&gt;=$D$4,0,$D4*Input!$E$70)</f>
        <v>3160</v>
      </c>
      <c r="F10" s="33">
        <f>+IF(E16&gt;=$D$4,0,$D4*Input!$E$70)</f>
        <v>3160</v>
      </c>
      <c r="G10" s="33">
        <f>+IF(F16&gt;=$D$4,0,$D4*Input!$E$70)</f>
        <v>3160</v>
      </c>
      <c r="H10" s="33">
        <f>+IF(G16&gt;=$D$4,0,$D4*Input!$E$70)</f>
        <v>3160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0</v>
      </c>
      <c r="E11" s="33">
        <f>+IF(D17&gt;=$D$5,0,$D5*Input!$E$71)</f>
        <v>0</v>
      </c>
      <c r="F11" s="33">
        <f>+IF(E17&gt;=$D$5,0,$D5*Input!$E$71)</f>
        <v>0</v>
      </c>
      <c r="G11" s="33">
        <f>+IF(F17&gt;=$D$5,0,$D5*Input!$E$71)</f>
        <v>0</v>
      </c>
      <c r="H11" s="33">
        <f>+IF(G17&gt;=$D$5,0,$D5*Input!$E$71)</f>
        <v>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18150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18150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3160</v>
      </c>
      <c r="E16" s="33">
        <f aca="true" t="shared" si="0" ref="E16:H17">+D16+E10</f>
        <v>6320</v>
      </c>
      <c r="F16" s="33">
        <f t="shared" si="0"/>
        <v>9480</v>
      </c>
      <c r="G16" s="33">
        <f t="shared" si="0"/>
        <v>12640</v>
      </c>
      <c r="H16" s="33">
        <f t="shared" si="0"/>
        <v>15800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19118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416</v>
      </c>
      <c r="M22" s="33">
        <f>+Input!D23</f>
        <v>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19118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3160</v>
      </c>
      <c r="E57" s="33">
        <f t="shared" si="5"/>
        <v>3160</v>
      </c>
      <c r="F57" s="33">
        <f t="shared" si="5"/>
        <v>3160</v>
      </c>
      <c r="G57" s="33">
        <f t="shared" si="5"/>
        <v>3160</v>
      </c>
      <c r="H57" s="33">
        <f t="shared" si="5"/>
        <v>3160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0</v>
      </c>
      <c r="E58" s="33">
        <f t="shared" si="5"/>
        <v>0</v>
      </c>
      <c r="F58" s="33">
        <f t="shared" si="5"/>
        <v>0</v>
      </c>
      <c r="G58" s="33">
        <f t="shared" si="5"/>
        <v>0</v>
      </c>
      <c r="H58" s="33">
        <f t="shared" si="5"/>
        <v>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3160</v>
      </c>
      <c r="E62" s="45">
        <f aca="true" t="shared" si="6" ref="E62:H63">+E57+D62</f>
        <v>6320</v>
      </c>
      <c r="F62" s="45">
        <f t="shared" si="6"/>
        <v>9480</v>
      </c>
      <c r="G62" s="45">
        <f t="shared" si="6"/>
        <v>12640</v>
      </c>
      <c r="H62" s="45">
        <f t="shared" si="6"/>
        <v>15800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 t="shared" si="6"/>
        <v>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416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416</v>
      </c>
      <c r="D71" s="33">
        <f>+Input!$D$21</f>
        <v>15000</v>
      </c>
      <c r="E71" s="33">
        <f>+Input!$D$21</f>
        <v>15000</v>
      </c>
      <c r="F71" s="33">
        <f>+Input!$D$21</f>
        <v>15000</v>
      </c>
      <c r="G71" s="33">
        <f>+Input!$D$21</f>
        <v>15000</v>
      </c>
      <c r="H71" s="33">
        <f>+Input!$D$21</f>
        <v>15000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419</v>
      </c>
      <c r="D73" s="33">
        <f>+Input!D21/Input!F21</f>
        <v>2142.8571428571427</v>
      </c>
      <c r="E73" s="33">
        <f>+IF(D75&gt;=Input!$D$21,0,Input!$D$21/Input!$F$21)</f>
        <v>2142.8571428571427</v>
      </c>
      <c r="F73" s="33">
        <f>+IF(E75&gt;=Input!$D$21,0,Input!$D$21/Input!$F$21)</f>
        <v>2142.8571428571427</v>
      </c>
      <c r="G73" s="33">
        <f>+IF(F75&gt;=Input!$D$21,0,Input!$D$21/Input!$F$21)</f>
        <v>2142.8571428571427</v>
      </c>
      <c r="H73" s="33">
        <f>+IF(G75&gt;=Input!$D$21,0,Input!$D$21/Input!$F$21)</f>
        <v>2142.8571428571427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418</v>
      </c>
      <c r="D75" s="33">
        <f>+D73</f>
        <v>2142.8571428571427</v>
      </c>
      <c r="E75" s="33">
        <f>+E73+D75</f>
        <v>4285.714285714285</v>
      </c>
      <c r="F75" s="33">
        <f>+F73+E75</f>
        <v>6428.5714285714275</v>
      </c>
      <c r="G75" s="33">
        <f>+G73+F75</f>
        <v>8571.42857142857</v>
      </c>
      <c r="H75" s="33">
        <f>+H73+G75</f>
        <v>10714.285714285714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30000</v>
      </c>
      <c r="E4" s="33">
        <f>+Input!F79*Input!F77</f>
        <v>31500</v>
      </c>
      <c r="F4" s="33">
        <f>+Input!G79*Input!G77</f>
        <v>31500</v>
      </c>
      <c r="G4" s="33">
        <f>+Input!H79*Input!H77</f>
        <v>31500</v>
      </c>
      <c r="H4" s="33">
        <f>+Input!I79*Input!I77</f>
        <v>31500</v>
      </c>
      <c r="I4" s="15"/>
    </row>
    <row r="5" spans="2:9" ht="15">
      <c r="B5" s="16"/>
      <c r="C5" s="17" t="s">
        <v>69</v>
      </c>
      <c r="D5" s="33">
        <f>+D4*Input!$E$81</f>
        <v>9000</v>
      </c>
      <c r="E5" s="33">
        <f>+E4*Input!$E$81</f>
        <v>9450</v>
      </c>
      <c r="F5" s="33">
        <f>+F4*Input!$E$81</f>
        <v>9450</v>
      </c>
      <c r="G5" s="33">
        <f>+G4*Input!$E$81</f>
        <v>9450</v>
      </c>
      <c r="H5" s="33">
        <f>+H4*Input!$E$81</f>
        <v>9450</v>
      </c>
      <c r="I5" s="15"/>
    </row>
    <row r="6" spans="2:9" ht="15">
      <c r="B6" s="16"/>
      <c r="C6" s="17" t="s">
        <v>70</v>
      </c>
      <c r="D6" s="33">
        <f>+D4*Input!$E$82</f>
        <v>1200</v>
      </c>
      <c r="E6" s="33">
        <f>+E4*Input!$E$82</f>
        <v>1260</v>
      </c>
      <c r="F6" s="33">
        <f>+F4*Input!$E$82</f>
        <v>1260</v>
      </c>
      <c r="G6" s="33">
        <f>+G4*Input!$E$82</f>
        <v>1260</v>
      </c>
      <c r="H6" s="33">
        <f>+H4*Input!$E$82</f>
        <v>1260</v>
      </c>
      <c r="I6" s="15"/>
    </row>
    <row r="7" spans="2:9" ht="15">
      <c r="B7" s="16"/>
      <c r="C7" s="17" t="s">
        <v>71</v>
      </c>
      <c r="D7" s="33">
        <f>+D4*Input!$E$83</f>
        <v>2400</v>
      </c>
      <c r="E7" s="33">
        <f>+E4*Input!$E$83</f>
        <v>2520</v>
      </c>
      <c r="F7" s="33">
        <f>+F4*Input!$E$83</f>
        <v>2520</v>
      </c>
      <c r="G7" s="33">
        <f>+G4*Input!$E$83</f>
        <v>2520</v>
      </c>
      <c r="H7" s="33">
        <f>+H4*Input!$E$83</f>
        <v>2520</v>
      </c>
      <c r="I7" s="15"/>
    </row>
    <row r="8" spans="2:9" ht="15">
      <c r="B8" s="16"/>
      <c r="C8" s="12" t="s">
        <v>74</v>
      </c>
      <c r="D8" s="50">
        <f>SUM(D4:D7)</f>
        <v>42600</v>
      </c>
      <c r="E8" s="50">
        <f>SUM(E4:E7)</f>
        <v>44730</v>
      </c>
      <c r="F8" s="50">
        <f>SUM(F4:F7)</f>
        <v>44730</v>
      </c>
      <c r="G8" s="50">
        <f>SUM(G4:G7)</f>
        <v>44730</v>
      </c>
      <c r="H8" s="50">
        <f>SUM(H4:H7)</f>
        <v>44730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30000</v>
      </c>
      <c r="E14" s="45">
        <f t="shared" si="0"/>
        <v>31500</v>
      </c>
      <c r="F14" s="45">
        <f t="shared" si="0"/>
        <v>31500</v>
      </c>
      <c r="G14" s="45">
        <f t="shared" si="0"/>
        <v>31500</v>
      </c>
      <c r="H14" s="45">
        <f t="shared" si="0"/>
        <v>31500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9000</v>
      </c>
      <c r="E15" s="45">
        <f t="shared" si="0"/>
        <v>9450</v>
      </c>
      <c r="F15" s="45">
        <f t="shared" si="0"/>
        <v>9450</v>
      </c>
      <c r="G15" s="45">
        <f t="shared" si="0"/>
        <v>9450</v>
      </c>
      <c r="H15" s="45">
        <f t="shared" si="0"/>
        <v>9450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1200</v>
      </c>
      <c r="E16" s="45">
        <f aca="true" t="shared" si="2" ref="E16:H17">+E6</f>
        <v>1260</v>
      </c>
      <c r="F16" s="45">
        <f t="shared" si="2"/>
        <v>1260</v>
      </c>
      <c r="G16" s="45">
        <f t="shared" si="2"/>
        <v>1260</v>
      </c>
      <c r="H16" s="45">
        <f t="shared" si="2"/>
        <v>1260</v>
      </c>
      <c r="I16" s="15"/>
    </row>
    <row r="17" spans="2:9" ht="15">
      <c r="B17" s="16"/>
      <c r="C17" s="17" t="str">
        <f t="shared" si="1"/>
        <v>TFR</v>
      </c>
      <c r="D17" s="45">
        <f t="shared" si="1"/>
        <v>2400</v>
      </c>
      <c r="E17" s="45">
        <f t="shared" si="2"/>
        <v>2520</v>
      </c>
      <c r="F17" s="45">
        <f t="shared" si="2"/>
        <v>2520</v>
      </c>
      <c r="G17" s="45">
        <f t="shared" si="2"/>
        <v>2520</v>
      </c>
      <c r="H17" s="45">
        <f t="shared" si="2"/>
        <v>2520</v>
      </c>
      <c r="I17" s="15"/>
    </row>
    <row r="18" spans="2:9" ht="15">
      <c r="B18" s="16"/>
      <c r="C18" s="12" t="s">
        <v>74</v>
      </c>
      <c r="D18" s="50">
        <f>SUM(D14:D17)</f>
        <v>42600</v>
      </c>
      <c r="E18" s="50">
        <f>SUM(E14:E17)</f>
        <v>44730</v>
      </c>
      <c r="F18" s="50">
        <f>SUM(F14:F17)</f>
        <v>44730</v>
      </c>
      <c r="G18" s="50">
        <f>SUM(G14:G17)</f>
        <v>44730</v>
      </c>
      <c r="H18" s="50">
        <f>SUM(H14:H17)</f>
        <v>44730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2400</v>
      </c>
      <c r="E22" s="25">
        <f>+E17</f>
        <v>2520</v>
      </c>
      <c r="F22" s="25">
        <f>+F17</f>
        <v>2520</v>
      </c>
      <c r="G22" s="25">
        <f>+G17</f>
        <v>2520</v>
      </c>
      <c r="H22" s="25">
        <f>+H17</f>
        <v>2520</v>
      </c>
    </row>
    <row r="23" spans="3:8" ht="15">
      <c r="C23" t="s">
        <v>37</v>
      </c>
      <c r="D23" s="25">
        <f>+D18-D22</f>
        <v>40200</v>
      </c>
      <c r="E23" s="25">
        <f>+E18-E22</f>
        <v>42210</v>
      </c>
      <c r="F23" s="25">
        <f>+F18-F22</f>
        <v>42210</v>
      </c>
      <c r="G23" s="25">
        <f>+G18-G22</f>
        <v>42210</v>
      </c>
      <c r="H23" s="25">
        <f>+H18-H22</f>
        <v>42210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2013-01-06T16:36:53Z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