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ianluca.imperiale\Dropbox\pagamenti\Progetto Blog\Clienti\Pulimacchine\"/>
    </mc:Choice>
  </mc:AlternateContent>
  <bookViews>
    <workbookView xWindow="396" yWindow="456" windowWidth="27804" windowHeight="16236" tabRatio="768" firstSheet="4" activeTab="14"/>
  </bookViews>
  <sheets>
    <sheet name="Menu" sheetId="1" r:id="rId1"/>
    <sheet name="SP" sheetId="2" r:id="rId2"/>
    <sheet name="CE" sheetId="3" r:id="rId3"/>
    <sheet name="Input Previsionale" sheetId="14" r:id="rId4"/>
    <sheet name="Scheda Debiti" sheetId="20" r:id="rId5"/>
    <sheet name="Scheda Crediti" sheetId="22" r:id="rId6"/>
    <sheet name="Scheda Inv" sheetId="19" r:id="rId7"/>
    <sheet name="Calcoli" sheetId="21" r:id="rId8"/>
    <sheet name="SP Previsionale" sheetId="18" r:id="rId9"/>
    <sheet name="CE Previsionale" sheetId="17" r:id="rId10"/>
    <sheet name="Rendiconto Finanziario" sheetId="4" r:id="rId11"/>
    <sheet name="sp fin" sheetId="12" state="hidden" r:id="rId12"/>
    <sheet name="ce mcl" sheetId="9" state="hidden" r:id="rId13"/>
    <sheet name="ce va" sheetId="11" state="hidden" r:id="rId14"/>
    <sheet name="Rat MedioCreditoCentrale" sheetId="23" r:id="rId15"/>
    <sheet name="Indicatori" sheetId="6" r:id="rId16"/>
  </sheets>
  <externalReferences>
    <externalReference r:id="rId17"/>
  </externalReferences>
  <definedNames>
    <definedName name="anno_Prec">[1]Configurazione!$M$1</definedName>
    <definedName name="anno_Rif">[1]Configurazione!$K$1</definedName>
    <definedName name="firstItemRow" localSheetId="2">CE!$C$2</definedName>
    <definedName name="nomeFoglio" localSheetId="2">CE!$F$2</definedName>
    <definedName name="prefix">CE!$B$2</definedName>
    <definedName name="_xlnm.Print_Area" localSheetId="3">'Input Previsionale'!$B$8:$E$31</definedName>
    <definedName name="prospettiRng">[1]Impostazioni!$A$20:$J$52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4" l="1"/>
  <c r="G28" i="14"/>
  <c r="H28" i="14"/>
  <c r="I28" i="14"/>
  <c r="J28" i="14"/>
  <c r="K28" i="14"/>
  <c r="L28" i="14"/>
  <c r="M28" i="14"/>
  <c r="N28" i="14"/>
  <c r="E28" i="14"/>
  <c r="F23" i="14"/>
  <c r="G23" i="14"/>
  <c r="H23" i="14"/>
  <c r="I23" i="14"/>
  <c r="J23" i="14"/>
  <c r="K23" i="14"/>
  <c r="L23" i="14"/>
  <c r="M23" i="14"/>
  <c r="N23" i="14"/>
  <c r="E23" i="14"/>
  <c r="F13" i="14"/>
  <c r="G13" i="14"/>
  <c r="H13" i="14"/>
  <c r="I13" i="14"/>
  <c r="J13" i="14"/>
  <c r="K13" i="14"/>
  <c r="L13" i="14"/>
  <c r="M13" i="14"/>
  <c r="N13" i="14"/>
  <c r="E13" i="14"/>
  <c r="D101" i="21"/>
  <c r="E101" i="21"/>
  <c r="F101" i="21"/>
  <c r="G101" i="21"/>
  <c r="H101" i="21"/>
  <c r="I101" i="21"/>
  <c r="J101" i="21"/>
  <c r="K101" i="21"/>
  <c r="L101" i="21"/>
  <c r="C101" i="21"/>
  <c r="E7" i="17" l="1"/>
  <c r="F7" i="17"/>
  <c r="G7" i="17"/>
  <c r="H7" i="17"/>
  <c r="I7" i="17"/>
  <c r="J7" i="17"/>
  <c r="K7" i="17"/>
  <c r="L7" i="17"/>
  <c r="M7" i="17"/>
  <c r="D7" i="17"/>
  <c r="E12" i="17"/>
  <c r="F12" i="17"/>
  <c r="G12" i="17"/>
  <c r="H12" i="17"/>
  <c r="I12" i="17"/>
  <c r="J12" i="17"/>
  <c r="K12" i="17"/>
  <c r="L12" i="17"/>
  <c r="M12" i="17"/>
  <c r="D12" i="17"/>
  <c r="M54" i="4" l="1"/>
  <c r="G54" i="4"/>
  <c r="H54" i="4"/>
  <c r="I54" i="4"/>
  <c r="J54" i="4"/>
  <c r="K54" i="4"/>
  <c r="L54" i="4"/>
  <c r="F54" i="4"/>
  <c r="D94" i="21" l="1"/>
  <c r="E94" i="21"/>
  <c r="F94" i="21"/>
  <c r="G94" i="21"/>
  <c r="H94" i="21"/>
  <c r="I94" i="21"/>
  <c r="J94" i="21"/>
  <c r="K94" i="21"/>
  <c r="L94" i="21"/>
  <c r="C94" i="21"/>
  <c r="D104" i="21"/>
  <c r="E104" i="21"/>
  <c r="F104" i="21"/>
  <c r="G104" i="21"/>
  <c r="H104" i="21"/>
  <c r="I104" i="21"/>
  <c r="J104" i="21"/>
  <c r="K104" i="21"/>
  <c r="L104" i="21"/>
  <c r="C104" i="21"/>
  <c r="D38" i="17"/>
  <c r="D95" i="21"/>
  <c r="E95" i="21"/>
  <c r="F95" i="21"/>
  <c r="G95" i="21"/>
  <c r="H95" i="21"/>
  <c r="I95" i="21"/>
  <c r="J95" i="21"/>
  <c r="K95" i="21"/>
  <c r="L95" i="21"/>
  <c r="C95" i="21"/>
  <c r="D105" i="21"/>
  <c r="E105" i="21"/>
  <c r="F105" i="21"/>
  <c r="G105" i="21"/>
  <c r="H105" i="21"/>
  <c r="I105" i="21"/>
  <c r="J105" i="21"/>
  <c r="K105" i="21"/>
  <c r="L105" i="21"/>
  <c r="C18" i="21" l="1"/>
  <c r="C19" i="21"/>
  <c r="C17" i="21"/>
  <c r="G66" i="3" l="1"/>
  <c r="E8" i="14" l="1"/>
  <c r="D3" i="18" s="1"/>
  <c r="G4" i="2"/>
  <c r="C2" i="12" s="1"/>
  <c r="H4" i="2"/>
  <c r="G118" i="2"/>
  <c r="C5" i="12" s="1"/>
  <c r="H118" i="2"/>
  <c r="D5" i="12" s="1"/>
  <c r="G75" i="2"/>
  <c r="C8" i="12" s="1"/>
  <c r="G95" i="2"/>
  <c r="G99" i="2"/>
  <c r="G123" i="2"/>
  <c r="C10" i="12"/>
  <c r="G79" i="2"/>
  <c r="G83" i="2"/>
  <c r="G87" i="2"/>
  <c r="G91" i="2"/>
  <c r="G103" i="2"/>
  <c r="G113" i="2"/>
  <c r="H75" i="2"/>
  <c r="D8" i="12" s="1"/>
  <c r="H95" i="2"/>
  <c r="H99" i="2"/>
  <c r="H123" i="2"/>
  <c r="D10" i="12" s="1"/>
  <c r="H79" i="2"/>
  <c r="H83" i="2"/>
  <c r="H87" i="2"/>
  <c r="H91" i="2"/>
  <c r="H103" i="2"/>
  <c r="H113" i="2"/>
  <c r="C14" i="12"/>
  <c r="C15" i="12"/>
  <c r="C13" i="12" s="1"/>
  <c r="D14" i="12"/>
  <c r="D15" i="12"/>
  <c r="C19" i="12"/>
  <c r="C18" i="12" s="1"/>
  <c r="C21" i="12"/>
  <c r="C20" i="12" s="1"/>
  <c r="C22" i="12"/>
  <c r="C23" i="12"/>
  <c r="D19" i="12"/>
  <c r="D18" i="12" s="1"/>
  <c r="D21" i="12"/>
  <c r="D22" i="12"/>
  <c r="D23" i="12"/>
  <c r="C27" i="12"/>
  <c r="C28" i="12"/>
  <c r="C29" i="12"/>
  <c r="D27" i="12"/>
  <c r="D28" i="12"/>
  <c r="D29" i="12"/>
  <c r="G53" i="2"/>
  <c r="G49" i="2"/>
  <c r="G45" i="2"/>
  <c r="G41" i="2"/>
  <c r="G57" i="2"/>
  <c r="G36" i="2"/>
  <c r="G11" i="2"/>
  <c r="H41" i="2"/>
  <c r="H11" i="2"/>
  <c r="C38" i="12"/>
  <c r="C37" i="12" s="1"/>
  <c r="D38" i="12"/>
  <c r="D37" i="12"/>
  <c r="G199" i="2"/>
  <c r="C41" i="12" s="1"/>
  <c r="G227" i="2"/>
  <c r="C42" i="12" s="1"/>
  <c r="G223" i="2"/>
  <c r="C43" i="12" s="1"/>
  <c r="G191" i="2"/>
  <c r="G195" i="2"/>
  <c r="G203" i="2"/>
  <c r="G215" i="2"/>
  <c r="G219" i="2"/>
  <c r="G231" i="2"/>
  <c r="G236" i="2"/>
  <c r="C45" i="12" s="1"/>
  <c r="H199" i="2"/>
  <c r="D41" i="12" s="1"/>
  <c r="H227" i="2"/>
  <c r="D42" i="12" s="1"/>
  <c r="H223" i="2"/>
  <c r="D43" i="12" s="1"/>
  <c r="H191" i="2"/>
  <c r="H195" i="2"/>
  <c r="D25" i="4" s="1"/>
  <c r="H203" i="2"/>
  <c r="H215" i="2"/>
  <c r="H219" i="2"/>
  <c r="H231" i="2"/>
  <c r="H236" i="2"/>
  <c r="D45" i="12" s="1"/>
  <c r="G183" i="2"/>
  <c r="C47" i="12"/>
  <c r="H183" i="2"/>
  <c r="D47" i="12" s="1"/>
  <c r="C50" i="12"/>
  <c r="C51" i="12"/>
  <c r="G169" i="2"/>
  <c r="C52" i="12" s="1"/>
  <c r="G211" i="2"/>
  <c r="C53" i="12" s="1"/>
  <c r="G207" i="2"/>
  <c r="G175" i="2"/>
  <c r="G179" i="2"/>
  <c r="D50" i="12"/>
  <c r="D51" i="12"/>
  <c r="H169" i="2"/>
  <c r="D52" i="12"/>
  <c r="H211" i="2"/>
  <c r="H207" i="2"/>
  <c r="H175" i="2"/>
  <c r="H179" i="2"/>
  <c r="D54" i="12" s="1"/>
  <c r="C57" i="12"/>
  <c r="C58" i="12"/>
  <c r="G132" i="2"/>
  <c r="G153" i="2"/>
  <c r="C60" i="12"/>
  <c r="C61" i="12"/>
  <c r="D57" i="12"/>
  <c r="D58" i="12"/>
  <c r="H132" i="2"/>
  <c r="H153" i="2"/>
  <c r="D60" i="12"/>
  <c r="D61" i="12"/>
  <c r="A6" i="18"/>
  <c r="A7" i="18"/>
  <c r="A8" i="18"/>
  <c r="A9" i="18"/>
  <c r="A10" i="18"/>
  <c r="A11" i="18"/>
  <c r="A12" i="18"/>
  <c r="A13" i="18"/>
  <c r="A14" i="18"/>
  <c r="A15" i="18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D62" i="19"/>
  <c r="D192" i="19"/>
  <c r="E62" i="19"/>
  <c r="E192" i="19" s="1"/>
  <c r="E75" i="19"/>
  <c r="F75" i="19"/>
  <c r="F88" i="19"/>
  <c r="G101" i="19"/>
  <c r="H101" i="19" s="1"/>
  <c r="H114" i="19"/>
  <c r="I114" i="19" s="1"/>
  <c r="I127" i="19"/>
  <c r="J140" i="19"/>
  <c r="K153" i="19"/>
  <c r="L153" i="19"/>
  <c r="M153" i="19" s="1"/>
  <c r="L166" i="19"/>
  <c r="M166" i="19"/>
  <c r="M179" i="19"/>
  <c r="C24" i="21"/>
  <c r="D18" i="21" s="1"/>
  <c r="D61" i="19"/>
  <c r="E61" i="19"/>
  <c r="E74" i="19"/>
  <c r="F74" i="19" s="1"/>
  <c r="F87" i="19"/>
  <c r="G87" i="19" s="1"/>
  <c r="G100" i="19"/>
  <c r="H113" i="19"/>
  <c r="I126" i="19"/>
  <c r="J126" i="19"/>
  <c r="K126" i="19" s="1"/>
  <c r="J139" i="19"/>
  <c r="K139" i="19" s="1"/>
  <c r="L139" i="19" s="1"/>
  <c r="K152" i="19"/>
  <c r="L152" i="19" s="1"/>
  <c r="M152" i="19" s="1"/>
  <c r="L165" i="19"/>
  <c r="M165" i="19"/>
  <c r="M178" i="19"/>
  <c r="D60" i="19"/>
  <c r="E60" i="19" s="1"/>
  <c r="E73" i="19"/>
  <c r="F86" i="19"/>
  <c r="G99" i="19"/>
  <c r="H99" i="19"/>
  <c r="H112" i="19"/>
  <c r="I112" i="19"/>
  <c r="I125" i="19"/>
  <c r="J125" i="19" s="1"/>
  <c r="J138" i="19"/>
  <c r="K138" i="19"/>
  <c r="K151" i="19"/>
  <c r="L151" i="19" s="1"/>
  <c r="M151" i="19" s="1"/>
  <c r="L164" i="19"/>
  <c r="M164" i="19" s="1"/>
  <c r="M177" i="19"/>
  <c r="D54" i="19"/>
  <c r="D184" i="19" s="1"/>
  <c r="E67" i="19"/>
  <c r="F67" i="19" s="1"/>
  <c r="F80" i="19"/>
  <c r="G80" i="19" s="1"/>
  <c r="G93" i="19"/>
  <c r="H93" i="19"/>
  <c r="H106" i="19"/>
  <c r="I119" i="19"/>
  <c r="J132" i="19"/>
  <c r="K132" i="19" s="1"/>
  <c r="L132" i="19" s="1"/>
  <c r="M132" i="19" s="1"/>
  <c r="K145" i="19"/>
  <c r="L145" i="19" s="1"/>
  <c r="M145" i="19" s="1"/>
  <c r="L158" i="19"/>
  <c r="M158" i="19" s="1"/>
  <c r="M171" i="19"/>
  <c r="D55" i="19"/>
  <c r="D185" i="19" s="1"/>
  <c r="E68" i="19"/>
  <c r="F68" i="19" s="1"/>
  <c r="F81" i="19"/>
  <c r="G81" i="19"/>
  <c r="G94" i="19"/>
  <c r="H94" i="19" s="1"/>
  <c r="H107" i="19"/>
  <c r="I107" i="19" s="1"/>
  <c r="I120" i="19"/>
  <c r="J133" i="19"/>
  <c r="K146" i="19"/>
  <c r="L146" i="19"/>
  <c r="M146" i="19" s="1"/>
  <c r="L159" i="19"/>
  <c r="M159" i="19" s="1"/>
  <c r="M172" i="19"/>
  <c r="D56" i="19"/>
  <c r="D186" i="19" s="1"/>
  <c r="E69" i="19"/>
  <c r="F69" i="19"/>
  <c r="F82" i="19"/>
  <c r="G82" i="19" s="1"/>
  <c r="H82" i="19" s="1"/>
  <c r="G69" i="19"/>
  <c r="G95" i="19"/>
  <c r="H95" i="19" s="1"/>
  <c r="H108" i="19"/>
  <c r="I121" i="19"/>
  <c r="J121" i="19"/>
  <c r="J134" i="19"/>
  <c r="K134" i="19" s="1"/>
  <c r="L134" i="19" s="1"/>
  <c r="K147" i="19"/>
  <c r="L147" i="19" s="1"/>
  <c r="M147" i="19" s="1"/>
  <c r="L160" i="19"/>
  <c r="M160" i="19" s="1"/>
  <c r="M173" i="19"/>
  <c r="D53" i="19"/>
  <c r="E53" i="19" s="1"/>
  <c r="E66" i="19"/>
  <c r="F79" i="19"/>
  <c r="G79" i="19"/>
  <c r="G92" i="19"/>
  <c r="H92" i="19" s="1"/>
  <c r="H105" i="19"/>
  <c r="I105" i="19"/>
  <c r="J105" i="19" s="1"/>
  <c r="I118" i="19"/>
  <c r="J118" i="19" s="1"/>
  <c r="J131" i="19"/>
  <c r="K131" i="19" s="1"/>
  <c r="K144" i="19"/>
  <c r="L144" i="19"/>
  <c r="M144" i="19" s="1"/>
  <c r="L157" i="19"/>
  <c r="M157" i="19" s="1"/>
  <c r="M170" i="19"/>
  <c r="G4" i="3"/>
  <c r="C5" i="9"/>
  <c r="G15" i="3"/>
  <c r="C6" i="9" s="1"/>
  <c r="C7" i="9"/>
  <c r="C11" i="9"/>
  <c r="C12" i="9"/>
  <c r="C17" i="9"/>
  <c r="C18" i="9"/>
  <c r="C23" i="9"/>
  <c r="C24" i="9"/>
  <c r="C25" i="9"/>
  <c r="C26" i="9"/>
  <c r="C27" i="9"/>
  <c r="C28" i="9"/>
  <c r="G76" i="3"/>
  <c r="G82" i="3"/>
  <c r="G45" i="3"/>
  <c r="G60" i="3"/>
  <c r="G52" i="3"/>
  <c r="G67" i="3"/>
  <c r="G90" i="3"/>
  <c r="C42" i="9" s="1"/>
  <c r="A5" i="17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E39" i="19"/>
  <c r="E40" i="19"/>
  <c r="E41" i="19"/>
  <c r="E42" i="19"/>
  <c r="E46" i="19"/>
  <c r="E47" i="19"/>
  <c r="E48" i="19"/>
  <c r="F39" i="19"/>
  <c r="F40" i="19"/>
  <c r="F41" i="19"/>
  <c r="F42" i="19"/>
  <c r="F46" i="19"/>
  <c r="F47" i="19"/>
  <c r="F48" i="19"/>
  <c r="G39" i="19"/>
  <c r="G40" i="19"/>
  <c r="G41" i="19"/>
  <c r="G42" i="19"/>
  <c r="G46" i="19"/>
  <c r="G47" i="19"/>
  <c r="G48" i="19"/>
  <c r="H39" i="19"/>
  <c r="H40" i="19"/>
  <c r="H41" i="19"/>
  <c r="H42" i="19"/>
  <c r="H46" i="19"/>
  <c r="H47" i="19"/>
  <c r="H48" i="19"/>
  <c r="I39" i="19"/>
  <c r="I40" i="19"/>
  <c r="I41" i="19"/>
  <c r="I42" i="19"/>
  <c r="I46" i="19"/>
  <c r="I47" i="19"/>
  <c r="I48" i="19"/>
  <c r="J39" i="19"/>
  <c r="J40" i="19"/>
  <c r="J41" i="19"/>
  <c r="J42" i="19"/>
  <c r="J46" i="19"/>
  <c r="J47" i="19"/>
  <c r="J48" i="19"/>
  <c r="K39" i="19"/>
  <c r="K40" i="19"/>
  <c r="K41" i="19"/>
  <c r="K42" i="19"/>
  <c r="K46" i="19"/>
  <c r="K47" i="19"/>
  <c r="K48" i="19"/>
  <c r="L39" i="19"/>
  <c r="L40" i="19"/>
  <c r="L41" i="19"/>
  <c r="L42" i="19"/>
  <c r="L46" i="19"/>
  <c r="L47" i="19"/>
  <c r="L48" i="19"/>
  <c r="M39" i="19"/>
  <c r="M40" i="19"/>
  <c r="M41" i="19"/>
  <c r="M42" i="19"/>
  <c r="M46" i="19"/>
  <c r="M47" i="19"/>
  <c r="M48" i="19"/>
  <c r="D39" i="19"/>
  <c r="D40" i="19"/>
  <c r="D41" i="19"/>
  <c r="D42" i="19"/>
  <c r="D46" i="19"/>
  <c r="D47" i="19"/>
  <c r="D48" i="19"/>
  <c r="B31" i="19"/>
  <c r="B47" i="19" s="1"/>
  <c r="B26" i="19"/>
  <c r="B42" i="19"/>
  <c r="C32" i="21"/>
  <c r="B31" i="21"/>
  <c r="B32" i="19"/>
  <c r="B62" i="19" s="1"/>
  <c r="B75" i="19" s="1"/>
  <c r="B88" i="19" s="1"/>
  <c r="B101" i="19" s="1"/>
  <c r="B114" i="19" s="1"/>
  <c r="B127" i="19" s="1"/>
  <c r="B140" i="19" s="1"/>
  <c r="B153" i="19" s="1"/>
  <c r="B166" i="19" s="1"/>
  <c r="B179" i="19" s="1"/>
  <c r="B192" i="19" s="1"/>
  <c r="B30" i="19"/>
  <c r="B60" i="19" s="1"/>
  <c r="B73" i="19" s="1"/>
  <c r="B86" i="19" s="1"/>
  <c r="B99" i="19" s="1"/>
  <c r="B112" i="19" s="1"/>
  <c r="B125" i="19" s="1"/>
  <c r="B138" i="19" s="1"/>
  <c r="B151" i="19" s="1"/>
  <c r="B164" i="19" s="1"/>
  <c r="B177" i="19" s="1"/>
  <c r="B190" i="19" s="1"/>
  <c r="C29" i="19"/>
  <c r="B29" i="19"/>
  <c r="B24" i="19"/>
  <c r="B40" i="19" s="1"/>
  <c r="B54" i="19"/>
  <c r="B67" i="19" s="1"/>
  <c r="B80" i="19" s="1"/>
  <c r="B93" i="19" s="1"/>
  <c r="B106" i="19" s="1"/>
  <c r="B119" i="19" s="1"/>
  <c r="B132" i="19" s="1"/>
  <c r="B145" i="19" s="1"/>
  <c r="B158" i="19" s="1"/>
  <c r="B171" i="19" s="1"/>
  <c r="B184" i="19" s="1"/>
  <c r="B25" i="19"/>
  <c r="B55" i="19"/>
  <c r="B68" i="19" s="1"/>
  <c r="B81" i="19" s="1"/>
  <c r="B94" i="19" s="1"/>
  <c r="B107" i="19" s="1"/>
  <c r="B120" i="19" s="1"/>
  <c r="B133" i="19" s="1"/>
  <c r="B146" i="19" s="1"/>
  <c r="B159" i="19" s="1"/>
  <c r="B172" i="19" s="1"/>
  <c r="B185" i="19" s="1"/>
  <c r="B56" i="19"/>
  <c r="B69" i="19"/>
  <c r="B82" i="19" s="1"/>
  <c r="B95" i="19" s="1"/>
  <c r="B108" i="19" s="1"/>
  <c r="B121" i="19" s="1"/>
  <c r="B134" i="19" s="1"/>
  <c r="B147" i="19" s="1"/>
  <c r="B160" i="19" s="1"/>
  <c r="B173" i="19" s="1"/>
  <c r="B186" i="19" s="1"/>
  <c r="B23" i="19"/>
  <c r="B53" i="19"/>
  <c r="B66" i="19" s="1"/>
  <c r="B79" i="19" s="1"/>
  <c r="B92" i="19" s="1"/>
  <c r="B105" i="19" s="1"/>
  <c r="B118" i="19" s="1"/>
  <c r="B131" i="19" s="1"/>
  <c r="B144" i="19" s="1"/>
  <c r="B157" i="19" s="1"/>
  <c r="B170" i="19" s="1"/>
  <c r="B183" i="19" s="1"/>
  <c r="B22" i="19"/>
  <c r="B41" i="19"/>
  <c r="B39" i="19"/>
  <c r="B48" i="19"/>
  <c r="D32" i="17"/>
  <c r="D30" i="6" s="1"/>
  <c r="E32" i="17"/>
  <c r="E30" i="6" s="1"/>
  <c r="E38" i="17"/>
  <c r="D135" i="21" s="1"/>
  <c r="F32" i="17"/>
  <c r="F30" i="6" s="1"/>
  <c r="F38" i="17"/>
  <c r="E135" i="21" s="1"/>
  <c r="G32" i="17"/>
  <c r="G30" i="6" s="1"/>
  <c r="G38" i="17"/>
  <c r="F135" i="21" s="1"/>
  <c r="H32" i="17"/>
  <c r="H30" i="6" s="1"/>
  <c r="H38" i="17"/>
  <c r="G135" i="21" s="1"/>
  <c r="I32" i="17"/>
  <c r="I30" i="6" s="1"/>
  <c r="I38" i="17"/>
  <c r="H135" i="21" s="1"/>
  <c r="J32" i="17"/>
  <c r="J30" i="6" s="1"/>
  <c r="J38" i="17"/>
  <c r="K32" i="17"/>
  <c r="K30" i="6" s="1"/>
  <c r="K38" i="17"/>
  <c r="J135" i="21" s="1"/>
  <c r="L32" i="17"/>
  <c r="L30" i="6" s="1"/>
  <c r="L38" i="17"/>
  <c r="M38" i="17"/>
  <c r="B25" i="21"/>
  <c r="B24" i="21"/>
  <c r="B23" i="21"/>
  <c r="B5" i="21"/>
  <c r="B6" i="21"/>
  <c r="B13" i="21" s="1"/>
  <c r="B7" i="21"/>
  <c r="B14" i="21" s="1"/>
  <c r="B4" i="21"/>
  <c r="B11" i="21" s="1"/>
  <c r="D28" i="4"/>
  <c r="M32" i="17"/>
  <c r="D66" i="4"/>
  <c r="D65" i="4"/>
  <c r="D64" i="4"/>
  <c r="C3" i="11"/>
  <c r="D3" i="11"/>
  <c r="D8" i="11" s="1"/>
  <c r="E3" i="11"/>
  <c r="E8" i="11" s="1"/>
  <c r="F3" i="11"/>
  <c r="G3" i="11"/>
  <c r="G8" i="11" s="1"/>
  <c r="G15" i="11" s="1"/>
  <c r="G17" i="11" s="1"/>
  <c r="G19" i="11" s="1"/>
  <c r="G21" i="11" s="1"/>
  <c r="G23" i="11" s="1"/>
  <c r="G25" i="11" s="1"/>
  <c r="G27" i="11" s="1"/>
  <c r="G4" i="11"/>
  <c r="G5" i="11"/>
  <c r="G6" i="11"/>
  <c r="G7" i="11"/>
  <c r="H3" i="11"/>
  <c r="H8" i="11" s="1"/>
  <c r="I3" i="11"/>
  <c r="J3" i="11"/>
  <c r="J8" i="11" s="1"/>
  <c r="J15" i="11" s="1"/>
  <c r="J17" i="11" s="1"/>
  <c r="J19" i="11" s="1"/>
  <c r="J21" i="11" s="1"/>
  <c r="J23" i="11" s="1"/>
  <c r="J25" i="11" s="1"/>
  <c r="J27" i="11" s="1"/>
  <c r="K3" i="11"/>
  <c r="K4" i="11"/>
  <c r="K5" i="11"/>
  <c r="K6" i="11"/>
  <c r="K7" i="11"/>
  <c r="K8" i="11"/>
  <c r="B3" i="11"/>
  <c r="C4" i="11"/>
  <c r="D4" i="11"/>
  <c r="E4" i="11"/>
  <c r="F4" i="11"/>
  <c r="H4" i="11"/>
  <c r="I4" i="11"/>
  <c r="J4" i="11"/>
  <c r="C5" i="11"/>
  <c r="D5" i="11"/>
  <c r="D6" i="11"/>
  <c r="D7" i="11"/>
  <c r="D10" i="11"/>
  <c r="D9" i="11" s="1"/>
  <c r="D11" i="11"/>
  <c r="D12" i="11"/>
  <c r="D13" i="11"/>
  <c r="D14" i="11"/>
  <c r="E5" i="11"/>
  <c r="F5" i="11"/>
  <c r="H5" i="11"/>
  <c r="I5" i="11"/>
  <c r="J5" i="11"/>
  <c r="C6" i="11"/>
  <c r="E6" i="11"/>
  <c r="F6" i="11"/>
  <c r="G10" i="11"/>
  <c r="G9" i="11" s="1"/>
  <c r="G11" i="11"/>
  <c r="G12" i="11"/>
  <c r="G13" i="11"/>
  <c r="G14" i="11"/>
  <c r="H6" i="11"/>
  <c r="I6" i="11"/>
  <c r="J6" i="11"/>
  <c r="C10" i="11"/>
  <c r="E10" i="11"/>
  <c r="E9" i="11" s="1"/>
  <c r="F10" i="11"/>
  <c r="F9" i="11" s="1"/>
  <c r="H10" i="11"/>
  <c r="I10" i="11"/>
  <c r="I9" i="11" s="1"/>
  <c r="J10" i="11"/>
  <c r="J11" i="11"/>
  <c r="J12" i="11"/>
  <c r="J13" i="11"/>
  <c r="J14" i="11"/>
  <c r="K10" i="11"/>
  <c r="C11" i="11"/>
  <c r="E11" i="11"/>
  <c r="E12" i="11"/>
  <c r="E13" i="11"/>
  <c r="E14" i="11"/>
  <c r="E7" i="11"/>
  <c r="E16" i="11"/>
  <c r="E18" i="11"/>
  <c r="E20" i="11"/>
  <c r="E22" i="11"/>
  <c r="E26" i="11"/>
  <c r="F11" i="11"/>
  <c r="H11" i="11"/>
  <c r="I11" i="11"/>
  <c r="K11" i="11"/>
  <c r="C12" i="11"/>
  <c r="C13" i="11"/>
  <c r="C14" i="11"/>
  <c r="F12" i="11"/>
  <c r="H12" i="11"/>
  <c r="I12" i="11"/>
  <c r="I13" i="11"/>
  <c r="I14" i="11"/>
  <c r="K12" i="11"/>
  <c r="F13" i="11"/>
  <c r="H13" i="11"/>
  <c r="H14" i="11"/>
  <c r="H9" i="11"/>
  <c r="K13" i="11"/>
  <c r="F14" i="11"/>
  <c r="K14" i="11"/>
  <c r="B14" i="11"/>
  <c r="B13" i="11"/>
  <c r="B11" i="11"/>
  <c r="B12" i="11"/>
  <c r="B10" i="11"/>
  <c r="B6" i="11"/>
  <c r="B5" i="11"/>
  <c r="B4" i="11"/>
  <c r="D19" i="4"/>
  <c r="F7" i="11"/>
  <c r="I7" i="11"/>
  <c r="B7" i="11"/>
  <c r="G16" i="3"/>
  <c r="H70" i="2"/>
  <c r="G70" i="2"/>
  <c r="C10" i="17" s="1"/>
  <c r="F26" i="11"/>
  <c r="G26" i="11"/>
  <c r="D26" i="11"/>
  <c r="C76" i="4"/>
  <c r="C75" i="4"/>
  <c r="D17" i="4"/>
  <c r="D16" i="4"/>
  <c r="D2" i="4"/>
  <c r="E2" i="4" s="1"/>
  <c r="F2" i="4" s="1"/>
  <c r="G2" i="4" s="1"/>
  <c r="H2" i="4" s="1"/>
  <c r="I2" i="4" s="1"/>
  <c r="J2" i="4" s="1"/>
  <c r="K2" i="4" s="1"/>
  <c r="L2" i="4" s="1"/>
  <c r="M2" i="4" s="1"/>
  <c r="C18" i="11"/>
  <c r="C16" i="11"/>
  <c r="G33" i="3"/>
  <c r="B18" i="11" s="1"/>
  <c r="G27" i="3"/>
  <c r="B16" i="11" s="1"/>
  <c r="F2" i="3"/>
  <c r="E2" i="3"/>
  <c r="H187" i="2"/>
  <c r="H161" i="2"/>
  <c r="G187" i="2"/>
  <c r="G161" i="2"/>
  <c r="I20" i="11"/>
  <c r="D18" i="11"/>
  <c r="I18" i="11"/>
  <c r="H18" i="11"/>
  <c r="I16" i="11"/>
  <c r="H16" i="11"/>
  <c r="D16" i="11"/>
  <c r="F16" i="11"/>
  <c r="D26" i="4"/>
  <c r="I22" i="11"/>
  <c r="C2" i="6"/>
  <c r="B26" i="11"/>
  <c r="K20" i="11"/>
  <c r="K18" i="11"/>
  <c r="K22" i="11"/>
  <c r="J26" i="11"/>
  <c r="H7" i="11"/>
  <c r="I26" i="11"/>
  <c r="F22" i="11"/>
  <c r="G28" i="2"/>
  <c r="G21" i="2"/>
  <c r="G5" i="2"/>
  <c r="D23" i="4"/>
  <c r="H26" i="11"/>
  <c r="E54" i="4"/>
  <c r="J123" i="2"/>
  <c r="H22" i="11"/>
  <c r="J20" i="11"/>
  <c r="D20" i="11"/>
  <c r="C7" i="11"/>
  <c r="C20" i="11"/>
  <c r="J7" i="11"/>
  <c r="B12" i="21"/>
  <c r="B33" i="21"/>
  <c r="E37" i="17"/>
  <c r="G22" i="23" s="1"/>
  <c r="G28" i="23" s="1"/>
  <c r="H28" i="23" s="1"/>
  <c r="G37" i="17"/>
  <c r="G16" i="11"/>
  <c r="J16" i="11"/>
  <c r="K16" i="11"/>
  <c r="K9" i="11"/>
  <c r="K15" i="11" s="1"/>
  <c r="K17" i="11" s="1"/>
  <c r="K19" i="11" s="1"/>
  <c r="K21" i="11" s="1"/>
  <c r="K23" i="11" s="1"/>
  <c r="K25" i="11" s="1"/>
  <c r="K27" i="11" s="1"/>
  <c r="C26" i="11"/>
  <c r="G22" i="11"/>
  <c r="J18" i="11"/>
  <c r="C22" i="11"/>
  <c r="J9" i="11"/>
  <c r="G20" i="11"/>
  <c r="F18" i="11"/>
  <c r="I8" i="11"/>
  <c r="I15" i="11" s="1"/>
  <c r="I17" i="11" s="1"/>
  <c r="I19" i="11" s="1"/>
  <c r="I21" i="11" s="1"/>
  <c r="I23" i="11" s="1"/>
  <c r="I25" i="11" s="1"/>
  <c r="I27" i="11" s="1"/>
  <c r="J22" i="11"/>
  <c r="K26" i="11"/>
  <c r="G18" i="11"/>
  <c r="H20" i="11"/>
  <c r="F20" i="11"/>
  <c r="D22" i="11"/>
  <c r="C2" i="3"/>
  <c r="G2" i="3"/>
  <c r="C5" i="23" l="1"/>
  <c r="D35" i="18"/>
  <c r="C18" i="23"/>
  <c r="E5" i="23"/>
  <c r="B32" i="21"/>
  <c r="K121" i="19"/>
  <c r="G75" i="19"/>
  <c r="H75" i="19" s="1"/>
  <c r="J112" i="19"/>
  <c r="I113" i="19"/>
  <c r="J113" i="19" s="1"/>
  <c r="M139" i="19"/>
  <c r="G88" i="19"/>
  <c r="H88" i="19" s="1"/>
  <c r="L103" i="21"/>
  <c r="K103" i="21"/>
  <c r="J103" i="21"/>
  <c r="I103" i="21"/>
  <c r="H103" i="21"/>
  <c r="F103" i="21"/>
  <c r="E103" i="21"/>
  <c r="D103" i="21"/>
  <c r="L138" i="19"/>
  <c r="M138" i="19" s="1"/>
  <c r="I99" i="19"/>
  <c r="J99" i="19" s="1"/>
  <c r="K99" i="19" s="1"/>
  <c r="L99" i="19" s="1"/>
  <c r="G86" i="19"/>
  <c r="H86" i="19" s="1"/>
  <c r="L126" i="19"/>
  <c r="K140" i="19"/>
  <c r="F62" i="19"/>
  <c r="K105" i="19"/>
  <c r="L105" i="19" s="1"/>
  <c r="M105" i="19" s="1"/>
  <c r="G103" i="21"/>
  <c r="I92" i="19"/>
  <c r="J92" i="19" s="1"/>
  <c r="K92" i="19" s="1"/>
  <c r="L92" i="19" s="1"/>
  <c r="M92" i="19" s="1"/>
  <c r="L121" i="19"/>
  <c r="I93" i="19"/>
  <c r="H80" i="19"/>
  <c r="I80" i="19" s="1"/>
  <c r="H79" i="19"/>
  <c r="I79" i="19" s="1"/>
  <c r="M134" i="19"/>
  <c r="E55" i="19"/>
  <c r="J119" i="19"/>
  <c r="K119" i="19" s="1"/>
  <c r="L119" i="19" s="1"/>
  <c r="M119" i="19" s="1"/>
  <c r="I108" i="19"/>
  <c r="J108" i="19" s="1"/>
  <c r="K108" i="19" s="1"/>
  <c r="L108" i="19" s="1"/>
  <c r="K133" i="19"/>
  <c r="L133" i="19" s="1"/>
  <c r="M133" i="19" s="1"/>
  <c r="H81" i="19"/>
  <c r="E54" i="19"/>
  <c r="B46" i="19"/>
  <c r="B61" i="19"/>
  <c r="B74" i="19" s="1"/>
  <c r="B87" i="19" s="1"/>
  <c r="B100" i="19" s="1"/>
  <c r="B113" i="19" s="1"/>
  <c r="B126" i="19" s="1"/>
  <c r="B139" i="19" s="1"/>
  <c r="B152" i="19" s="1"/>
  <c r="B165" i="19" s="1"/>
  <c r="B178" i="19" s="1"/>
  <c r="B191" i="19" s="1"/>
  <c r="G83" i="3"/>
  <c r="D53" i="12"/>
  <c r="D49" i="12" s="1"/>
  <c r="C54" i="12"/>
  <c r="G155" i="2"/>
  <c r="G163" i="2" s="1"/>
  <c r="C9" i="12"/>
  <c r="D11" i="12"/>
  <c r="D2" i="6"/>
  <c r="F37" i="17"/>
  <c r="F27" i="6" s="1"/>
  <c r="K37" i="17"/>
  <c r="K27" i="6" s="1"/>
  <c r="C22" i="9"/>
  <c r="C26" i="12"/>
  <c r="C25" i="12" s="1"/>
  <c r="D26" i="12"/>
  <c r="D25" i="12" s="1"/>
  <c r="D13" i="12"/>
  <c r="C34" i="9"/>
  <c r="C32" i="9" s="1"/>
  <c r="D18" i="4"/>
  <c r="D20" i="4" s="1"/>
  <c r="B8" i="11"/>
  <c r="C9" i="9"/>
  <c r="H15" i="11"/>
  <c r="H17" i="11" s="1"/>
  <c r="H19" i="11" s="1"/>
  <c r="H21" i="11" s="1"/>
  <c r="H23" i="11" s="1"/>
  <c r="H25" i="11" s="1"/>
  <c r="H27" i="11" s="1"/>
  <c r="E15" i="11"/>
  <c r="E17" i="11" s="1"/>
  <c r="E19" i="11" s="1"/>
  <c r="E21" i="11" s="1"/>
  <c r="E23" i="11" s="1"/>
  <c r="E25" i="11" s="1"/>
  <c r="E27" i="11" s="1"/>
  <c r="D55" i="4"/>
  <c r="D59" i="12"/>
  <c r="C44" i="12"/>
  <c r="C40" i="12" s="1"/>
  <c r="D56" i="4"/>
  <c r="G104" i="2"/>
  <c r="G119" i="2" s="1"/>
  <c r="C59" i="12"/>
  <c r="C56" i="12" s="1"/>
  <c r="D20" i="12"/>
  <c r="C11" i="12"/>
  <c r="C7" i="12" s="1"/>
  <c r="D15" i="11"/>
  <c r="D17" i="11" s="1"/>
  <c r="D19" i="11" s="1"/>
  <c r="D21" i="11" s="1"/>
  <c r="D23" i="11" s="1"/>
  <c r="D25" i="11" s="1"/>
  <c r="D27" i="11" s="1"/>
  <c r="D35" i="4"/>
  <c r="D9" i="4"/>
  <c r="G38" i="3"/>
  <c r="G39" i="3" s="1"/>
  <c r="C9" i="11"/>
  <c r="B20" i="11"/>
  <c r="D33" i="4"/>
  <c r="C8" i="11"/>
  <c r="G61" i="3"/>
  <c r="G69" i="3" s="1"/>
  <c r="B22" i="11" s="1"/>
  <c r="C2" i="9"/>
  <c r="C15" i="11"/>
  <c r="C17" i="11" s="1"/>
  <c r="C19" i="11" s="1"/>
  <c r="C21" i="11" s="1"/>
  <c r="C23" i="11" s="1"/>
  <c r="C25" i="11" s="1"/>
  <c r="C27" i="11" s="1"/>
  <c r="I37" i="17"/>
  <c r="J10" i="4" s="1"/>
  <c r="J33" i="4" s="1"/>
  <c r="G27" i="6"/>
  <c r="H10" i="4"/>
  <c r="H33" i="4" s="1"/>
  <c r="E27" i="6"/>
  <c r="F10" i="4"/>
  <c r="F33" i="4" s="1"/>
  <c r="I27" i="6"/>
  <c r="D183" i="19"/>
  <c r="D187" i="19" s="1"/>
  <c r="B34" i="21"/>
  <c r="B35" i="21"/>
  <c r="M37" i="17"/>
  <c r="L135" i="21"/>
  <c r="H37" i="17"/>
  <c r="L37" i="17"/>
  <c r="K135" i="21"/>
  <c r="J37" i="17"/>
  <c r="I135" i="21"/>
  <c r="D37" i="17"/>
  <c r="E22" i="23" s="1"/>
  <c r="E28" i="23" s="1"/>
  <c r="F28" i="23" s="1"/>
  <c r="C135" i="21"/>
  <c r="C15" i="6"/>
  <c r="C39" i="6" s="1"/>
  <c r="C45" i="6" s="1"/>
  <c r="C54" i="6" s="1"/>
  <c r="F8" i="14"/>
  <c r="G8" i="14" s="1"/>
  <c r="H8" i="14" s="1"/>
  <c r="I8" i="14" s="1"/>
  <c r="J8" i="14" s="1"/>
  <c r="K8" i="14" s="1"/>
  <c r="L8" i="14" s="1"/>
  <c r="M8" i="14" s="1"/>
  <c r="N8" i="14" s="1"/>
  <c r="D2" i="11"/>
  <c r="C2" i="11"/>
  <c r="B2" i="11"/>
  <c r="G58" i="2"/>
  <c r="G61" i="2" s="1"/>
  <c r="C31" i="12" s="1"/>
  <c r="C2" i="17"/>
  <c r="D2" i="17" s="1"/>
  <c r="D190" i="19"/>
  <c r="C103" i="21"/>
  <c r="D24" i="21"/>
  <c r="E18" i="21" s="1"/>
  <c r="J114" i="19"/>
  <c r="K114" i="19" s="1"/>
  <c r="E190" i="19"/>
  <c r="F60" i="19"/>
  <c r="G60" i="19" s="1"/>
  <c r="I75" i="19"/>
  <c r="H87" i="19"/>
  <c r="I87" i="19" s="1"/>
  <c r="J87" i="19" s="1"/>
  <c r="F73" i="19"/>
  <c r="M126" i="19"/>
  <c r="H100" i="19"/>
  <c r="F61" i="19"/>
  <c r="D191" i="19"/>
  <c r="J127" i="19"/>
  <c r="F192" i="19"/>
  <c r="G74" i="19"/>
  <c r="H74" i="19" s="1"/>
  <c r="E191" i="19"/>
  <c r="I101" i="19"/>
  <c r="J101" i="19" s="1"/>
  <c r="K125" i="19"/>
  <c r="J107" i="19"/>
  <c r="K107" i="19"/>
  <c r="E183" i="19"/>
  <c r="F53" i="19"/>
  <c r="I81" i="19"/>
  <c r="G67" i="19"/>
  <c r="H67" i="19" s="1"/>
  <c r="L131" i="19"/>
  <c r="M131" i="19" s="1"/>
  <c r="F66" i="19"/>
  <c r="G66" i="19" s="1"/>
  <c r="M121" i="19"/>
  <c r="I95" i="19"/>
  <c r="H69" i="19"/>
  <c r="J120" i="19"/>
  <c r="F54" i="19"/>
  <c r="J95" i="19"/>
  <c r="K95" i="19" s="1"/>
  <c r="I82" i="19"/>
  <c r="E56" i="19"/>
  <c r="F56" i="19" s="1"/>
  <c r="F186" i="19" s="1"/>
  <c r="I94" i="19"/>
  <c r="J94" i="19" s="1"/>
  <c r="K94" i="19" s="1"/>
  <c r="I106" i="19"/>
  <c r="E184" i="19"/>
  <c r="K118" i="19"/>
  <c r="G68" i="19"/>
  <c r="D70" i="4"/>
  <c r="D69" i="4"/>
  <c r="D2" i="12"/>
  <c r="H53" i="2"/>
  <c r="H57" i="2"/>
  <c r="H21" i="2"/>
  <c r="H5" i="2"/>
  <c r="H49" i="2"/>
  <c r="H28" i="2"/>
  <c r="D44" i="4" s="1"/>
  <c r="H45" i="2"/>
  <c r="H36" i="2"/>
  <c r="E3" i="18"/>
  <c r="C16" i="9"/>
  <c r="B9" i="11"/>
  <c r="B15" i="11" s="1"/>
  <c r="B17" i="11" s="1"/>
  <c r="B19" i="11" s="1"/>
  <c r="C3" i="9"/>
  <c r="C14" i="9" s="1"/>
  <c r="C20" i="9" s="1"/>
  <c r="C30" i="9" s="1"/>
  <c r="F8" i="11"/>
  <c r="F15" i="11" s="1"/>
  <c r="F17" i="11" s="1"/>
  <c r="F19" i="11" s="1"/>
  <c r="F21" i="11" s="1"/>
  <c r="F23" i="11" s="1"/>
  <c r="F25" i="11" s="1"/>
  <c r="F27" i="11" s="1"/>
  <c r="D27" i="4"/>
  <c r="D44" i="12"/>
  <c r="D40" i="12" s="1"/>
  <c r="G232" i="2"/>
  <c r="G237" i="2" s="1"/>
  <c r="H232" i="2"/>
  <c r="C49" i="12"/>
  <c r="H155" i="2"/>
  <c r="D56" i="12"/>
  <c r="D75" i="4"/>
  <c r="D9" i="12"/>
  <c r="D7" i="12" s="1"/>
  <c r="H104" i="2"/>
  <c r="H119" i="2" s="1"/>
  <c r="D24" i="4"/>
  <c r="D17" i="12"/>
  <c r="C17" i="12"/>
  <c r="C23" i="21"/>
  <c r="D2" i="3"/>
  <c r="F3" i="18" l="1"/>
  <c r="E35" i="18"/>
  <c r="L10" i="4"/>
  <c r="L33" i="4" s="1"/>
  <c r="E18" i="23"/>
  <c r="G5" i="23"/>
  <c r="G18" i="23" s="1"/>
  <c r="G10" i="4"/>
  <c r="G33" i="4" s="1"/>
  <c r="J79" i="19"/>
  <c r="K79" i="19" s="1"/>
  <c r="J75" i="19"/>
  <c r="K75" i="19" s="1"/>
  <c r="I86" i="19"/>
  <c r="J86" i="19"/>
  <c r="K86" i="19" s="1"/>
  <c r="L86" i="19" s="1"/>
  <c r="I88" i="19"/>
  <c r="L140" i="19"/>
  <c r="M140" i="19" s="1"/>
  <c r="K101" i="19"/>
  <c r="L101" i="19" s="1"/>
  <c r="K113" i="19"/>
  <c r="L113" i="19" s="1"/>
  <c r="M113" i="19" s="1"/>
  <c r="L125" i="19"/>
  <c r="M125" i="19" s="1"/>
  <c r="G62" i="19"/>
  <c r="K112" i="19"/>
  <c r="L112" i="19" s="1"/>
  <c r="J80" i="19"/>
  <c r="K80" i="19" s="1"/>
  <c r="L80" i="19" s="1"/>
  <c r="M80" i="19" s="1"/>
  <c r="E185" i="19"/>
  <c r="F55" i="19"/>
  <c r="M107" i="19"/>
  <c r="J93" i="19"/>
  <c r="K93" i="19" s="1"/>
  <c r="G56" i="19"/>
  <c r="G186" i="19" s="1"/>
  <c r="L107" i="19"/>
  <c r="E2" i="6"/>
  <c r="C38" i="9"/>
  <c r="C37" i="9" s="1"/>
  <c r="C40" i="9" s="1"/>
  <c r="C44" i="9" s="1"/>
  <c r="D32" i="4"/>
  <c r="D36" i="4" s="1"/>
  <c r="B21" i="11"/>
  <c r="B23" i="11" s="1"/>
  <c r="B25" i="11" s="1"/>
  <c r="B27" i="11" s="1"/>
  <c r="D10" i="4"/>
  <c r="D54" i="4"/>
  <c r="C33" i="12"/>
  <c r="D48" i="4"/>
  <c r="G62" i="2"/>
  <c r="G124" i="2" s="1"/>
  <c r="G238" i="2" s="1"/>
  <c r="E2" i="11"/>
  <c r="D27" i="6"/>
  <c r="E10" i="4"/>
  <c r="E33" i="4" s="1"/>
  <c r="M10" i="4"/>
  <c r="M33" i="4" s="1"/>
  <c r="L27" i="6"/>
  <c r="I10" i="4"/>
  <c r="I33" i="4" s="1"/>
  <c r="H27" i="6"/>
  <c r="J27" i="6"/>
  <c r="K10" i="4"/>
  <c r="K33" i="4" s="1"/>
  <c r="H58" i="2"/>
  <c r="H61" i="2" s="1"/>
  <c r="D43" i="4"/>
  <c r="D42" i="4" s="1"/>
  <c r="D193" i="19"/>
  <c r="D17" i="21"/>
  <c r="D23" i="21" s="1"/>
  <c r="E17" i="21" s="1"/>
  <c r="E24" i="21"/>
  <c r="L114" i="19"/>
  <c r="F191" i="19"/>
  <c r="K87" i="19"/>
  <c r="L87" i="19" s="1"/>
  <c r="M87" i="19" s="1"/>
  <c r="F190" i="19"/>
  <c r="E193" i="19"/>
  <c r="M114" i="19"/>
  <c r="I74" i="19"/>
  <c r="J74" i="19" s="1"/>
  <c r="G73" i="19"/>
  <c r="M99" i="19"/>
  <c r="G61" i="19"/>
  <c r="H61" i="19" s="1"/>
  <c r="K127" i="19"/>
  <c r="I100" i="19"/>
  <c r="J100" i="19" s="1"/>
  <c r="H60" i="19"/>
  <c r="I67" i="19"/>
  <c r="J67" i="19" s="1"/>
  <c r="K67" i="19" s="1"/>
  <c r="L95" i="19"/>
  <c r="M95" i="19" s="1"/>
  <c r="K120" i="19"/>
  <c r="M108" i="19"/>
  <c r="L94" i="19"/>
  <c r="M94" i="19" s="1"/>
  <c r="F184" i="19"/>
  <c r="H68" i="19"/>
  <c r="G53" i="19"/>
  <c r="J81" i="19"/>
  <c r="K81" i="19" s="1"/>
  <c r="L118" i="19"/>
  <c r="M118" i="19" s="1"/>
  <c r="L120" i="19"/>
  <c r="E186" i="19"/>
  <c r="G54" i="19"/>
  <c r="H66" i="19"/>
  <c r="I66" i="19" s="1"/>
  <c r="J82" i="19"/>
  <c r="F183" i="19"/>
  <c r="J106" i="19"/>
  <c r="K106" i="19" s="1"/>
  <c r="I69" i="19"/>
  <c r="J69" i="19" s="1"/>
  <c r="D47" i="4"/>
  <c r="C3" i="21"/>
  <c r="E2" i="17"/>
  <c r="D14" i="19"/>
  <c r="G84" i="3"/>
  <c r="G91" i="3" s="1"/>
  <c r="D8" i="4" s="1"/>
  <c r="D29" i="4"/>
  <c r="D63" i="12"/>
  <c r="C63" i="12"/>
  <c r="J128" i="2"/>
  <c r="D71" i="4"/>
  <c r="D72" i="4" s="1"/>
  <c r="H163" i="2"/>
  <c r="C20" i="21"/>
  <c r="G3" i="18" l="1"/>
  <c r="F35" i="18"/>
  <c r="D24" i="17"/>
  <c r="L79" i="19"/>
  <c r="M79" i="19" s="1"/>
  <c r="E187" i="19"/>
  <c r="L75" i="19"/>
  <c r="M75" i="19" s="1"/>
  <c r="G192" i="19"/>
  <c r="M101" i="19"/>
  <c r="H62" i="19"/>
  <c r="I62" i="19" s="1"/>
  <c r="I192" i="19" s="1"/>
  <c r="K88" i="19"/>
  <c r="F193" i="19"/>
  <c r="M112" i="19"/>
  <c r="J88" i="19"/>
  <c r="L88" i="19" s="1"/>
  <c r="F185" i="19"/>
  <c r="F187" i="19" s="1"/>
  <c r="L93" i="19"/>
  <c r="M93" i="19" s="1"/>
  <c r="G55" i="19"/>
  <c r="M120" i="19"/>
  <c r="L67" i="19"/>
  <c r="H56" i="19"/>
  <c r="D13" i="4"/>
  <c r="D38" i="4" s="1"/>
  <c r="F2" i="6"/>
  <c r="D46" i="4"/>
  <c r="F18" i="21"/>
  <c r="F24" i="21" s="1"/>
  <c r="H191" i="19"/>
  <c r="I61" i="19"/>
  <c r="I191" i="19" s="1"/>
  <c r="K74" i="19"/>
  <c r="L74" i="19"/>
  <c r="H73" i="19"/>
  <c r="H190" i="19" s="1"/>
  <c r="G190" i="19"/>
  <c r="K100" i="19"/>
  <c r="L100" i="19" s="1"/>
  <c r="G191" i="19"/>
  <c r="M86" i="19"/>
  <c r="L127" i="19"/>
  <c r="I60" i="19"/>
  <c r="M67" i="19"/>
  <c r="G184" i="19"/>
  <c r="K82" i="19"/>
  <c r="L82" i="19"/>
  <c r="G183" i="19"/>
  <c r="L106" i="19"/>
  <c r="M106" i="19" s="1"/>
  <c r="K69" i="19"/>
  <c r="L69" i="19" s="1"/>
  <c r="L81" i="19"/>
  <c r="M81" i="19" s="1"/>
  <c r="J66" i="19"/>
  <c r="K66" i="19" s="1"/>
  <c r="L66" i="19" s="1"/>
  <c r="I68" i="19"/>
  <c r="H54" i="19"/>
  <c r="H184" i="19" s="1"/>
  <c r="H53" i="19"/>
  <c r="H183" i="19" s="1"/>
  <c r="F2" i="11"/>
  <c r="D15" i="6"/>
  <c r="D39" i="6" s="1"/>
  <c r="D45" i="6" s="1"/>
  <c r="D54" i="6" s="1"/>
  <c r="H62" i="2"/>
  <c r="D52" i="4"/>
  <c r="D51" i="4"/>
  <c r="D31" i="12"/>
  <c r="D33" i="12" s="1"/>
  <c r="D3" i="21"/>
  <c r="E14" i="19"/>
  <c r="F2" i="17"/>
  <c r="C73" i="21"/>
  <c r="C55" i="21"/>
  <c r="C91" i="21" s="1"/>
  <c r="C64" i="21"/>
  <c r="C118" i="21"/>
  <c r="C130" i="21" s="1"/>
  <c r="C31" i="21"/>
  <c r="C10" i="21"/>
  <c r="C16" i="21"/>
  <c r="C22" i="21" s="1"/>
  <c r="D29" i="19"/>
  <c r="D34" i="19" s="1"/>
  <c r="D38" i="19" s="1"/>
  <c r="E4" i="22"/>
  <c r="C4" i="22" s="1"/>
  <c r="D22" i="19"/>
  <c r="D52" i="19" s="1"/>
  <c r="D65" i="19" s="1"/>
  <c r="D78" i="19" s="1"/>
  <c r="D91" i="19" s="1"/>
  <c r="D104" i="19" s="1"/>
  <c r="D117" i="19" s="1"/>
  <c r="D130" i="19" s="1"/>
  <c r="D143" i="19" s="1"/>
  <c r="D156" i="19" s="1"/>
  <c r="D169" i="19" s="1"/>
  <c r="D182" i="19" s="1"/>
  <c r="E4" i="20"/>
  <c r="C4" i="20" s="1"/>
  <c r="H237" i="2"/>
  <c r="H3" i="18" l="1"/>
  <c r="G35" i="18"/>
  <c r="M74" i="19"/>
  <c r="G193" i="19"/>
  <c r="J61" i="19"/>
  <c r="J191" i="19" s="1"/>
  <c r="M88" i="19"/>
  <c r="H192" i="19"/>
  <c r="H193" i="19" s="1"/>
  <c r="K62" i="19"/>
  <c r="K192" i="19" s="1"/>
  <c r="J62" i="19"/>
  <c r="J192" i="19" s="1"/>
  <c r="M82" i="19"/>
  <c r="G185" i="19"/>
  <c r="G187" i="19" s="1"/>
  <c r="H186" i="19"/>
  <c r="I56" i="19"/>
  <c r="J56" i="19" s="1"/>
  <c r="J186" i="19" s="1"/>
  <c r="H55" i="19"/>
  <c r="G2" i="6"/>
  <c r="E15" i="6"/>
  <c r="E39" i="6" s="1"/>
  <c r="E45" i="6" s="1"/>
  <c r="E54" i="6" s="1"/>
  <c r="D50" i="4"/>
  <c r="D59" i="4" s="1"/>
  <c r="I53" i="19"/>
  <c r="I183" i="19" s="1"/>
  <c r="G18" i="21"/>
  <c r="G24" i="21" s="1"/>
  <c r="H18" i="21" s="1"/>
  <c r="J60" i="19"/>
  <c r="M100" i="19"/>
  <c r="M127" i="19"/>
  <c r="I73" i="19"/>
  <c r="I190" i="19" s="1"/>
  <c r="I193" i="19" s="1"/>
  <c r="K61" i="19"/>
  <c r="M66" i="19"/>
  <c r="J68" i="19"/>
  <c r="K68" i="19" s="1"/>
  <c r="I54" i="19"/>
  <c r="I184" i="19" s="1"/>
  <c r="M69" i="19"/>
  <c r="H124" i="2"/>
  <c r="H238" i="2" s="1"/>
  <c r="G2" i="11"/>
  <c r="F14" i="19"/>
  <c r="G2" i="17"/>
  <c r="E3" i="21"/>
  <c r="F4" i="20"/>
  <c r="E22" i="19"/>
  <c r="E52" i="19" s="1"/>
  <c r="E65" i="19" s="1"/>
  <c r="E78" i="19" s="1"/>
  <c r="E91" i="19" s="1"/>
  <c r="E104" i="19" s="1"/>
  <c r="E117" i="19" s="1"/>
  <c r="E130" i="19" s="1"/>
  <c r="E143" i="19" s="1"/>
  <c r="E156" i="19" s="1"/>
  <c r="E169" i="19" s="1"/>
  <c r="E182" i="19" s="1"/>
  <c r="E29" i="19"/>
  <c r="E34" i="19" s="1"/>
  <c r="E38" i="19" s="1"/>
  <c r="F4" i="22"/>
  <c r="D55" i="21"/>
  <c r="D91" i="21" s="1"/>
  <c r="D73" i="21"/>
  <c r="D64" i="21"/>
  <c r="D10" i="21"/>
  <c r="D31" i="21"/>
  <c r="D16" i="21"/>
  <c r="D22" i="21" s="1"/>
  <c r="D118" i="21"/>
  <c r="D130" i="21" s="1"/>
  <c r="E23" i="21"/>
  <c r="I3" i="18" l="1"/>
  <c r="H35" i="18"/>
  <c r="L62" i="19"/>
  <c r="L192" i="19" s="1"/>
  <c r="I186" i="19"/>
  <c r="K56" i="19"/>
  <c r="L56" i="19" s="1"/>
  <c r="L186" i="19" s="1"/>
  <c r="H185" i="19"/>
  <c r="H187" i="19" s="1"/>
  <c r="I55" i="19"/>
  <c r="J55" i="19" s="1"/>
  <c r="J185" i="19" s="1"/>
  <c r="D74" i="4"/>
  <c r="D76" i="4" s="1"/>
  <c r="E75" i="4" s="1"/>
  <c r="H2" i="6"/>
  <c r="J53" i="19"/>
  <c r="J183" i="19" s="1"/>
  <c r="F15" i="6"/>
  <c r="F39" i="6" s="1"/>
  <c r="F45" i="6" s="1"/>
  <c r="F54" i="6" s="1"/>
  <c r="K60" i="19"/>
  <c r="L60" i="19" s="1"/>
  <c r="H24" i="21"/>
  <c r="F17" i="21"/>
  <c r="F23" i="21" s="1"/>
  <c r="K191" i="19"/>
  <c r="L61" i="19"/>
  <c r="L191" i="19" s="1"/>
  <c r="J73" i="19"/>
  <c r="K73" i="19" s="1"/>
  <c r="J54" i="19"/>
  <c r="L68" i="19"/>
  <c r="H2" i="11"/>
  <c r="E31" i="21"/>
  <c r="E64" i="21"/>
  <c r="E10" i="21"/>
  <c r="E55" i="21"/>
  <c r="E91" i="21" s="1"/>
  <c r="E118" i="21"/>
  <c r="E130" i="21" s="1"/>
  <c r="E73" i="21"/>
  <c r="E16" i="21"/>
  <c r="E22" i="21" s="1"/>
  <c r="H2" i="17"/>
  <c r="F3" i="21"/>
  <c r="G14" i="19"/>
  <c r="G4" i="22"/>
  <c r="F22" i="19"/>
  <c r="F52" i="19" s="1"/>
  <c r="F65" i="19" s="1"/>
  <c r="F78" i="19" s="1"/>
  <c r="F91" i="19" s="1"/>
  <c r="F104" i="19" s="1"/>
  <c r="F117" i="19" s="1"/>
  <c r="F130" i="19" s="1"/>
  <c r="F143" i="19" s="1"/>
  <c r="F156" i="19" s="1"/>
  <c r="F169" i="19" s="1"/>
  <c r="F182" i="19" s="1"/>
  <c r="G4" i="20"/>
  <c r="F29" i="19"/>
  <c r="F34" i="19" s="1"/>
  <c r="F38" i="19" s="1"/>
  <c r="J3" i="18" l="1"/>
  <c r="I35" i="18"/>
  <c r="M62" i="19"/>
  <c r="M192" i="19" s="1"/>
  <c r="K186" i="19"/>
  <c r="M56" i="19"/>
  <c r="M186" i="19" s="1"/>
  <c r="K53" i="19"/>
  <c r="K183" i="19" s="1"/>
  <c r="I185" i="19"/>
  <c r="I187" i="19" s="1"/>
  <c r="K55" i="19"/>
  <c r="L55" i="19" s="1"/>
  <c r="L185" i="19" s="1"/>
  <c r="I2" i="6"/>
  <c r="G15" i="6"/>
  <c r="G39" i="6" s="1"/>
  <c r="G45" i="6" s="1"/>
  <c r="G54" i="6" s="1"/>
  <c r="M60" i="19"/>
  <c r="I18" i="21"/>
  <c r="I24" i="21" s="1"/>
  <c r="J18" i="21" s="1"/>
  <c r="G17" i="21"/>
  <c r="G23" i="21" s="1"/>
  <c r="L73" i="19"/>
  <c r="L190" i="19" s="1"/>
  <c r="L193" i="19" s="1"/>
  <c r="K190" i="19"/>
  <c r="K193" i="19" s="1"/>
  <c r="M61" i="19"/>
  <c r="M191" i="19" s="1"/>
  <c r="J190" i="19"/>
  <c r="J193" i="19" s="1"/>
  <c r="M68" i="19"/>
  <c r="J184" i="19"/>
  <c r="J187" i="19" s="1"/>
  <c r="K54" i="19"/>
  <c r="K184" i="19" s="1"/>
  <c r="H15" i="6"/>
  <c r="H39" i="6" s="1"/>
  <c r="H45" i="6" s="1"/>
  <c r="H54" i="6" s="1"/>
  <c r="I2" i="11"/>
  <c r="H14" i="19"/>
  <c r="I2" i="17"/>
  <c r="G3" i="21"/>
  <c r="H4" i="20"/>
  <c r="G29" i="19"/>
  <c r="G34" i="19" s="1"/>
  <c r="G38" i="19" s="1"/>
  <c r="H4" i="22"/>
  <c r="G22" i="19"/>
  <c r="G52" i="19" s="1"/>
  <c r="G65" i="19" s="1"/>
  <c r="G78" i="19" s="1"/>
  <c r="G91" i="19" s="1"/>
  <c r="G104" i="19" s="1"/>
  <c r="G117" i="19" s="1"/>
  <c r="G130" i="19" s="1"/>
  <c r="G143" i="19" s="1"/>
  <c r="G156" i="19" s="1"/>
  <c r="G169" i="19" s="1"/>
  <c r="G182" i="19" s="1"/>
  <c r="F73" i="21"/>
  <c r="F10" i="21"/>
  <c r="F31" i="21"/>
  <c r="F118" i="21"/>
  <c r="F130" i="21" s="1"/>
  <c r="F55" i="21"/>
  <c r="F91" i="21" s="1"/>
  <c r="F64" i="21"/>
  <c r="F16" i="21"/>
  <c r="F22" i="21" s="1"/>
  <c r="K3" i="18" l="1"/>
  <c r="J35" i="18"/>
  <c r="M73" i="19"/>
  <c r="M190" i="19" s="1"/>
  <c r="M193" i="19" s="1"/>
  <c r="L53" i="19"/>
  <c r="L183" i="19" s="1"/>
  <c r="K185" i="19"/>
  <c r="K187" i="19" s="1"/>
  <c r="M55" i="19"/>
  <c r="M185" i="19" s="1"/>
  <c r="J2" i="6"/>
  <c r="C4" i="21"/>
  <c r="J24" i="21"/>
  <c r="K18" i="21" s="1"/>
  <c r="M53" i="19"/>
  <c r="M183" i="19" s="1"/>
  <c r="H17" i="21"/>
  <c r="H23" i="21" s="1"/>
  <c r="L54" i="19"/>
  <c r="L184" i="19" s="1"/>
  <c r="J2" i="11"/>
  <c r="I15" i="6"/>
  <c r="I39" i="6" s="1"/>
  <c r="I45" i="6" s="1"/>
  <c r="I54" i="6" s="1"/>
  <c r="G31" i="21"/>
  <c r="G55" i="21"/>
  <c r="G91" i="21" s="1"/>
  <c r="G16" i="21"/>
  <c r="G22" i="21" s="1"/>
  <c r="G73" i="21"/>
  <c r="G10" i="21"/>
  <c r="G64" i="21"/>
  <c r="G118" i="21"/>
  <c r="G130" i="21" s="1"/>
  <c r="J2" i="17"/>
  <c r="H3" i="21"/>
  <c r="I14" i="19"/>
  <c r="H22" i="19"/>
  <c r="H52" i="19" s="1"/>
  <c r="H65" i="19" s="1"/>
  <c r="H78" i="19" s="1"/>
  <c r="H91" i="19" s="1"/>
  <c r="H104" i="19" s="1"/>
  <c r="H117" i="19" s="1"/>
  <c r="H130" i="19" s="1"/>
  <c r="H143" i="19" s="1"/>
  <c r="H156" i="19" s="1"/>
  <c r="H169" i="19" s="1"/>
  <c r="H182" i="19" s="1"/>
  <c r="I4" i="20"/>
  <c r="I4" i="22"/>
  <c r="H29" i="19"/>
  <c r="H34" i="19" s="1"/>
  <c r="H38" i="19" s="1"/>
  <c r="L3" i="18" l="1"/>
  <c r="K35" i="18"/>
  <c r="L187" i="19"/>
  <c r="M54" i="19"/>
  <c r="M184" i="19" s="1"/>
  <c r="M187" i="19" s="1"/>
  <c r="K24" i="21"/>
  <c r="L18" i="21" s="1"/>
  <c r="K2" i="6"/>
  <c r="C11" i="21"/>
  <c r="G7" i="21"/>
  <c r="D5" i="21"/>
  <c r="D19" i="21"/>
  <c r="D20" i="21" s="1"/>
  <c r="E24" i="17" s="1"/>
  <c r="I17" i="21"/>
  <c r="I23" i="21" s="1"/>
  <c r="I6" i="21"/>
  <c r="L24" i="21"/>
  <c r="K2" i="11"/>
  <c r="J15" i="6"/>
  <c r="J39" i="6" s="1"/>
  <c r="J45" i="6" s="1"/>
  <c r="J54" i="6" s="1"/>
  <c r="J14" i="19"/>
  <c r="I3" i="21"/>
  <c r="K2" i="17"/>
  <c r="I29" i="19"/>
  <c r="I34" i="19" s="1"/>
  <c r="I38" i="19" s="1"/>
  <c r="I22" i="19"/>
  <c r="I52" i="19" s="1"/>
  <c r="I65" i="19" s="1"/>
  <c r="I78" i="19" s="1"/>
  <c r="I91" i="19" s="1"/>
  <c r="I104" i="19" s="1"/>
  <c r="I117" i="19" s="1"/>
  <c r="I130" i="19" s="1"/>
  <c r="I143" i="19" s="1"/>
  <c r="I156" i="19" s="1"/>
  <c r="I169" i="19" s="1"/>
  <c r="I182" i="19" s="1"/>
  <c r="J4" i="22"/>
  <c r="J4" i="20"/>
  <c r="H31" i="21"/>
  <c r="H16" i="21"/>
  <c r="H22" i="21" s="1"/>
  <c r="H64" i="21"/>
  <c r="H118" i="21"/>
  <c r="H130" i="21" s="1"/>
  <c r="H55" i="21"/>
  <c r="H91" i="21" s="1"/>
  <c r="H73" i="21"/>
  <c r="H10" i="21"/>
  <c r="M3" i="18" l="1"/>
  <c r="L35" i="18"/>
  <c r="L2" i="6"/>
  <c r="C7" i="17"/>
  <c r="D4" i="17" s="1"/>
  <c r="C18" i="17"/>
  <c r="D18" i="17" s="1"/>
  <c r="E18" i="17" s="1"/>
  <c r="F18" i="17" s="1"/>
  <c r="G18" i="17" s="1"/>
  <c r="H18" i="17" s="1"/>
  <c r="C33" i="17"/>
  <c r="C26" i="17"/>
  <c r="D26" i="17" s="1"/>
  <c r="E26" i="17" s="1"/>
  <c r="F26" i="17" s="1"/>
  <c r="G26" i="17" s="1"/>
  <c r="H26" i="17" s="1"/>
  <c r="I26" i="17" s="1"/>
  <c r="J26" i="17" s="1"/>
  <c r="K26" i="17" s="1"/>
  <c r="L26" i="17" s="1"/>
  <c r="M26" i="17" s="1"/>
  <c r="C6" i="17"/>
  <c r="C34" i="17"/>
  <c r="C42" i="17"/>
  <c r="C33" i="6" s="1"/>
  <c r="C5" i="17"/>
  <c r="C28" i="17"/>
  <c r="C23" i="17"/>
  <c r="C11" i="17"/>
  <c r="C12" i="17"/>
  <c r="D10" i="17" s="1"/>
  <c r="C27" i="17"/>
  <c r="C4" i="17"/>
  <c r="C17" i="17"/>
  <c r="C38" i="17"/>
  <c r="C37" i="17" s="1"/>
  <c r="C25" i="17"/>
  <c r="D25" i="17" s="1"/>
  <c r="C24" i="17"/>
  <c r="E5" i="21"/>
  <c r="H7" i="21"/>
  <c r="D4" i="21"/>
  <c r="J17" i="21"/>
  <c r="J6" i="21"/>
  <c r="K15" i="6"/>
  <c r="K39" i="6" s="1"/>
  <c r="K45" i="6" s="1"/>
  <c r="K54" i="6" s="1"/>
  <c r="J3" i="21"/>
  <c r="K14" i="19"/>
  <c r="L2" i="17"/>
  <c r="I10" i="21"/>
  <c r="I31" i="21"/>
  <c r="I118" i="21"/>
  <c r="I130" i="21" s="1"/>
  <c r="I73" i="21"/>
  <c r="I55" i="21"/>
  <c r="I91" i="21" s="1"/>
  <c r="I64" i="21"/>
  <c r="I16" i="21"/>
  <c r="I22" i="21" s="1"/>
  <c r="K4" i="20"/>
  <c r="J22" i="19"/>
  <c r="J52" i="19" s="1"/>
  <c r="J65" i="19" s="1"/>
  <c r="J78" i="19" s="1"/>
  <c r="J91" i="19" s="1"/>
  <c r="J104" i="19" s="1"/>
  <c r="J117" i="19" s="1"/>
  <c r="J130" i="19" s="1"/>
  <c r="J143" i="19" s="1"/>
  <c r="J156" i="19" s="1"/>
  <c r="J169" i="19" s="1"/>
  <c r="J182" i="19" s="1"/>
  <c r="J29" i="19"/>
  <c r="J34" i="19" s="1"/>
  <c r="J38" i="19" s="1"/>
  <c r="K4" i="22"/>
  <c r="N3" i="18" l="1"/>
  <c r="N35" i="18" s="1"/>
  <c r="M35" i="18"/>
  <c r="C20" i="23"/>
  <c r="C27" i="6"/>
  <c r="C22" i="23"/>
  <c r="C19" i="23"/>
  <c r="C32" i="17"/>
  <c r="C30" i="6" s="1"/>
  <c r="E10" i="17"/>
  <c r="E15" i="18"/>
  <c r="D17" i="17"/>
  <c r="C16" i="17"/>
  <c r="C9" i="17"/>
  <c r="D5" i="17"/>
  <c r="C3" i="17"/>
  <c r="C24" i="6"/>
  <c r="C22" i="17"/>
  <c r="E25" i="17"/>
  <c r="C108" i="21"/>
  <c r="D27" i="17"/>
  <c r="C21" i="6"/>
  <c r="C82" i="21"/>
  <c r="D28" i="17"/>
  <c r="E14" i="18"/>
  <c r="E4" i="17"/>
  <c r="F5" i="21"/>
  <c r="I7" i="21"/>
  <c r="I18" i="17"/>
  <c r="D11" i="21"/>
  <c r="E19" i="21"/>
  <c r="E20" i="21" s="1"/>
  <c r="F24" i="17" s="1"/>
  <c r="J23" i="21"/>
  <c r="K17" i="21" s="1"/>
  <c r="K6" i="21"/>
  <c r="D21" i="18"/>
  <c r="L15" i="6"/>
  <c r="L39" i="6" s="1"/>
  <c r="L45" i="6" s="1"/>
  <c r="L54" i="6" s="1"/>
  <c r="L14" i="19"/>
  <c r="M2" i="17"/>
  <c r="K3" i="21"/>
  <c r="L4" i="20"/>
  <c r="K22" i="19"/>
  <c r="K52" i="19" s="1"/>
  <c r="K65" i="19" s="1"/>
  <c r="K78" i="19" s="1"/>
  <c r="K91" i="19" s="1"/>
  <c r="K104" i="19" s="1"/>
  <c r="K117" i="19" s="1"/>
  <c r="K130" i="19" s="1"/>
  <c r="K143" i="19" s="1"/>
  <c r="K156" i="19" s="1"/>
  <c r="K169" i="19" s="1"/>
  <c r="K182" i="19" s="1"/>
  <c r="L4" i="22"/>
  <c r="K29" i="19"/>
  <c r="K34" i="19" s="1"/>
  <c r="K38" i="19" s="1"/>
  <c r="J55" i="21"/>
  <c r="J91" i="21" s="1"/>
  <c r="J64" i="21"/>
  <c r="J31" i="21"/>
  <c r="J118" i="21"/>
  <c r="J130" i="21" s="1"/>
  <c r="J16" i="21"/>
  <c r="J22" i="21" s="1"/>
  <c r="J73" i="21"/>
  <c r="J10" i="21"/>
  <c r="E19" i="23" l="1"/>
  <c r="E13" i="18"/>
  <c r="F25" i="17"/>
  <c r="D108" i="21"/>
  <c r="C56" i="21"/>
  <c r="E5" i="17"/>
  <c r="D3" i="17"/>
  <c r="E17" i="17"/>
  <c r="D16" i="17"/>
  <c r="C74" i="21"/>
  <c r="E16" i="4"/>
  <c r="D82" i="21"/>
  <c r="E28" i="17"/>
  <c r="E3" i="17"/>
  <c r="E11" i="17" s="1"/>
  <c r="F4" i="17"/>
  <c r="F14" i="18"/>
  <c r="C17" i="6"/>
  <c r="C14" i="17"/>
  <c r="C81" i="21"/>
  <c r="C102" i="21" s="1"/>
  <c r="D21" i="6"/>
  <c r="C134" i="21"/>
  <c r="E27" i="17"/>
  <c r="C18" i="6"/>
  <c r="F10" i="17"/>
  <c r="F15" i="18"/>
  <c r="C5" i="19"/>
  <c r="C5" i="21" s="1"/>
  <c r="D29" i="18"/>
  <c r="D31" i="18"/>
  <c r="D47" i="18"/>
  <c r="D58" i="18"/>
  <c r="E58" i="18" s="1"/>
  <c r="F58" i="18" s="1"/>
  <c r="G58" i="18" s="1"/>
  <c r="H58" i="18" s="1"/>
  <c r="I58" i="18" s="1"/>
  <c r="J58" i="18" s="1"/>
  <c r="D57" i="18"/>
  <c r="D59" i="18"/>
  <c r="E59" i="18" s="1"/>
  <c r="F59" i="18" s="1"/>
  <c r="G59" i="18" s="1"/>
  <c r="H59" i="18" s="1"/>
  <c r="I59" i="18" s="1"/>
  <c r="J59" i="18" s="1"/>
  <c r="K59" i="18" s="1"/>
  <c r="L59" i="18" s="1"/>
  <c r="M59" i="18" s="1"/>
  <c r="N59" i="18" s="1"/>
  <c r="D61" i="18"/>
  <c r="D51" i="18"/>
  <c r="D8" i="18"/>
  <c r="C55" i="6" s="1"/>
  <c r="D38" i="18"/>
  <c r="D42" i="18"/>
  <c r="D15" i="18"/>
  <c r="D45" i="18"/>
  <c r="E45" i="18" s="1"/>
  <c r="F45" i="18" s="1"/>
  <c r="G45" i="18" s="1"/>
  <c r="H45" i="18" s="1"/>
  <c r="I45" i="18" s="1"/>
  <c r="J45" i="18" s="1"/>
  <c r="K45" i="18" s="1"/>
  <c r="L45" i="18" s="1"/>
  <c r="M45" i="18" s="1"/>
  <c r="N45" i="18" s="1"/>
  <c r="D60" i="18"/>
  <c r="D54" i="18"/>
  <c r="D44" i="18"/>
  <c r="E44" i="18" s="1"/>
  <c r="F44" i="18" s="1"/>
  <c r="G44" i="18" s="1"/>
  <c r="H44" i="18" s="1"/>
  <c r="I44" i="18" s="1"/>
  <c r="J44" i="18" s="1"/>
  <c r="K44" i="18" s="1"/>
  <c r="L44" i="18" s="1"/>
  <c r="M44" i="18" s="1"/>
  <c r="N44" i="18" s="1"/>
  <c r="D28" i="18"/>
  <c r="D10" i="18"/>
  <c r="D23" i="18"/>
  <c r="D50" i="18"/>
  <c r="D43" i="18"/>
  <c r="C16" i="20" s="1"/>
  <c r="C141" i="21" s="1"/>
  <c r="C107" i="21" s="1"/>
  <c r="D11" i="18"/>
  <c r="D53" i="18"/>
  <c r="D14" i="18"/>
  <c r="D13" i="18" s="1"/>
  <c r="D22" i="18"/>
  <c r="D52" i="18"/>
  <c r="D9" i="18"/>
  <c r="C7" i="22" s="1"/>
  <c r="J18" i="17"/>
  <c r="J7" i="21"/>
  <c r="E4" i="21"/>
  <c r="G5" i="21"/>
  <c r="F19" i="21"/>
  <c r="F20" i="21" s="1"/>
  <c r="G24" i="17" s="1"/>
  <c r="L6" i="21"/>
  <c r="K31" i="21"/>
  <c r="K55" i="21"/>
  <c r="K91" i="21" s="1"/>
  <c r="K73" i="21"/>
  <c r="K118" i="21"/>
  <c r="K130" i="21" s="1"/>
  <c r="K10" i="21"/>
  <c r="K16" i="21"/>
  <c r="K22" i="21" s="1"/>
  <c r="K64" i="21"/>
  <c r="M14" i="19"/>
  <c r="L3" i="21"/>
  <c r="L22" i="19"/>
  <c r="L52" i="19" s="1"/>
  <c r="L65" i="19" s="1"/>
  <c r="L78" i="19" s="1"/>
  <c r="L91" i="19" s="1"/>
  <c r="L104" i="19" s="1"/>
  <c r="L117" i="19" s="1"/>
  <c r="L130" i="19" s="1"/>
  <c r="L143" i="19" s="1"/>
  <c r="L156" i="19" s="1"/>
  <c r="L169" i="19" s="1"/>
  <c r="L182" i="19" s="1"/>
  <c r="M4" i="20"/>
  <c r="L29" i="19"/>
  <c r="L34" i="19" s="1"/>
  <c r="L38" i="19" s="1"/>
  <c r="M4" i="22"/>
  <c r="K23" i="21"/>
  <c r="L17" i="21" s="1"/>
  <c r="E8" i="23" l="1"/>
  <c r="D56" i="6"/>
  <c r="G19" i="23"/>
  <c r="E47" i="18"/>
  <c r="E23" i="4"/>
  <c r="C8" i="23"/>
  <c r="C56" i="6"/>
  <c r="J42" i="18"/>
  <c r="N42" i="18"/>
  <c r="G42" i="18"/>
  <c r="K42" i="18"/>
  <c r="F42" i="18"/>
  <c r="H42" i="18"/>
  <c r="L42" i="18"/>
  <c r="E42" i="18"/>
  <c r="I42" i="18"/>
  <c r="M42" i="18"/>
  <c r="D37" i="18"/>
  <c r="C20" i="17"/>
  <c r="C30" i="17" s="1"/>
  <c r="C15" i="17"/>
  <c r="D11" i="17"/>
  <c r="D9" i="17" s="1"/>
  <c r="D14" i="17" s="1"/>
  <c r="D20" i="18"/>
  <c r="F13" i="18"/>
  <c r="F16" i="4"/>
  <c r="F28" i="17"/>
  <c r="E82" i="21"/>
  <c r="C57" i="21"/>
  <c r="C120" i="21" s="1"/>
  <c r="D56" i="21"/>
  <c r="F5" i="17"/>
  <c r="G15" i="18"/>
  <c r="G10" i="17"/>
  <c r="C19" i="6"/>
  <c r="F17" i="17"/>
  <c r="E16" i="17"/>
  <c r="D74" i="21"/>
  <c r="D81" i="21"/>
  <c r="D102" i="21" s="1"/>
  <c r="F27" i="17"/>
  <c r="E21" i="6"/>
  <c r="D134" i="21"/>
  <c r="E17" i="6"/>
  <c r="C75" i="21"/>
  <c r="C76" i="21" s="1"/>
  <c r="C83" i="21"/>
  <c r="D65" i="21"/>
  <c r="E9" i="17"/>
  <c r="E14" i="17" s="1"/>
  <c r="E15" i="17" s="1"/>
  <c r="F3" i="17"/>
  <c r="F11" i="17" s="1"/>
  <c r="G4" i="17"/>
  <c r="G14" i="18"/>
  <c r="D17" i="6"/>
  <c r="G25" i="17"/>
  <c r="E108" i="21"/>
  <c r="E60" i="18"/>
  <c r="E71" i="4" s="1"/>
  <c r="E53" i="18"/>
  <c r="F53" i="18" s="1"/>
  <c r="G53" i="18" s="1"/>
  <c r="H53" i="18" s="1"/>
  <c r="I53" i="18" s="1"/>
  <c r="J53" i="18" s="1"/>
  <c r="K53" i="18" s="1"/>
  <c r="L53" i="18" s="1"/>
  <c r="M53" i="18" s="1"/>
  <c r="N53" i="18" s="1"/>
  <c r="C11" i="20"/>
  <c r="C7" i="19"/>
  <c r="C7" i="21" s="1"/>
  <c r="C14" i="21" s="1"/>
  <c r="D7" i="21" s="1"/>
  <c r="D14" i="21" s="1"/>
  <c r="E7" i="21" s="1"/>
  <c r="E14" i="21" s="1"/>
  <c r="F7" i="21" s="1"/>
  <c r="F14" i="21" s="1"/>
  <c r="G14" i="21" s="1"/>
  <c r="H14" i="21" s="1"/>
  <c r="I14" i="21" s="1"/>
  <c r="K23" i="18" s="1"/>
  <c r="C12" i="20"/>
  <c r="E54" i="18"/>
  <c r="C15" i="20"/>
  <c r="C9" i="20"/>
  <c r="C105" i="21" s="1"/>
  <c r="E51" i="18"/>
  <c r="E52" i="18"/>
  <c r="F52" i="18" s="1"/>
  <c r="G52" i="18" s="1"/>
  <c r="H52" i="18" s="1"/>
  <c r="I52" i="18" s="1"/>
  <c r="J52" i="18" s="1"/>
  <c r="K52" i="18" s="1"/>
  <c r="L52" i="18" s="1"/>
  <c r="M52" i="18" s="1"/>
  <c r="N52" i="18" s="1"/>
  <c r="C10" i="20"/>
  <c r="C9" i="22"/>
  <c r="I11" i="18" s="1"/>
  <c r="J11" i="18"/>
  <c r="K11" i="18"/>
  <c r="M11" i="18"/>
  <c r="G11" i="18"/>
  <c r="E11" i="18"/>
  <c r="H11" i="18"/>
  <c r="F11" i="18"/>
  <c r="L11" i="18"/>
  <c r="N11" i="18"/>
  <c r="C8" i="22"/>
  <c r="K10" i="18" s="1"/>
  <c r="L10" i="18"/>
  <c r="H10" i="18"/>
  <c r="F10" i="18"/>
  <c r="I10" i="18"/>
  <c r="N10" i="18"/>
  <c r="J10" i="18"/>
  <c r="G10" i="18"/>
  <c r="E10" i="18"/>
  <c r="M10" i="18"/>
  <c r="C17" i="20"/>
  <c r="C6" i="19"/>
  <c r="C6" i="21" s="1"/>
  <c r="C13" i="21" s="1"/>
  <c r="D6" i="21" s="1"/>
  <c r="J28" i="18"/>
  <c r="F28" i="18"/>
  <c r="K28" i="18"/>
  <c r="L28" i="18"/>
  <c r="G28" i="18"/>
  <c r="H28" i="18"/>
  <c r="E28" i="18"/>
  <c r="I28" i="18"/>
  <c r="M28" i="18"/>
  <c r="N28" i="18"/>
  <c r="C18" i="20"/>
  <c r="C6" i="22"/>
  <c r="D7" i="18"/>
  <c r="N31" i="18"/>
  <c r="K31" i="18"/>
  <c r="G31" i="18"/>
  <c r="I31" i="18"/>
  <c r="E31" i="18"/>
  <c r="M31" i="18"/>
  <c r="H31" i="18"/>
  <c r="L31" i="18"/>
  <c r="F31" i="18"/>
  <c r="J31" i="18"/>
  <c r="C15" i="19"/>
  <c r="E50" i="18"/>
  <c r="C5" i="20"/>
  <c r="D49" i="18"/>
  <c r="C13" i="23" s="1"/>
  <c r="E57" i="18"/>
  <c r="D56" i="18"/>
  <c r="C14" i="23" s="1"/>
  <c r="C12" i="19"/>
  <c r="C25" i="21" s="1"/>
  <c r="C12" i="21"/>
  <c r="K58" i="18"/>
  <c r="H5" i="21"/>
  <c r="E11" i="21"/>
  <c r="K7" i="21"/>
  <c r="K18" i="17"/>
  <c r="N4" i="20"/>
  <c r="M29" i="19"/>
  <c r="M34" i="19" s="1"/>
  <c r="M38" i="19" s="1"/>
  <c r="N4" i="22"/>
  <c r="M22" i="19"/>
  <c r="M52" i="19" s="1"/>
  <c r="M65" i="19" s="1"/>
  <c r="M78" i="19" s="1"/>
  <c r="M91" i="19" s="1"/>
  <c r="M104" i="19" s="1"/>
  <c r="M117" i="19" s="1"/>
  <c r="M130" i="19" s="1"/>
  <c r="M143" i="19" s="1"/>
  <c r="M156" i="19" s="1"/>
  <c r="M169" i="19" s="1"/>
  <c r="M182" i="19" s="1"/>
  <c r="L64" i="21"/>
  <c r="L31" i="21"/>
  <c r="L16" i="21"/>
  <c r="L22" i="21" s="1"/>
  <c r="L55" i="21"/>
  <c r="L91" i="21" s="1"/>
  <c r="L73" i="21"/>
  <c r="L10" i="21"/>
  <c r="L118" i="21"/>
  <c r="L130" i="21" s="1"/>
  <c r="F23" i="4" l="1"/>
  <c r="E56" i="6"/>
  <c r="C40" i="17"/>
  <c r="C44" i="17" s="1"/>
  <c r="C23" i="23" s="1"/>
  <c r="C21" i="23"/>
  <c r="C22" i="6"/>
  <c r="C9" i="6"/>
  <c r="F47" i="18"/>
  <c r="F54" i="18"/>
  <c r="C65" i="21"/>
  <c r="C66" i="21" s="1"/>
  <c r="C119" i="21" s="1"/>
  <c r="C122" i="21" s="1"/>
  <c r="D18" i="6"/>
  <c r="D19" i="6" s="1"/>
  <c r="D20" i="17"/>
  <c r="D15" i="17"/>
  <c r="E20" i="17"/>
  <c r="C77" i="21"/>
  <c r="C100" i="21" s="1"/>
  <c r="H25" i="17"/>
  <c r="F108" i="21"/>
  <c r="D66" i="21"/>
  <c r="D57" i="21"/>
  <c r="D120" i="21" s="1"/>
  <c r="F17" i="6"/>
  <c r="H15" i="18"/>
  <c r="H10" i="17"/>
  <c r="D75" i="21"/>
  <c r="D76" i="21" s="1"/>
  <c r="D77" i="21" s="1"/>
  <c r="D100" i="21" s="1"/>
  <c r="E65" i="21"/>
  <c r="F9" i="17"/>
  <c r="F14" i="17" s="1"/>
  <c r="F15" i="17" s="1"/>
  <c r="E134" i="21"/>
  <c r="E81" i="21"/>
  <c r="E102" i="21" s="1"/>
  <c r="G27" i="17"/>
  <c r="F21" i="6"/>
  <c r="G17" i="17"/>
  <c r="E74" i="21"/>
  <c r="F16" i="17"/>
  <c r="G13" i="18"/>
  <c r="C58" i="21"/>
  <c r="E8" i="18" s="1"/>
  <c r="D55" i="6" s="1"/>
  <c r="G16" i="4"/>
  <c r="F82" i="21"/>
  <c r="G28" i="17"/>
  <c r="H14" i="18"/>
  <c r="H4" i="17"/>
  <c r="E18" i="6"/>
  <c r="E19" i="6" s="1"/>
  <c r="D83" i="21"/>
  <c r="G5" i="17"/>
  <c r="E56" i="21"/>
  <c r="F23" i="18"/>
  <c r="J26" i="4"/>
  <c r="E66" i="4"/>
  <c r="H26" i="4"/>
  <c r="E23" i="18"/>
  <c r="C8" i="21"/>
  <c r="D23" i="17" s="1"/>
  <c r="E22" i="18"/>
  <c r="J23" i="18"/>
  <c r="F26" i="4"/>
  <c r="E29" i="18"/>
  <c r="D25" i="21"/>
  <c r="F51" i="4"/>
  <c r="G52" i="4"/>
  <c r="E52" i="4"/>
  <c r="F52" i="4"/>
  <c r="E51" i="4"/>
  <c r="D13" i="21"/>
  <c r="D8" i="21"/>
  <c r="E23" i="17" s="1"/>
  <c r="G20" i="23" s="1"/>
  <c r="M26" i="4"/>
  <c r="F51" i="18"/>
  <c r="E35" i="4"/>
  <c r="C8" i="6"/>
  <c r="L51" i="4"/>
  <c r="M52" i="4"/>
  <c r="I51" i="4"/>
  <c r="J52" i="4"/>
  <c r="E27" i="4"/>
  <c r="L26" i="4"/>
  <c r="G23" i="18"/>
  <c r="E21" i="18"/>
  <c r="D12" i="21"/>
  <c r="E70" i="4"/>
  <c r="E69" i="4"/>
  <c r="F57" i="18"/>
  <c r="H51" i="4"/>
  <c r="I52" i="4"/>
  <c r="H52" i="4"/>
  <c r="G51" i="4"/>
  <c r="G26" i="4"/>
  <c r="D41" i="18"/>
  <c r="D27" i="18"/>
  <c r="D19" i="18"/>
  <c r="D5" i="18"/>
  <c r="E49" i="18"/>
  <c r="F50" i="18"/>
  <c r="E65" i="4"/>
  <c r="K52" i="4"/>
  <c r="J51" i="4"/>
  <c r="M51" i="4"/>
  <c r="L52" i="4"/>
  <c r="K51" i="4"/>
  <c r="E26" i="4"/>
  <c r="K26" i="4"/>
  <c r="I26" i="4"/>
  <c r="I23" i="18"/>
  <c r="H23" i="18"/>
  <c r="J14" i="21"/>
  <c r="L23" i="18" s="1"/>
  <c r="L58" i="18"/>
  <c r="L18" i="17"/>
  <c r="I5" i="21"/>
  <c r="L7" i="21"/>
  <c r="G19" i="21"/>
  <c r="G20" i="21" s="1"/>
  <c r="H24" i="17" s="1"/>
  <c r="F4" i="21"/>
  <c r="L23" i="21"/>
  <c r="F56" i="6" l="1"/>
  <c r="C79" i="21"/>
  <c r="E22" i="6"/>
  <c r="C25" i="6"/>
  <c r="C40" i="6" s="1"/>
  <c r="D22" i="6"/>
  <c r="C29" i="23"/>
  <c r="D29" i="23" s="1"/>
  <c r="C28" i="23"/>
  <c r="D28" i="23" s="1"/>
  <c r="C67" i="21"/>
  <c r="E41" i="18" s="1"/>
  <c r="D57" i="6" s="1"/>
  <c r="C57" i="6"/>
  <c r="C14" i="20"/>
  <c r="C113" i="21"/>
  <c r="G47" i="18"/>
  <c r="C9" i="23"/>
  <c r="D24" i="6"/>
  <c r="E20" i="23"/>
  <c r="G54" i="18"/>
  <c r="D9" i="6"/>
  <c r="E13" i="23"/>
  <c r="C59" i="21"/>
  <c r="C93" i="21" s="1"/>
  <c r="C97" i="21" s="1"/>
  <c r="K50" i="4"/>
  <c r="E20" i="18"/>
  <c r="G50" i="4"/>
  <c r="J50" i="4"/>
  <c r="D79" i="21"/>
  <c r="D58" i="21"/>
  <c r="F8" i="18" s="1"/>
  <c r="E24" i="4"/>
  <c r="H5" i="17"/>
  <c r="F56" i="21"/>
  <c r="G3" i="17"/>
  <c r="C124" i="21"/>
  <c r="C106" i="21" s="1"/>
  <c r="C126" i="21"/>
  <c r="E75" i="21"/>
  <c r="E76" i="21" s="1"/>
  <c r="E77" i="21" s="1"/>
  <c r="E100" i="21" s="1"/>
  <c r="E83" i="21"/>
  <c r="F20" i="17"/>
  <c r="D67" i="21"/>
  <c r="D119" i="21"/>
  <c r="D122" i="21" s="1"/>
  <c r="H17" i="17"/>
  <c r="F74" i="21"/>
  <c r="G16" i="17"/>
  <c r="F81" i="21"/>
  <c r="F102" i="21" s="1"/>
  <c r="H27" i="17"/>
  <c r="F134" i="21"/>
  <c r="G21" i="6"/>
  <c r="E66" i="21"/>
  <c r="H13" i="18"/>
  <c r="E57" i="21"/>
  <c r="I4" i="17"/>
  <c r="I14" i="18"/>
  <c r="H16" i="4"/>
  <c r="G82" i="21"/>
  <c r="H28" i="17"/>
  <c r="G23" i="4"/>
  <c r="F18" i="6"/>
  <c r="F19" i="6" s="1"/>
  <c r="I10" i="17"/>
  <c r="I15" i="18"/>
  <c r="I25" i="17"/>
  <c r="G108" i="21"/>
  <c r="F50" i="4"/>
  <c r="E50" i="4"/>
  <c r="D22" i="17"/>
  <c r="D30" i="17" s="1"/>
  <c r="E17" i="4"/>
  <c r="E20" i="4" s="1"/>
  <c r="N27" i="18"/>
  <c r="K14" i="21"/>
  <c r="M23" i="18" s="1"/>
  <c r="D40" i="18"/>
  <c r="F70" i="4"/>
  <c r="G57" i="18"/>
  <c r="F69" i="4"/>
  <c r="F27" i="4"/>
  <c r="I50" i="4"/>
  <c r="E6" i="21"/>
  <c r="F22" i="18"/>
  <c r="M50" i="4"/>
  <c r="G51" i="18"/>
  <c r="F35" i="4"/>
  <c r="F66" i="4"/>
  <c r="F49" i="18"/>
  <c r="F65" i="4"/>
  <c r="G50" i="18"/>
  <c r="C4" i="19"/>
  <c r="D18" i="18"/>
  <c r="D17" i="18" s="1"/>
  <c r="L50" i="4"/>
  <c r="E25" i="21"/>
  <c r="F29" i="18"/>
  <c r="H27" i="18"/>
  <c r="F27" i="18"/>
  <c r="C10" i="19"/>
  <c r="G27" i="18"/>
  <c r="E27" i="18"/>
  <c r="E26" i="18" s="1"/>
  <c r="E25" i="18" s="1"/>
  <c r="I27" i="18"/>
  <c r="D26" i="18"/>
  <c r="D25" i="18" s="1"/>
  <c r="J27" i="18"/>
  <c r="K27" i="18"/>
  <c r="L27" i="18"/>
  <c r="M27" i="18"/>
  <c r="C5" i="6"/>
  <c r="H50" i="4"/>
  <c r="E12" i="21"/>
  <c r="F21" i="18"/>
  <c r="E24" i="6"/>
  <c r="F17" i="4"/>
  <c r="F20" i="4" s="1"/>
  <c r="E22" i="17"/>
  <c r="E30" i="17" s="1"/>
  <c r="M58" i="18"/>
  <c r="F11" i="21"/>
  <c r="G4" i="21"/>
  <c r="M18" i="17"/>
  <c r="H19" i="21"/>
  <c r="H20" i="21" s="1"/>
  <c r="I24" i="17" s="1"/>
  <c r="J5" i="21"/>
  <c r="C61" i="21" l="1"/>
  <c r="G56" i="6"/>
  <c r="C68" i="21"/>
  <c r="C99" i="21" s="1"/>
  <c r="C110" i="21" s="1"/>
  <c r="C111" i="21" s="1"/>
  <c r="C114" i="21" s="1"/>
  <c r="D113" i="21" s="1"/>
  <c r="D68" i="21"/>
  <c r="D99" i="21" s="1"/>
  <c r="D25" i="6"/>
  <c r="E25" i="6"/>
  <c r="F22" i="6"/>
  <c r="C28" i="6"/>
  <c r="C31" i="6" s="1"/>
  <c r="C42" i="6"/>
  <c r="F20" i="18"/>
  <c r="D28" i="6"/>
  <c r="D31" i="6" s="1"/>
  <c r="H47" i="18"/>
  <c r="E40" i="17"/>
  <c r="D131" i="21" s="1"/>
  <c r="D132" i="21" s="1"/>
  <c r="G21" i="23"/>
  <c r="G29" i="23" s="1"/>
  <c r="H29" i="23" s="1"/>
  <c r="C12" i="23"/>
  <c r="D40" i="17"/>
  <c r="C131" i="21" s="1"/>
  <c r="C136" i="21" s="1"/>
  <c r="C138" i="21" s="1"/>
  <c r="E21" i="23"/>
  <c r="E29" i="23" s="1"/>
  <c r="F29" i="23" s="1"/>
  <c r="C10" i="23"/>
  <c r="C11" i="23" s="1"/>
  <c r="D9" i="23" s="1"/>
  <c r="F41" i="18"/>
  <c r="E9" i="6"/>
  <c r="G13" i="23"/>
  <c r="H54" i="18"/>
  <c r="E55" i="6"/>
  <c r="F24" i="4"/>
  <c r="G11" i="17"/>
  <c r="G9" i="17" s="1"/>
  <c r="D59" i="21"/>
  <c r="D93" i="21" s="1"/>
  <c r="D97" i="21" s="1"/>
  <c r="H19" i="18"/>
  <c r="H18" i="18" s="1"/>
  <c r="I13" i="18"/>
  <c r="I28" i="17"/>
  <c r="H82" i="21"/>
  <c r="I16" i="4"/>
  <c r="J14" i="18"/>
  <c r="J4" i="17"/>
  <c r="I27" i="17"/>
  <c r="G81" i="21"/>
  <c r="G102" i="21" s="1"/>
  <c r="H21" i="6"/>
  <c r="G134" i="21"/>
  <c r="I5" i="17"/>
  <c r="G56" i="21"/>
  <c r="H3" i="17"/>
  <c r="J25" i="17"/>
  <c r="H108" i="21"/>
  <c r="E58" i="21"/>
  <c r="E120" i="21"/>
  <c r="E67" i="21"/>
  <c r="E68" i="21" s="1"/>
  <c r="E99" i="21" s="1"/>
  <c r="E119" i="21"/>
  <c r="F83" i="21"/>
  <c r="F75" i="21"/>
  <c r="F76" i="21" s="1"/>
  <c r="D126" i="21"/>
  <c r="D124" i="21"/>
  <c r="D106" i="21" s="1"/>
  <c r="E79" i="21"/>
  <c r="J10" i="17"/>
  <c r="J15" i="18"/>
  <c r="F57" i="21"/>
  <c r="H23" i="4"/>
  <c r="I17" i="17"/>
  <c r="G74" i="21"/>
  <c r="H16" i="17"/>
  <c r="G17" i="6"/>
  <c r="D33" i="18"/>
  <c r="G65" i="4"/>
  <c r="H50" i="18"/>
  <c r="G49" i="18"/>
  <c r="G27" i="4"/>
  <c r="E25" i="4"/>
  <c r="F12" i="21"/>
  <c r="G21" i="18"/>
  <c r="C4" i="6"/>
  <c r="G35" i="4"/>
  <c r="H51" i="18"/>
  <c r="C10" i="6"/>
  <c r="C50" i="6" s="1"/>
  <c r="D63" i="18"/>
  <c r="E47" i="4"/>
  <c r="E48" i="4"/>
  <c r="F26" i="18"/>
  <c r="F25" i="18" s="1"/>
  <c r="E19" i="18"/>
  <c r="E18" i="18" s="1"/>
  <c r="E17" i="18" s="1"/>
  <c r="F19" i="18"/>
  <c r="F18" i="18" s="1"/>
  <c r="G19" i="18"/>
  <c r="G18" i="18" s="1"/>
  <c r="E13" i="21"/>
  <c r="E8" i="21"/>
  <c r="F23" i="17" s="1"/>
  <c r="G70" i="4"/>
  <c r="H57" i="18"/>
  <c r="H70" i="4" s="1"/>
  <c r="G69" i="4"/>
  <c r="G29" i="18"/>
  <c r="G26" i="18" s="1"/>
  <c r="G25" i="18" s="1"/>
  <c r="F25" i="21"/>
  <c r="G66" i="4"/>
  <c r="L14" i="21"/>
  <c r="N23" i="18" s="1"/>
  <c r="N58" i="18"/>
  <c r="K5" i="21"/>
  <c r="G11" i="21"/>
  <c r="D61" i="21" l="1"/>
  <c r="C70" i="21"/>
  <c r="I23" i="4"/>
  <c r="H56" i="6"/>
  <c r="D42" i="6"/>
  <c r="D70" i="21"/>
  <c r="E28" i="6"/>
  <c r="E31" i="6" s="1"/>
  <c r="E42" i="6"/>
  <c r="C132" i="21"/>
  <c r="D141" i="21" s="1"/>
  <c r="D107" i="21" s="1"/>
  <c r="D110" i="21" s="1"/>
  <c r="D111" i="21" s="1"/>
  <c r="D114" i="21" s="1"/>
  <c r="D136" i="21"/>
  <c r="D138" i="21" s="1"/>
  <c r="E42" i="17" s="1"/>
  <c r="C34" i="6"/>
  <c r="D65" i="18"/>
  <c r="F17" i="18"/>
  <c r="I47" i="18"/>
  <c r="D10" i="23"/>
  <c r="C26" i="23"/>
  <c r="D26" i="23" s="1"/>
  <c r="C15" i="23"/>
  <c r="D12" i="23" s="1"/>
  <c r="D11" i="23"/>
  <c r="D8" i="23"/>
  <c r="E10" i="23"/>
  <c r="F9" i="6"/>
  <c r="G41" i="18"/>
  <c r="E57" i="6"/>
  <c r="I54" i="18"/>
  <c r="G18" i="6"/>
  <c r="G19" i="6" s="1"/>
  <c r="G14" i="17"/>
  <c r="G15" i="17" s="1"/>
  <c r="F65" i="21"/>
  <c r="F66" i="21" s="1"/>
  <c r="F67" i="21" s="1"/>
  <c r="F68" i="21" s="1"/>
  <c r="F99" i="21" s="1"/>
  <c r="H11" i="17"/>
  <c r="G65" i="21" s="1"/>
  <c r="G66" i="21" s="1"/>
  <c r="C48" i="6"/>
  <c r="E5" i="18"/>
  <c r="E38" i="18"/>
  <c r="J13" i="18"/>
  <c r="H17" i="6"/>
  <c r="J16" i="4"/>
  <c r="J28" i="17"/>
  <c r="I82" i="21"/>
  <c r="J17" i="17"/>
  <c r="H74" i="21"/>
  <c r="I16" i="17"/>
  <c r="G57" i="21"/>
  <c r="K10" i="17"/>
  <c r="K15" i="18"/>
  <c r="F77" i="21"/>
  <c r="E122" i="21"/>
  <c r="J5" i="17"/>
  <c r="H56" i="21"/>
  <c r="I3" i="17"/>
  <c r="G83" i="21"/>
  <c r="G75" i="21"/>
  <c r="G76" i="21" s="1"/>
  <c r="G77" i="21" s="1"/>
  <c r="G100" i="21" s="1"/>
  <c r="F58" i="21"/>
  <c r="H8" i="18" s="1"/>
  <c r="G55" i="6" s="1"/>
  <c r="F120" i="21"/>
  <c r="K14" i="18"/>
  <c r="K4" i="17"/>
  <c r="G8" i="18"/>
  <c r="F55" i="6" s="1"/>
  <c r="E59" i="21"/>
  <c r="E70" i="21"/>
  <c r="I108" i="21"/>
  <c r="K25" i="17"/>
  <c r="H81" i="21"/>
  <c r="H102" i="21" s="1"/>
  <c r="H134" i="21"/>
  <c r="J27" i="17"/>
  <c r="I21" i="6"/>
  <c r="C47" i="6"/>
  <c r="C11" i="6"/>
  <c r="C49" i="6"/>
  <c r="G48" i="4"/>
  <c r="G47" i="4"/>
  <c r="F48" i="4"/>
  <c r="F47" i="4"/>
  <c r="H66" i="4"/>
  <c r="H49" i="18"/>
  <c r="H65" i="4"/>
  <c r="I50" i="18"/>
  <c r="F24" i="6"/>
  <c r="F25" i="6" s="1"/>
  <c r="F22" i="17"/>
  <c r="F30" i="17" s="1"/>
  <c r="F40" i="17" s="1"/>
  <c r="G17" i="4"/>
  <c r="G20" i="4" s="1"/>
  <c r="C51" i="6"/>
  <c r="C43" i="6"/>
  <c r="C6" i="6"/>
  <c r="F6" i="21"/>
  <c r="G22" i="18"/>
  <c r="G20" i="18" s="1"/>
  <c r="G17" i="18" s="1"/>
  <c r="H27" i="4"/>
  <c r="H29" i="18"/>
  <c r="H26" i="18" s="1"/>
  <c r="H25" i="18" s="1"/>
  <c r="G25" i="21"/>
  <c r="I57" i="18"/>
  <c r="I70" i="4" s="1"/>
  <c r="H69" i="4"/>
  <c r="E44" i="4"/>
  <c r="E43" i="4"/>
  <c r="D4" i="6"/>
  <c r="E46" i="4"/>
  <c r="I51" i="18"/>
  <c r="H35" i="4"/>
  <c r="H21" i="18"/>
  <c r="G12" i="21"/>
  <c r="F25" i="4"/>
  <c r="H4" i="21"/>
  <c r="I19" i="18"/>
  <c r="I18" i="18" s="1"/>
  <c r="L5" i="21"/>
  <c r="I19" i="21"/>
  <c r="I20" i="21" s="1"/>
  <c r="J24" i="17" s="1"/>
  <c r="I56" i="6" l="1"/>
  <c r="J23" i="4"/>
  <c r="D42" i="17"/>
  <c r="D33" i="6" s="1"/>
  <c r="D34" i="6" s="1"/>
  <c r="C143" i="21"/>
  <c r="E43" i="18" s="1"/>
  <c r="E40" i="18" s="1"/>
  <c r="C144" i="21"/>
  <c r="E9" i="18" s="1"/>
  <c r="H9" i="17"/>
  <c r="H14" i="17" s="1"/>
  <c r="H20" i="17" s="1"/>
  <c r="E141" i="21"/>
  <c r="E107" i="21" s="1"/>
  <c r="G22" i="6"/>
  <c r="J3" i="17"/>
  <c r="J11" i="17" s="1"/>
  <c r="J9" i="17" s="1"/>
  <c r="G79" i="21"/>
  <c r="F119" i="21"/>
  <c r="F122" i="21" s="1"/>
  <c r="G20" i="17"/>
  <c r="E4" i="6"/>
  <c r="F44" i="4"/>
  <c r="F43" i="4"/>
  <c r="G10" i="23"/>
  <c r="C41" i="6"/>
  <c r="J47" i="18"/>
  <c r="G9" i="6"/>
  <c r="D14" i="23"/>
  <c r="D15" i="23"/>
  <c r="D13" i="23"/>
  <c r="C27" i="23"/>
  <c r="D27" i="23" s="1"/>
  <c r="D30" i="23" s="1"/>
  <c r="H41" i="18"/>
  <c r="F57" i="6"/>
  <c r="J54" i="18"/>
  <c r="I11" i="17"/>
  <c r="H65" i="21" s="1"/>
  <c r="H66" i="21" s="1"/>
  <c r="H67" i="21" s="1"/>
  <c r="F70" i="21"/>
  <c r="D144" i="21"/>
  <c r="F9" i="18" s="1"/>
  <c r="G119" i="21"/>
  <c r="E64" i="4"/>
  <c r="E37" i="18"/>
  <c r="G67" i="21"/>
  <c r="G68" i="21" s="1"/>
  <c r="G99" i="21" s="1"/>
  <c r="E124" i="21"/>
  <c r="E106" i="21" s="1"/>
  <c r="E126" i="21"/>
  <c r="H83" i="21"/>
  <c r="L14" i="18"/>
  <c r="L4" i="17"/>
  <c r="I17" i="6"/>
  <c r="F100" i="21"/>
  <c r="F79" i="21"/>
  <c r="K17" i="17"/>
  <c r="J16" i="17"/>
  <c r="I74" i="21"/>
  <c r="H57" i="21"/>
  <c r="G58" i="21"/>
  <c r="I8" i="18" s="1"/>
  <c r="H55" i="6" s="1"/>
  <c r="G120" i="21"/>
  <c r="G24" i="4"/>
  <c r="H24" i="4"/>
  <c r="L15" i="18"/>
  <c r="L10" i="17"/>
  <c r="H75" i="21"/>
  <c r="H76" i="21" s="1"/>
  <c r="H77" i="21" s="1"/>
  <c r="H100" i="21" s="1"/>
  <c r="I134" i="21"/>
  <c r="I81" i="21"/>
  <c r="I102" i="21" s="1"/>
  <c r="K27" i="17"/>
  <c r="J21" i="6"/>
  <c r="L25" i="17"/>
  <c r="J108" i="21"/>
  <c r="E61" i="21"/>
  <c r="E93" i="21"/>
  <c r="E97" i="21" s="1"/>
  <c r="I56" i="21"/>
  <c r="K5" i="17"/>
  <c r="K13" i="18"/>
  <c r="K16" i="4"/>
  <c r="K28" i="17"/>
  <c r="J82" i="21"/>
  <c r="F59" i="21"/>
  <c r="F4" i="6"/>
  <c r="G44" i="4"/>
  <c r="G43" i="4"/>
  <c r="E42" i="4"/>
  <c r="E59" i="4" s="1"/>
  <c r="D143" i="21"/>
  <c r="F43" i="18" s="1"/>
  <c r="F40" i="18" s="1"/>
  <c r="G46" i="4"/>
  <c r="G25" i="4"/>
  <c r="I21" i="18"/>
  <c r="H12" i="21"/>
  <c r="E33" i="6"/>
  <c r="E34" i="6" s="1"/>
  <c r="F9" i="4"/>
  <c r="E44" i="17"/>
  <c r="G23" i="23" s="1"/>
  <c r="I27" i="4"/>
  <c r="E131" i="21"/>
  <c r="I29" i="18"/>
  <c r="I26" i="18" s="1"/>
  <c r="I25" i="18" s="1"/>
  <c r="H25" i="21"/>
  <c r="J29" i="18" s="1"/>
  <c r="J26" i="18" s="1"/>
  <c r="J25" i="18" s="1"/>
  <c r="F13" i="21"/>
  <c r="F8" i="21"/>
  <c r="G23" i="17" s="1"/>
  <c r="F28" i="6"/>
  <c r="F31" i="6" s="1"/>
  <c r="F42" i="6"/>
  <c r="F38" i="18"/>
  <c r="E113" i="21"/>
  <c r="F5" i="18"/>
  <c r="H48" i="4"/>
  <c r="H47" i="4"/>
  <c r="I66" i="4"/>
  <c r="J50" i="18"/>
  <c r="I49" i="18"/>
  <c r="I65" i="4"/>
  <c r="I35" i="4"/>
  <c r="J51" i="18"/>
  <c r="J57" i="18"/>
  <c r="J70" i="4" s="1"/>
  <c r="I69" i="4"/>
  <c r="F46" i="4"/>
  <c r="J19" i="21"/>
  <c r="J20" i="21" s="1"/>
  <c r="K24" i="17" s="1"/>
  <c r="H11" i="21"/>
  <c r="H15" i="17" l="1"/>
  <c r="D44" i="17"/>
  <c r="E23" i="23" s="1"/>
  <c r="E9" i="4"/>
  <c r="J56" i="6"/>
  <c r="E7" i="18"/>
  <c r="E28" i="4"/>
  <c r="E29" i="4" s="1"/>
  <c r="H18" i="6"/>
  <c r="H19" i="6" s="1"/>
  <c r="H22" i="6" s="1"/>
  <c r="E110" i="21"/>
  <c r="E111" i="21" s="1"/>
  <c r="E114" i="21" s="1"/>
  <c r="F113" i="21" s="1"/>
  <c r="J14" i="17"/>
  <c r="J15" i="17" s="1"/>
  <c r="J17" i="6"/>
  <c r="I65" i="21"/>
  <c r="I66" i="21" s="1"/>
  <c r="J18" i="6"/>
  <c r="F42" i="4"/>
  <c r="F59" i="4" s="1"/>
  <c r="E34" i="4"/>
  <c r="H9" i="6"/>
  <c r="K47" i="18"/>
  <c r="I41" i="18"/>
  <c r="J41" i="18" s="1"/>
  <c r="G57" i="6"/>
  <c r="K54" i="18"/>
  <c r="D10" i="6"/>
  <c r="D43" i="6" s="1"/>
  <c r="E12" i="23"/>
  <c r="I24" i="4"/>
  <c r="F28" i="4"/>
  <c r="F29" i="4" s="1"/>
  <c r="E72" i="4"/>
  <c r="I9" i="17"/>
  <c r="F7" i="18"/>
  <c r="G122" i="21"/>
  <c r="G124" i="21" s="1"/>
  <c r="G106" i="21" s="1"/>
  <c r="H68" i="21"/>
  <c r="H99" i="21" s="1"/>
  <c r="G42" i="4"/>
  <c r="G59" i="4" s="1"/>
  <c r="G70" i="21"/>
  <c r="H79" i="21"/>
  <c r="I83" i="21"/>
  <c r="H58" i="21"/>
  <c r="J8" i="18" s="1"/>
  <c r="I55" i="6" s="1"/>
  <c r="H120" i="21"/>
  <c r="I75" i="21"/>
  <c r="I76" i="21" s="1"/>
  <c r="I77" i="21" s="1"/>
  <c r="I100" i="21" s="1"/>
  <c r="K23" i="4"/>
  <c r="K108" i="21"/>
  <c r="M25" i="17"/>
  <c r="L108" i="21" s="1"/>
  <c r="F124" i="21"/>
  <c r="F106" i="21" s="1"/>
  <c r="F126" i="21"/>
  <c r="L5" i="17"/>
  <c r="L3" i="17" s="1"/>
  <c r="L11" i="17" s="1"/>
  <c r="J56" i="21"/>
  <c r="M10" i="17"/>
  <c r="N15" i="18" s="1"/>
  <c r="M15" i="18"/>
  <c r="L17" i="17"/>
  <c r="K16" i="17"/>
  <c r="J74" i="21"/>
  <c r="H119" i="21"/>
  <c r="F93" i="21"/>
  <c r="F97" i="21" s="1"/>
  <c r="F61" i="21"/>
  <c r="M14" i="18"/>
  <c r="M4" i="17"/>
  <c r="N14" i="18" s="1"/>
  <c r="L16" i="4"/>
  <c r="L28" i="17"/>
  <c r="K82" i="21"/>
  <c r="I57" i="21"/>
  <c r="L27" i="17"/>
  <c r="J81" i="21"/>
  <c r="J102" i="21" s="1"/>
  <c r="K21" i="6"/>
  <c r="J134" i="21"/>
  <c r="L13" i="18"/>
  <c r="K56" i="6" s="1"/>
  <c r="G59" i="21"/>
  <c r="K3" i="17"/>
  <c r="F34" i="4"/>
  <c r="J48" i="4"/>
  <c r="I25" i="21"/>
  <c r="K29" i="18" s="1"/>
  <c r="K26" i="18" s="1"/>
  <c r="K25" i="18" s="1"/>
  <c r="K48" i="4" s="1"/>
  <c r="H46" i="4"/>
  <c r="J47" i="4"/>
  <c r="J35" i="4"/>
  <c r="K51" i="18"/>
  <c r="G6" i="21"/>
  <c r="H22" i="18"/>
  <c r="H20" i="18" s="1"/>
  <c r="H17" i="18" s="1"/>
  <c r="H43" i="4" s="1"/>
  <c r="E132" i="21"/>
  <c r="E136" i="21"/>
  <c r="E138" i="21" s="1"/>
  <c r="F8" i="4"/>
  <c r="F13" i="4" s="1"/>
  <c r="F61" i="18"/>
  <c r="F64" i="4"/>
  <c r="F37" i="18"/>
  <c r="H25" i="4"/>
  <c r="K57" i="18"/>
  <c r="J69" i="4"/>
  <c r="J66" i="4"/>
  <c r="J49" i="18"/>
  <c r="J65" i="4"/>
  <c r="K50" i="18"/>
  <c r="G24" i="6"/>
  <c r="G25" i="6" s="1"/>
  <c r="G22" i="17"/>
  <c r="G30" i="17" s="1"/>
  <c r="G40" i="17" s="1"/>
  <c r="H17" i="4"/>
  <c r="H20" i="4" s="1"/>
  <c r="I47" i="4"/>
  <c r="I48" i="4"/>
  <c r="J27" i="4"/>
  <c r="J21" i="18"/>
  <c r="I12" i="21"/>
  <c r="I4" i="21"/>
  <c r="I8" i="21" s="1"/>
  <c r="J23" i="17" s="1"/>
  <c r="J24" i="6" s="1"/>
  <c r="J19" i="18"/>
  <c r="J18" i="18" s="1"/>
  <c r="E8" i="4" l="1"/>
  <c r="E61" i="18"/>
  <c r="F60" i="18" s="1"/>
  <c r="G60" i="18" s="1"/>
  <c r="D5" i="6"/>
  <c r="D6" i="6" s="1"/>
  <c r="E13" i="4"/>
  <c r="E9" i="23"/>
  <c r="E11" i="23" s="1"/>
  <c r="F9" i="23" s="1"/>
  <c r="E33" i="18"/>
  <c r="L23" i="4"/>
  <c r="E36" i="4"/>
  <c r="J19" i="6"/>
  <c r="J22" i="6" s="1"/>
  <c r="H70" i="21"/>
  <c r="J20" i="17"/>
  <c r="I9" i="6"/>
  <c r="G4" i="6"/>
  <c r="F33" i="18"/>
  <c r="L47" i="18"/>
  <c r="H57" i="6"/>
  <c r="K66" i="4"/>
  <c r="L54" i="18"/>
  <c r="E5" i="6"/>
  <c r="G8" i="23"/>
  <c r="G9" i="23"/>
  <c r="E10" i="6"/>
  <c r="E43" i="6" s="1"/>
  <c r="G12" i="23"/>
  <c r="J46" i="4"/>
  <c r="F36" i="4"/>
  <c r="F38" i="4" s="1"/>
  <c r="G126" i="21"/>
  <c r="K11" i="17"/>
  <c r="K9" i="17" s="1"/>
  <c r="K14" i="17" s="1"/>
  <c r="I18" i="6"/>
  <c r="I19" i="6" s="1"/>
  <c r="I14" i="17"/>
  <c r="G38" i="18"/>
  <c r="I119" i="21"/>
  <c r="G5" i="18"/>
  <c r="J25" i="21"/>
  <c r="L29" i="18" s="1"/>
  <c r="L26" i="18" s="1"/>
  <c r="L25" i="18" s="1"/>
  <c r="K47" i="4"/>
  <c r="H122" i="21"/>
  <c r="H126" i="21" s="1"/>
  <c r="I67" i="21"/>
  <c r="I68" i="21" s="1"/>
  <c r="I99" i="21" s="1"/>
  <c r="N13" i="18"/>
  <c r="I79" i="21"/>
  <c r="M13" i="18"/>
  <c r="M16" i="4"/>
  <c r="L82" i="21"/>
  <c r="M28" i="17"/>
  <c r="L17" i="6"/>
  <c r="J75" i="21"/>
  <c r="J76" i="21" s="1"/>
  <c r="J77" i="21" s="1"/>
  <c r="J100" i="21" s="1"/>
  <c r="K17" i="6"/>
  <c r="K65" i="21"/>
  <c r="L9" i="17"/>
  <c r="J57" i="21"/>
  <c r="K81" i="21"/>
  <c r="K102" i="21" s="1"/>
  <c r="M27" i="17"/>
  <c r="L81" i="21" s="1"/>
  <c r="L102" i="21" s="1"/>
  <c r="K134" i="21"/>
  <c r="L21" i="6"/>
  <c r="G61" i="21"/>
  <c r="G93" i="21"/>
  <c r="G97" i="21" s="1"/>
  <c r="H59" i="21"/>
  <c r="J83" i="21"/>
  <c r="I58" i="21"/>
  <c r="K8" i="18" s="1"/>
  <c r="J55" i="6" s="1"/>
  <c r="I120" i="21"/>
  <c r="J24" i="4"/>
  <c r="M17" i="17"/>
  <c r="K74" i="21"/>
  <c r="L16" i="17"/>
  <c r="K56" i="21"/>
  <c r="M5" i="17"/>
  <c r="H44" i="4"/>
  <c r="K27" i="4"/>
  <c r="I46" i="4"/>
  <c r="K70" i="4"/>
  <c r="L57" i="18"/>
  <c r="K69" i="4"/>
  <c r="E56" i="18"/>
  <c r="F42" i="17"/>
  <c r="F141" i="21"/>
  <c r="F107" i="21" s="1"/>
  <c r="F110" i="21" s="1"/>
  <c r="F111" i="21" s="1"/>
  <c r="F114" i="21" s="1"/>
  <c r="E144" i="21"/>
  <c r="G9" i="18" s="1"/>
  <c r="E143" i="21"/>
  <c r="G43" i="18" s="1"/>
  <c r="G40" i="18" s="1"/>
  <c r="K21" i="18"/>
  <c r="J12" i="21"/>
  <c r="F131" i="21"/>
  <c r="I25" i="4"/>
  <c r="G42" i="6"/>
  <c r="G28" i="6"/>
  <c r="G31" i="6" s="1"/>
  <c r="K65" i="4"/>
  <c r="K49" i="18"/>
  <c r="L50" i="18"/>
  <c r="G13" i="21"/>
  <c r="G8" i="21"/>
  <c r="H23" i="17" s="1"/>
  <c r="K35" i="4"/>
  <c r="L51" i="18"/>
  <c r="J22" i="17"/>
  <c r="K17" i="4"/>
  <c r="K20" i="4" s="1"/>
  <c r="I11" i="21"/>
  <c r="K19" i="21"/>
  <c r="K20" i="21" s="1"/>
  <c r="L24" i="17" s="1"/>
  <c r="D49" i="6" l="1"/>
  <c r="D48" i="6"/>
  <c r="D47" i="6"/>
  <c r="D50" i="6"/>
  <c r="E38" i="4"/>
  <c r="E74" i="4" s="1"/>
  <c r="L56" i="6"/>
  <c r="M23" i="4"/>
  <c r="J30" i="17"/>
  <c r="J40" i="17" s="1"/>
  <c r="I131" i="21" s="1"/>
  <c r="I136" i="21" s="1"/>
  <c r="I138" i="21" s="1"/>
  <c r="K18" i="6"/>
  <c r="K19" i="6" s="1"/>
  <c r="J25" i="6"/>
  <c r="J28" i="6" s="1"/>
  <c r="J31" i="6" s="1"/>
  <c r="I122" i="21"/>
  <c r="I124" i="21" s="1"/>
  <c r="I106" i="21" s="1"/>
  <c r="I22" i="6"/>
  <c r="J9" i="6"/>
  <c r="M47" i="18"/>
  <c r="E47" i="6"/>
  <c r="K41" i="18"/>
  <c r="E48" i="6"/>
  <c r="I57" i="6"/>
  <c r="E49" i="6"/>
  <c r="M54" i="18"/>
  <c r="N54" i="18" s="1"/>
  <c r="E14" i="23"/>
  <c r="E6" i="6"/>
  <c r="E50" i="6"/>
  <c r="F10" i="23"/>
  <c r="F11" i="23"/>
  <c r="F8" i="23"/>
  <c r="G11" i="23"/>
  <c r="H8" i="23" s="1"/>
  <c r="G37" i="18"/>
  <c r="K24" i="4"/>
  <c r="K46" i="4"/>
  <c r="H42" i="4"/>
  <c r="H59" i="4" s="1"/>
  <c r="J65" i="21"/>
  <c r="J66" i="21" s="1"/>
  <c r="J119" i="21" s="1"/>
  <c r="I20" i="17"/>
  <c r="I15" i="17"/>
  <c r="G64" i="4"/>
  <c r="H124" i="21"/>
  <c r="H106" i="21" s="1"/>
  <c r="K20" i="17"/>
  <c r="K15" i="17"/>
  <c r="J79" i="21"/>
  <c r="I70" i="21"/>
  <c r="H93" i="21"/>
  <c r="H97" i="21" s="1"/>
  <c r="H61" i="21"/>
  <c r="K75" i="21"/>
  <c r="K76" i="21" s="1"/>
  <c r="L83" i="21"/>
  <c r="J58" i="21"/>
  <c r="J120" i="21"/>
  <c r="I59" i="21"/>
  <c r="L134" i="21"/>
  <c r="L56" i="21"/>
  <c r="M3" i="17"/>
  <c r="L74" i="21"/>
  <c r="M16" i="17"/>
  <c r="K83" i="21"/>
  <c r="L18" i="6"/>
  <c r="L19" i="6" s="1"/>
  <c r="K57" i="21"/>
  <c r="K120" i="21" s="1"/>
  <c r="K66" i="21"/>
  <c r="L14" i="17"/>
  <c r="H5" i="18"/>
  <c r="G113" i="21"/>
  <c r="H38" i="18"/>
  <c r="F71" i="4"/>
  <c r="F56" i="18"/>
  <c r="H24" i="6"/>
  <c r="H25" i="6" s="1"/>
  <c r="H22" i="17"/>
  <c r="H30" i="17" s="1"/>
  <c r="H40" i="17" s="1"/>
  <c r="I17" i="4"/>
  <c r="I20" i="4" s="1"/>
  <c r="G71" i="4"/>
  <c r="G7" i="18"/>
  <c r="G28" i="4"/>
  <c r="G29" i="4" s="1"/>
  <c r="F33" i="6"/>
  <c r="F34" i="6" s="1"/>
  <c r="G34" i="4"/>
  <c r="G9" i="4"/>
  <c r="F44" i="17"/>
  <c r="E63" i="18"/>
  <c r="E65" i="18" s="1"/>
  <c r="D8" i="6"/>
  <c r="H6" i="21"/>
  <c r="I22" i="18"/>
  <c r="I20" i="18" s="1"/>
  <c r="I17" i="18" s="1"/>
  <c r="J25" i="4"/>
  <c r="F136" i="21"/>
  <c r="F138" i="21" s="1"/>
  <c r="F132" i="21"/>
  <c r="M51" i="18"/>
  <c r="L35" i="4"/>
  <c r="L66" i="4"/>
  <c r="M50" i="18"/>
  <c r="L49" i="18"/>
  <c r="L65" i="4"/>
  <c r="L21" i="18"/>
  <c r="K12" i="21"/>
  <c r="L70" i="4"/>
  <c r="L69" i="4"/>
  <c r="M57" i="18"/>
  <c r="L27" i="4"/>
  <c r="L47" i="4"/>
  <c r="L48" i="4"/>
  <c r="K25" i="21"/>
  <c r="M29" i="18" s="1"/>
  <c r="M26" i="18" s="1"/>
  <c r="M25" i="18" s="1"/>
  <c r="J4" i="21"/>
  <c r="J8" i="21" s="1"/>
  <c r="K23" i="17" s="1"/>
  <c r="K24" i="6" s="1"/>
  <c r="K19" i="18"/>
  <c r="K18" i="18" s="1"/>
  <c r="L19" i="21"/>
  <c r="L20" i="21" s="1"/>
  <c r="M24" i="17" s="1"/>
  <c r="I132" i="21" l="1"/>
  <c r="J42" i="17" s="1"/>
  <c r="J33" i="6" s="1"/>
  <c r="J34" i="6" s="1"/>
  <c r="I126" i="21"/>
  <c r="J42" i="6"/>
  <c r="J67" i="21"/>
  <c r="J68" i="21" s="1"/>
  <c r="J99" i="21" s="1"/>
  <c r="K22" i="6"/>
  <c r="L22" i="6"/>
  <c r="F10" i="6"/>
  <c r="F43" i="6" s="1"/>
  <c r="N47" i="18"/>
  <c r="H4" i="6"/>
  <c r="K9" i="6"/>
  <c r="E76" i="4"/>
  <c r="F75" i="4" s="1"/>
  <c r="J57" i="6"/>
  <c r="G14" i="23"/>
  <c r="E26" i="23"/>
  <c r="F26" i="23" s="1"/>
  <c r="E15" i="23"/>
  <c r="H9" i="23"/>
  <c r="H10" i="23"/>
  <c r="H11" i="23"/>
  <c r="G36" i="4"/>
  <c r="F72" i="4"/>
  <c r="M11" i="17"/>
  <c r="L65" i="21" s="1"/>
  <c r="L66" i="21" s="1"/>
  <c r="L67" i="21" s="1"/>
  <c r="G72" i="4"/>
  <c r="L20" i="17"/>
  <c r="L15" i="17"/>
  <c r="J122" i="21"/>
  <c r="J124" i="21" s="1"/>
  <c r="J106" i="21" s="1"/>
  <c r="L46" i="4"/>
  <c r="K58" i="21"/>
  <c r="M8" i="18" s="1"/>
  <c r="L55" i="6" s="1"/>
  <c r="L57" i="21"/>
  <c r="L75" i="21"/>
  <c r="L76" i="21" s="1"/>
  <c r="L77" i="21" s="1"/>
  <c r="L100" i="21" s="1"/>
  <c r="I93" i="21"/>
  <c r="I97" i="21" s="1"/>
  <c r="I61" i="21"/>
  <c r="K67" i="21"/>
  <c r="K119" i="21"/>
  <c r="K122" i="21" s="1"/>
  <c r="L8" i="18"/>
  <c r="K55" i="6" s="1"/>
  <c r="J59" i="21"/>
  <c r="K77" i="21"/>
  <c r="K100" i="21" s="1"/>
  <c r="I43" i="4"/>
  <c r="I44" i="4"/>
  <c r="M69" i="4"/>
  <c r="N57" i="18"/>
  <c r="H13" i="21"/>
  <c r="H8" i="21"/>
  <c r="I23" i="17" s="1"/>
  <c r="K25" i="4"/>
  <c r="D11" i="6"/>
  <c r="D40" i="6"/>
  <c r="D51" i="6"/>
  <c r="D41" i="6"/>
  <c r="G33" i="18"/>
  <c r="F5" i="6"/>
  <c r="H42" i="6"/>
  <c r="H28" i="6"/>
  <c r="H31" i="6" s="1"/>
  <c r="H64" i="4"/>
  <c r="H37" i="18"/>
  <c r="G131" i="21"/>
  <c r="M27" i="4"/>
  <c r="M35" i="4"/>
  <c r="N51" i="18"/>
  <c r="F63" i="18"/>
  <c r="F65" i="18" s="1"/>
  <c r="E8" i="6"/>
  <c r="M70" i="4"/>
  <c r="M21" i="18"/>
  <c r="L12" i="21"/>
  <c r="N21" i="18" s="1"/>
  <c r="M66" i="4"/>
  <c r="M49" i="18"/>
  <c r="N50" i="18"/>
  <c r="M65" i="4"/>
  <c r="G141" i="21"/>
  <c r="G107" i="21" s="1"/>
  <c r="G110" i="21" s="1"/>
  <c r="G111" i="21" s="1"/>
  <c r="G114" i="21" s="1"/>
  <c r="G42" i="17"/>
  <c r="F143" i="21"/>
  <c r="H43" i="18" s="1"/>
  <c r="H40" i="18" s="1"/>
  <c r="F144" i="21"/>
  <c r="H9" i="18" s="1"/>
  <c r="G61" i="18"/>
  <c r="G8" i="4"/>
  <c r="G13" i="4" s="1"/>
  <c r="J141" i="21"/>
  <c r="J107" i="21" s="1"/>
  <c r="K22" i="17"/>
  <c r="K30" i="17" s="1"/>
  <c r="K40" i="17" s="1"/>
  <c r="J131" i="21" s="1"/>
  <c r="J136" i="21" s="1"/>
  <c r="J138" i="21" s="1"/>
  <c r="L17" i="4"/>
  <c r="L20" i="4" s="1"/>
  <c r="M47" i="4"/>
  <c r="M48" i="4"/>
  <c r="J11" i="21"/>
  <c r="L25" i="21"/>
  <c r="N29" i="18" s="1"/>
  <c r="N26" i="18" s="1"/>
  <c r="N25" i="18" s="1"/>
  <c r="J44" i="17" l="1"/>
  <c r="K8" i="4" s="1"/>
  <c r="K9" i="4"/>
  <c r="J70" i="21"/>
  <c r="L41" i="18"/>
  <c r="M41" i="18" s="1"/>
  <c r="N41" i="18" s="1"/>
  <c r="K68" i="21"/>
  <c r="K99" i="21" s="1"/>
  <c r="K25" i="6"/>
  <c r="K28" i="6" s="1"/>
  <c r="K31" i="6" s="1"/>
  <c r="G38" i="4"/>
  <c r="F74" i="4"/>
  <c r="L9" i="6"/>
  <c r="F12" i="23"/>
  <c r="F14" i="23"/>
  <c r="E27" i="23"/>
  <c r="F27" i="23" s="1"/>
  <c r="F30" i="23" s="1"/>
  <c r="F15" i="23"/>
  <c r="F13" i="23"/>
  <c r="G26" i="23"/>
  <c r="H26" i="23" s="1"/>
  <c r="G15" i="23"/>
  <c r="I42" i="4"/>
  <c r="I59" i="4" s="1"/>
  <c r="L24" i="4"/>
  <c r="M9" i="17"/>
  <c r="M14" i="17" s="1"/>
  <c r="M15" i="17" s="1"/>
  <c r="F6" i="6"/>
  <c r="F48" i="6"/>
  <c r="F50" i="6"/>
  <c r="J126" i="21"/>
  <c r="L68" i="21"/>
  <c r="L99" i="21" s="1"/>
  <c r="N49" i="18"/>
  <c r="K59" i="21"/>
  <c r="J110" i="21"/>
  <c r="K126" i="21"/>
  <c r="K124" i="21"/>
  <c r="K106" i="21" s="1"/>
  <c r="L58" i="21"/>
  <c r="L120" i="21"/>
  <c r="L119" i="21"/>
  <c r="J93" i="21"/>
  <c r="J97" i="21" s="1"/>
  <c r="J61" i="21"/>
  <c r="K79" i="21"/>
  <c r="L79" i="21"/>
  <c r="M24" i="4"/>
  <c r="M46" i="4"/>
  <c r="I5" i="18"/>
  <c r="H113" i="21"/>
  <c r="I38" i="18"/>
  <c r="I24" i="6"/>
  <c r="I25" i="6" s="1"/>
  <c r="I22" i="17"/>
  <c r="I30" i="17" s="1"/>
  <c r="I40" i="17" s="1"/>
  <c r="J17" i="4"/>
  <c r="J20" i="4" s="1"/>
  <c r="H60" i="18"/>
  <c r="G56" i="18"/>
  <c r="I13" i="21"/>
  <c r="J22" i="18"/>
  <c r="J20" i="18" s="1"/>
  <c r="J17" i="18" s="1"/>
  <c r="E40" i="6"/>
  <c r="E41" i="6"/>
  <c r="E11" i="6"/>
  <c r="E51" i="6"/>
  <c r="G136" i="21"/>
  <c r="G138" i="21" s="1"/>
  <c r="G132" i="21"/>
  <c r="H7" i="18"/>
  <c r="H28" i="4"/>
  <c r="H29" i="4" s="1"/>
  <c r="G33" i="6"/>
  <c r="G34" i="6" s="1"/>
  <c r="H9" i="4"/>
  <c r="H34" i="4"/>
  <c r="G44" i="17"/>
  <c r="G10" i="6"/>
  <c r="F47" i="6"/>
  <c r="F49" i="6"/>
  <c r="L25" i="4"/>
  <c r="J132" i="21"/>
  <c r="K61" i="18"/>
  <c r="K4" i="21"/>
  <c r="K8" i="21" s="1"/>
  <c r="L23" i="17" s="1"/>
  <c r="L19" i="18"/>
  <c r="L18" i="18" s="1"/>
  <c r="K13" i="4" l="1"/>
  <c r="K70" i="21"/>
  <c r="K57" i="6"/>
  <c r="K42" i="6"/>
  <c r="M20" i="17"/>
  <c r="G74" i="4"/>
  <c r="F76" i="4"/>
  <c r="G75" i="4" s="1"/>
  <c r="L24" i="6"/>
  <c r="L25" i="6" s="1"/>
  <c r="I4" i="6"/>
  <c r="J111" i="21"/>
  <c r="L57" i="6"/>
  <c r="H12" i="23"/>
  <c r="G27" i="23"/>
  <c r="H27" i="23" s="1"/>
  <c r="H30" i="23" s="1"/>
  <c r="H14" i="23"/>
  <c r="H13" i="23"/>
  <c r="H15" i="23"/>
  <c r="H36" i="4"/>
  <c r="L70" i="21"/>
  <c r="K61" i="21"/>
  <c r="K93" i="21"/>
  <c r="K97" i="21" s="1"/>
  <c r="L122" i="21"/>
  <c r="L126" i="21" s="1"/>
  <c r="N8" i="18"/>
  <c r="L59" i="21"/>
  <c r="J44" i="4"/>
  <c r="J43" i="4"/>
  <c r="H33" i="18"/>
  <c r="G5" i="6"/>
  <c r="H42" i="17"/>
  <c r="H141" i="21"/>
  <c r="H107" i="21" s="1"/>
  <c r="H110" i="21" s="1"/>
  <c r="H111" i="21" s="1"/>
  <c r="H114" i="21" s="1"/>
  <c r="G143" i="21"/>
  <c r="I43" i="18" s="1"/>
  <c r="I40" i="18" s="1"/>
  <c r="G144" i="21"/>
  <c r="I9" i="18" s="1"/>
  <c r="J13" i="21"/>
  <c r="K22" i="18"/>
  <c r="K20" i="18" s="1"/>
  <c r="K17" i="18" s="1"/>
  <c r="G43" i="6"/>
  <c r="G63" i="18"/>
  <c r="G65" i="18" s="1"/>
  <c r="F8" i="6"/>
  <c r="I28" i="6"/>
  <c r="I31" i="6" s="1"/>
  <c r="I42" i="6"/>
  <c r="I37" i="18"/>
  <c r="I64" i="4"/>
  <c r="M25" i="4"/>
  <c r="H61" i="18"/>
  <c r="I60" i="18" s="1"/>
  <c r="H8" i="4"/>
  <c r="H13" i="4" s="1"/>
  <c r="H71" i="4"/>
  <c r="H131" i="21"/>
  <c r="K141" i="21"/>
  <c r="K107" i="21" s="1"/>
  <c r="K110" i="21" s="1"/>
  <c r="K42" i="17"/>
  <c r="K33" i="6" s="1"/>
  <c r="K34" i="6" s="1"/>
  <c r="K11" i="21"/>
  <c r="M19" i="18" s="1"/>
  <c r="M18" i="18" s="1"/>
  <c r="L22" i="17"/>
  <c r="L30" i="17" s="1"/>
  <c r="L40" i="17" s="1"/>
  <c r="K131" i="21" s="1"/>
  <c r="K136" i="21" s="1"/>
  <c r="K138" i="21" s="1"/>
  <c r="M17" i="4"/>
  <c r="M20" i="4" s="1"/>
  <c r="L4" i="21" l="1"/>
  <c r="L8" i="21" s="1"/>
  <c r="M23" i="17" s="1"/>
  <c r="M22" i="17" s="1"/>
  <c r="M30" i="17" s="1"/>
  <c r="M40" i="17" s="1"/>
  <c r="L131" i="21" s="1"/>
  <c r="K111" i="21"/>
  <c r="G76" i="4"/>
  <c r="H75" i="4" s="1"/>
  <c r="L42" i="6"/>
  <c r="L28" i="6"/>
  <c r="L31" i="6" s="1"/>
  <c r="H38" i="4"/>
  <c r="J42" i="4"/>
  <c r="J59" i="4" s="1"/>
  <c r="H72" i="4"/>
  <c r="G6" i="6"/>
  <c r="G48" i="6"/>
  <c r="G50" i="6"/>
  <c r="L124" i="21"/>
  <c r="L106" i="21" s="1"/>
  <c r="L93" i="21"/>
  <c r="L97" i="21" s="1"/>
  <c r="L61" i="21"/>
  <c r="J4" i="6"/>
  <c r="K44" i="4"/>
  <c r="K43" i="4"/>
  <c r="H56" i="18"/>
  <c r="I113" i="21"/>
  <c r="J38" i="18"/>
  <c r="J5" i="18"/>
  <c r="F40" i="6"/>
  <c r="F11" i="6"/>
  <c r="F51" i="6"/>
  <c r="F41" i="6"/>
  <c r="K13" i="21"/>
  <c r="L22" i="18"/>
  <c r="L20" i="18" s="1"/>
  <c r="L17" i="18" s="1"/>
  <c r="G47" i="6"/>
  <c r="G49" i="6"/>
  <c r="H10" i="6"/>
  <c r="H43" i="6" s="1"/>
  <c r="H136" i="21"/>
  <c r="H138" i="21" s="1"/>
  <c r="H132" i="21"/>
  <c r="H33" i="6"/>
  <c r="H34" i="6" s="1"/>
  <c r="I34" i="4"/>
  <c r="I9" i="4"/>
  <c r="H44" i="17"/>
  <c r="L9" i="4"/>
  <c r="K44" i="17"/>
  <c r="L61" i="18" s="1"/>
  <c r="I71" i="4"/>
  <c r="I28" i="4"/>
  <c r="I29" i="4" s="1"/>
  <c r="I7" i="18"/>
  <c r="K132" i="21"/>
  <c r="L11" i="21"/>
  <c r="N19" i="18" s="1"/>
  <c r="N18" i="18" s="1"/>
  <c r="L132" i="21" l="1"/>
  <c r="L136" i="21"/>
  <c r="L138" i="21" s="1"/>
  <c r="H74" i="4"/>
  <c r="H63" i="18"/>
  <c r="H65" i="18" s="1"/>
  <c r="I36" i="4"/>
  <c r="I72" i="4"/>
  <c r="G8" i="6"/>
  <c r="G11" i="6" s="1"/>
  <c r="K42" i="4"/>
  <c r="K59" i="4" s="1"/>
  <c r="K4" i="6"/>
  <c r="L43" i="4"/>
  <c r="L44" i="4"/>
  <c r="L8" i="4"/>
  <c r="L13" i="4" s="1"/>
  <c r="I33" i="18"/>
  <c r="H5" i="6"/>
  <c r="M22" i="18"/>
  <c r="M20" i="18" s="1"/>
  <c r="M17" i="18" s="1"/>
  <c r="L13" i="21"/>
  <c r="N22" i="18" s="1"/>
  <c r="N20" i="18" s="1"/>
  <c r="N17" i="18" s="1"/>
  <c r="J37" i="18"/>
  <c r="J64" i="4"/>
  <c r="I61" i="18"/>
  <c r="I8" i="4"/>
  <c r="I13" i="4" s="1"/>
  <c r="H144" i="21"/>
  <c r="J9" i="18" s="1"/>
  <c r="I42" i="17"/>
  <c r="I141" i="21"/>
  <c r="I107" i="21" s="1"/>
  <c r="I110" i="21" s="1"/>
  <c r="I111" i="21" s="1"/>
  <c r="I114" i="21" s="1"/>
  <c r="H143" i="21"/>
  <c r="J43" i="18" s="1"/>
  <c r="J40" i="18" s="1"/>
  <c r="L42" i="17"/>
  <c r="L33" i="6" s="1"/>
  <c r="L34" i="6" s="1"/>
  <c r="L141" i="21"/>
  <c r="L107" i="21" s="1"/>
  <c r="L110" i="21" s="1"/>
  <c r="L111" i="21" s="1"/>
  <c r="M42" i="17"/>
  <c r="M44" i="17" s="1"/>
  <c r="N61" i="18" s="1"/>
  <c r="I38" i="4" l="1"/>
  <c r="H76" i="4"/>
  <c r="I75" i="4" s="1"/>
  <c r="G51" i="6"/>
  <c r="L42" i="4"/>
  <c r="L59" i="4" s="1"/>
  <c r="H6" i="6"/>
  <c r="H50" i="6"/>
  <c r="H48" i="6"/>
  <c r="G41" i="6"/>
  <c r="I143" i="21"/>
  <c r="K43" i="18" s="1"/>
  <c r="K40" i="18" s="1"/>
  <c r="G40" i="6"/>
  <c r="M9" i="4"/>
  <c r="J143" i="21"/>
  <c r="L43" i="18" s="1"/>
  <c r="L44" i="17"/>
  <c r="M61" i="18" s="1"/>
  <c r="K143" i="21"/>
  <c r="M43" i="18" s="1"/>
  <c r="M40" i="18" s="1"/>
  <c r="I144" i="21"/>
  <c r="K9" i="18" s="1"/>
  <c r="L4" i="6"/>
  <c r="M43" i="4"/>
  <c r="M44" i="4"/>
  <c r="J144" i="21"/>
  <c r="L9" i="18" s="1"/>
  <c r="K144" i="21"/>
  <c r="M9" i="18" s="1"/>
  <c r="I33" i="6"/>
  <c r="I34" i="6" s="1"/>
  <c r="J34" i="4"/>
  <c r="J9" i="4"/>
  <c r="I44" i="17"/>
  <c r="I10" i="6"/>
  <c r="H49" i="6"/>
  <c r="H47" i="6"/>
  <c r="K5" i="18"/>
  <c r="J113" i="21"/>
  <c r="J114" i="21" s="1"/>
  <c r="K38" i="18"/>
  <c r="J7" i="18"/>
  <c r="J28" i="4"/>
  <c r="J29" i="4" s="1"/>
  <c r="J60" i="18"/>
  <c r="I56" i="18"/>
  <c r="L144" i="21"/>
  <c r="N9" i="18" s="1"/>
  <c r="N7" i="18" s="1"/>
  <c r="L143" i="21"/>
  <c r="N43" i="18" s="1"/>
  <c r="N40" i="18" s="1"/>
  <c r="I74" i="4" l="1"/>
  <c r="I76" i="4" s="1"/>
  <c r="J75" i="4" s="1"/>
  <c r="L7" i="18"/>
  <c r="J36" i="4"/>
  <c r="K7" i="18"/>
  <c r="K28" i="4"/>
  <c r="K29" i="4" s="1"/>
  <c r="L34" i="4"/>
  <c r="K34" i="4"/>
  <c r="M8" i="4"/>
  <c r="M13" i="4" s="1"/>
  <c r="M34" i="4"/>
  <c r="L40" i="18"/>
  <c r="L28" i="4"/>
  <c r="L29" i="4" s="1"/>
  <c r="M42" i="4"/>
  <c r="M59" i="4" s="1"/>
  <c r="M7" i="18"/>
  <c r="M28" i="4"/>
  <c r="M29" i="4" s="1"/>
  <c r="J33" i="18"/>
  <c r="I5" i="6"/>
  <c r="H8" i="6"/>
  <c r="I63" i="18"/>
  <c r="I65" i="18" s="1"/>
  <c r="K64" i="4"/>
  <c r="K37" i="18"/>
  <c r="J71" i="4"/>
  <c r="L38" i="18"/>
  <c r="K113" i="21"/>
  <c r="K114" i="21" s="1"/>
  <c r="L5" i="18"/>
  <c r="J8" i="4"/>
  <c r="J13" i="4" s="1"/>
  <c r="J61" i="18"/>
  <c r="J56" i="18" s="1"/>
  <c r="I43" i="6"/>
  <c r="J10" i="6" l="1"/>
  <c r="J5" i="6"/>
  <c r="J6" i="6" s="1"/>
  <c r="J38" i="4"/>
  <c r="K33" i="18"/>
  <c r="M36" i="4"/>
  <c r="M38" i="4" s="1"/>
  <c r="J72" i="4"/>
  <c r="K36" i="4"/>
  <c r="K38" i="4" s="1"/>
  <c r="L36" i="4"/>
  <c r="L38" i="4" s="1"/>
  <c r="I6" i="6"/>
  <c r="I50" i="6"/>
  <c r="I48" i="6"/>
  <c r="J63" i="18"/>
  <c r="J65" i="18" s="1"/>
  <c r="I8" i="6"/>
  <c r="K60" i="18"/>
  <c r="I49" i="6"/>
  <c r="I47" i="6"/>
  <c r="L113" i="21"/>
  <c r="L114" i="21" s="1"/>
  <c r="M38" i="18"/>
  <c r="M5" i="18"/>
  <c r="H51" i="6"/>
  <c r="H40" i="6"/>
  <c r="H11" i="6"/>
  <c r="H41" i="6"/>
  <c r="L37" i="18"/>
  <c r="L64" i="4"/>
  <c r="K5" i="6"/>
  <c r="L33" i="18"/>
  <c r="J48" i="6" l="1"/>
  <c r="J49" i="6"/>
  <c r="J47" i="6"/>
  <c r="J43" i="6"/>
  <c r="J50" i="6"/>
  <c r="J74" i="4"/>
  <c r="K10" i="6"/>
  <c r="K50" i="6" s="1"/>
  <c r="K6" i="6"/>
  <c r="M64" i="4"/>
  <c r="M37" i="18"/>
  <c r="N5" i="18"/>
  <c r="N33" i="18" s="1"/>
  <c r="N38" i="18"/>
  <c r="N37" i="18" s="1"/>
  <c r="I11" i="6"/>
  <c r="I40" i="6"/>
  <c r="I51" i="6"/>
  <c r="I41" i="6"/>
  <c r="L5" i="6"/>
  <c r="M33" i="18"/>
  <c r="K71" i="4"/>
  <c r="L60" i="18"/>
  <c r="K56" i="18"/>
  <c r="K47" i="6" l="1"/>
  <c r="K43" i="6"/>
  <c r="K49" i="6"/>
  <c r="K48" i="6"/>
  <c r="L10" i="6"/>
  <c r="L43" i="6" s="1"/>
  <c r="J76" i="4"/>
  <c r="K75" i="4" s="1"/>
  <c r="K72" i="4"/>
  <c r="L6" i="6"/>
  <c r="L71" i="4"/>
  <c r="M60" i="18"/>
  <c r="L56" i="18"/>
  <c r="J8" i="6"/>
  <c r="K63" i="18"/>
  <c r="K65" i="18" s="1"/>
  <c r="L49" i="6" l="1"/>
  <c r="L48" i="6"/>
  <c r="L47" i="6"/>
  <c r="L50" i="6"/>
  <c r="K74" i="4"/>
  <c r="L72" i="4"/>
  <c r="M71" i="4"/>
  <c r="N60" i="18"/>
  <c r="N56" i="18" s="1"/>
  <c r="N63" i="18" s="1"/>
  <c r="N65" i="18" s="1"/>
  <c r="M56" i="18"/>
  <c r="J41" i="6"/>
  <c r="J11" i="6"/>
  <c r="J40" i="6"/>
  <c r="J51" i="6"/>
  <c r="L63" i="18"/>
  <c r="L65" i="18" s="1"/>
  <c r="K8" i="6"/>
  <c r="L74" i="4" l="1"/>
  <c r="K76" i="4"/>
  <c r="L75" i="4" s="1"/>
  <c r="M72" i="4"/>
  <c r="M63" i="18"/>
  <c r="M65" i="18" s="1"/>
  <c r="L8" i="6"/>
  <c r="K40" i="6"/>
  <c r="K41" i="6"/>
  <c r="K11" i="6"/>
  <c r="K51" i="6"/>
  <c r="L76" i="4" l="1"/>
  <c r="M75" i="4" s="1"/>
  <c r="M74" i="4"/>
  <c r="L11" i="6"/>
  <c r="L40" i="6"/>
  <c r="L41" i="6"/>
  <c r="L51" i="6"/>
  <c r="M76" i="4" l="1"/>
</calcChain>
</file>

<file path=xl/comments1.xml><?xml version="1.0" encoding="utf-8"?>
<comments xmlns="http://schemas.openxmlformats.org/spreadsheetml/2006/main">
  <authors>
    <author>Administrator</author>
  </authors>
  <commentList>
    <comment ref="D26" authorId="0" shapeId="0">
      <text>
        <r>
          <rPr>
            <b/>
            <sz val="9"/>
            <color indexed="81"/>
            <rFont val="Tahoma"/>
            <family val="2"/>
          </rPr>
          <t xml:space="preserve">Valerio:
</t>
        </r>
        <r>
          <rPr>
            <sz val="9"/>
            <color indexed="81"/>
            <rFont val="Tahoma"/>
            <family val="2"/>
          </rPr>
          <t xml:space="preserve">la formula assegna in automatico il punteggio del parametro 1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 xml:space="preserve">Valerio:
</t>
        </r>
        <r>
          <rPr>
            <sz val="9"/>
            <color indexed="81"/>
            <rFont val="Tahoma"/>
            <family val="2"/>
          </rPr>
          <t xml:space="preserve">la formula assegna in automatico il punteggio del parametro 1
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 xml:space="preserve">Valerio:
</t>
        </r>
        <r>
          <rPr>
            <sz val="9"/>
            <color indexed="81"/>
            <rFont val="Tahoma"/>
            <family val="2"/>
          </rPr>
          <t xml:space="preserve">la formula assegna in automatico il punteggio del parametro 1
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Valerio:</t>
        </r>
        <r>
          <rPr>
            <sz val="9"/>
            <color indexed="81"/>
            <rFont val="Tahoma"/>
            <family val="2"/>
          </rPr>
          <t xml:space="preserve">
la formula assegna in automatico il punteggio del parametro 2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Valerio:</t>
        </r>
        <r>
          <rPr>
            <sz val="9"/>
            <color indexed="81"/>
            <rFont val="Tahoma"/>
            <family val="2"/>
          </rPr>
          <t xml:space="preserve">
la formula assegna in automatico il punteggio del parametro 2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>Valerio:</t>
        </r>
        <r>
          <rPr>
            <sz val="9"/>
            <color indexed="81"/>
            <rFont val="Tahoma"/>
            <family val="2"/>
          </rPr>
          <t xml:space="preserve">
la formula assegna in automatico il punteggio del parametro 2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Valerio:</t>
        </r>
        <r>
          <rPr>
            <sz val="9"/>
            <color indexed="81"/>
            <rFont val="Tahoma"/>
            <family val="2"/>
          </rPr>
          <t xml:space="preserve">
la formula assegna in automatico il punteggio del parametro 3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Valerio:</t>
        </r>
        <r>
          <rPr>
            <sz val="9"/>
            <color indexed="81"/>
            <rFont val="Tahoma"/>
            <family val="2"/>
          </rPr>
          <t xml:space="preserve">
la formula assegna in automatico il punteggio del parametro 3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>Valerio:</t>
        </r>
        <r>
          <rPr>
            <sz val="9"/>
            <color indexed="81"/>
            <rFont val="Tahoma"/>
            <family val="2"/>
          </rPr>
          <t xml:space="preserve">
la formula assegna in automatico il punteggio del parametro 3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Valerio:</t>
        </r>
        <r>
          <rPr>
            <sz val="9"/>
            <color indexed="81"/>
            <rFont val="Tahoma"/>
            <family val="2"/>
          </rPr>
          <t xml:space="preserve">
la formula assegna in automatico il punteggio del parametro 4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Valerio:</t>
        </r>
        <r>
          <rPr>
            <sz val="9"/>
            <color indexed="81"/>
            <rFont val="Tahoma"/>
            <family val="2"/>
          </rPr>
          <t xml:space="preserve">
la formula assegna in automatico il punteggio del parametro 4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>Valerio:</t>
        </r>
        <r>
          <rPr>
            <sz val="9"/>
            <color indexed="81"/>
            <rFont val="Tahoma"/>
            <family val="2"/>
          </rPr>
          <t xml:space="preserve">
la formula assegna in automatico il punteggio del parametro 4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 xml:space="preserve">Valerio:
</t>
        </r>
        <r>
          <rPr>
            <sz val="9"/>
            <color indexed="81"/>
            <rFont val="Tahoma"/>
            <family val="2"/>
          </rPr>
          <t xml:space="preserve">punteggio parametro 1 + 
punteggio parametro 2 + 
punteggio parametro 3 + punteggio parametro 4
 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 xml:space="preserve">Valerio:
</t>
        </r>
        <r>
          <rPr>
            <sz val="9"/>
            <color indexed="81"/>
            <rFont val="Tahoma"/>
            <family val="2"/>
          </rPr>
          <t xml:space="preserve">punteggio parametro 1 + 
punteggio parametro 2 + 
punteggio parametro 3 + punteggio parametro 4
 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</rPr>
          <t xml:space="preserve">Valerio:
</t>
        </r>
        <r>
          <rPr>
            <sz val="9"/>
            <color indexed="81"/>
            <rFont val="Tahoma"/>
            <family val="2"/>
          </rPr>
          <t xml:space="preserve">punteggio parametro 1 + 
punteggio parametro 2 + 
punteggio parametro 3 + punteggio parametro 4
 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55" authorId="0" shapeId="0">
      <text>
        <r>
          <rPr>
            <b/>
            <sz val="9"/>
            <color indexed="81"/>
            <rFont val="Tahoma"/>
            <family val="2"/>
          </rPr>
          <t xml:space="preserve">Valerio:
</t>
        </r>
        <r>
          <rPr>
            <sz val="9"/>
            <color indexed="81"/>
            <rFont val="Tahoma"/>
            <family val="2"/>
          </rPr>
          <t xml:space="preserve">
crediti / fatturato x 365
L’indice di durata media dei crediti è dato dalla differenza tra il saldo annuo dei crediti commerciali al netto del relativo fondo svalutazione crediti (CR) e i ricavi netti (V) diviso 365 (giorni dell’anno solare). L’IDC evidenzia la dilazione mediamente concessa ai clienti e quanto più risulta elevato o quanto più incrementa nel periodo, tanto maggiore sarà l’investimento in attività correnti.
IDC = CR/(V/365)</t>
        </r>
      </text>
    </comment>
    <comment ref="B56" authorId="0" shapeId="0">
      <text>
        <r>
          <rPr>
            <b/>
            <sz val="9"/>
            <color indexed="81"/>
            <rFont val="Tahoma"/>
            <family val="2"/>
          </rPr>
          <t xml:space="preserve">Valerio:
</t>
        </r>
        <r>
          <rPr>
            <sz val="9"/>
            <color indexed="81"/>
            <rFont val="Tahoma"/>
            <family val="2"/>
          </rPr>
          <t xml:space="preserve">
dato da:
rimanenze / fatturato x 365
L’indice di durata media delle scorte è dato dal rapporto tra le scorte (S) e il costo del venduto (CV) diviso 365, mostra il tempo in giorni mediamente necessario per far sì che tale categoria di impiego torni in forma liquida disponibile per l’impresa. 
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</rPr>
          <t xml:space="preserve">Valerio:
</t>
        </r>
        <r>
          <rPr>
            <sz val="9"/>
            <color indexed="81"/>
            <rFont val="Tahoma"/>
            <family val="2"/>
          </rPr>
          <t>dato da:</t>
        </r>
        <r>
          <rPr>
            <b/>
            <sz val="9"/>
            <color indexed="81"/>
            <rFont val="Tahoma"/>
            <family val="2"/>
          </rPr>
          <t xml:space="preserve">
debiti vs fornitori / (acquisti +servizi+godimento beni terzi) * 365
</t>
        </r>
        <r>
          <rPr>
            <sz val="9"/>
            <color indexed="81"/>
            <rFont val="Tahoma"/>
            <family val="2"/>
          </rPr>
          <t xml:space="preserve">
L’indice di durata media dei debiti è dato dal rapporto tra il saldo annuo dei debiti verso fornitori (DB) e il totale degli acquisti di beni e servizi del periodo (A) (qualora la variazione finanziaria di questi ultimi sia inserita nel suddetto saldo) diviso 365. Tanto maggiore è tale quoziente, tanto più elevata sarà la parte di capitale circolante finanziata con debiti non onerosi e quindi inferiore sarà il CCN.
IDD = DB/(A/365)</t>
        </r>
      </text>
    </comment>
  </commentList>
</comments>
</file>

<file path=xl/sharedStrings.xml><?xml version="1.0" encoding="utf-8"?>
<sst xmlns="http://schemas.openxmlformats.org/spreadsheetml/2006/main" count="1622" uniqueCount="1217">
  <si>
    <t>Numero Anni</t>
  </si>
  <si>
    <t>Parametri</t>
  </si>
  <si>
    <t>Ires</t>
  </si>
  <si>
    <t>Irap</t>
  </si>
  <si>
    <t>Imposte</t>
  </si>
  <si>
    <t>Aliquota Iva</t>
  </si>
  <si>
    <t>% Distribuzione Utili</t>
  </si>
  <si>
    <t>Sezione Ricavi</t>
  </si>
  <si>
    <t>Incremento Fatturato</t>
  </si>
  <si>
    <t>gg dilazione media clienti</t>
  </si>
  <si>
    <t>Sezione Costi</t>
  </si>
  <si>
    <t>gg media dilazione fornitori materie prime</t>
  </si>
  <si>
    <t>Incremento costi gestione</t>
  </si>
  <si>
    <t>Incremento costi personale</t>
  </si>
  <si>
    <t>Sezioni Finanziamenti</t>
  </si>
  <si>
    <t>Totale Finanziamenti medio lungo termine</t>
  </si>
  <si>
    <t>Piano ammortamento quota capitale</t>
  </si>
  <si>
    <t>Piano ammortamento oneri finanziari</t>
  </si>
  <si>
    <t>Sezioni Capitale Proprio / Contributi Fondo Perduto</t>
  </si>
  <si>
    <t>Aumento Capitale</t>
  </si>
  <si>
    <t>Contributi Fondo Perduto Impianti</t>
  </si>
  <si>
    <t>Contributi Fondo Perduto Gestione</t>
  </si>
  <si>
    <t>Mutui e Finanziamenti</t>
  </si>
  <si>
    <t>Rimoborso quota capitale</t>
  </si>
  <si>
    <t>oneri finanziari</t>
  </si>
  <si>
    <t>Fondo TFR</t>
  </si>
  <si>
    <t>Altri Fondi</t>
  </si>
  <si>
    <t>Debiti Verso Collegate e Controllate</t>
  </si>
  <si>
    <t>Altri Debiti a m/l termine</t>
  </si>
  <si>
    <t>Enti Previd., Assistenziali, Ritenute personale</t>
  </si>
  <si>
    <t>Debiti tributari</t>
  </si>
  <si>
    <t>Altri debiti</t>
  </si>
  <si>
    <t>Ratei e Risconti Passivi</t>
  </si>
  <si>
    <t xml:space="preserve">       - Crediti v/clienti</t>
  </si>
  <si>
    <t xml:space="preserve">      - Erario c/acc. Imposte e Ritenute</t>
  </si>
  <si>
    <t xml:space="preserve">      - Ratei e Risconti Attivi</t>
  </si>
  <si>
    <t xml:space="preserve">      - Altri Crediti, fatture da emettere, ecc</t>
  </si>
  <si>
    <t>Immobilizzazioni Materiali</t>
  </si>
  <si>
    <t>Investimento Residuo</t>
  </si>
  <si>
    <t>Anni Residui Ammortamento</t>
  </si>
  <si>
    <t>Fabbricati</t>
  </si>
  <si>
    <t>Impianti e Macchinari</t>
  </si>
  <si>
    <t>Attrezzature industriali e commerciali</t>
  </si>
  <si>
    <t>Altri beni</t>
  </si>
  <si>
    <t>Immobilizzazioni Immateriali</t>
  </si>
  <si>
    <t>Costi d'impianto e ampliamento</t>
  </si>
  <si>
    <t>Ricerca&amp; Sviluppo</t>
  </si>
  <si>
    <t>Altre immobilizzazioni immateriali</t>
  </si>
  <si>
    <t>Immobilizzazioni Finanziarie</t>
  </si>
  <si>
    <t>Nuovi Investimenti</t>
  </si>
  <si>
    <t>Aliquota Amm.to</t>
  </si>
  <si>
    <t>Iva</t>
  </si>
  <si>
    <t>Ammortamento Anno 1</t>
  </si>
  <si>
    <t>Ammortamento Anno 2</t>
  </si>
  <si>
    <t>Ammortamento Anno 3</t>
  </si>
  <si>
    <t>Ammortamento Anno 4</t>
  </si>
  <si>
    <t>Ammortamento Anno 5</t>
  </si>
  <si>
    <t>Ammortamento Anno 6</t>
  </si>
  <si>
    <t>Ammortamento Anno 7</t>
  </si>
  <si>
    <t>Ammortamento Anno 8</t>
  </si>
  <si>
    <t>Ammortamento Anno 9</t>
  </si>
  <si>
    <t>Ammortamento Anno 10</t>
  </si>
  <si>
    <t>Totale Ammortamenti</t>
  </si>
  <si>
    <t>Totale Ammortamenti Materiali</t>
  </si>
  <si>
    <t>Totale Ammortamenti Immateriali</t>
  </si>
  <si>
    <t>LabelIT</t>
  </si>
  <si>
    <t>prefix</t>
  </si>
  <si>
    <t>firstItemRow</t>
  </si>
  <si>
    <t>lastItemRow</t>
  </si>
  <si>
    <t>Name</t>
  </si>
  <si>
    <t>nomeFoglio</t>
  </si>
  <si>
    <t>firstItemRowIstanza</t>
  </si>
  <si>
    <t>inputAnnoRif</t>
  </si>
  <si>
    <t>Stato patrimoniale (schema civilistico)</t>
  </si>
  <si>
    <t>Sp</t>
  </si>
  <si>
    <t>F</t>
  </si>
  <si>
    <t>SP</t>
  </si>
  <si>
    <t>G</t>
  </si>
  <si>
    <t>MENU</t>
  </si>
  <si>
    <t>CELLE INPUT</t>
  </si>
  <si>
    <t>formula</t>
  </si>
  <si>
    <t>formula_1</t>
  </si>
  <si>
    <t>livello</t>
  </si>
  <si>
    <t>Label - Standard (en)</t>
  </si>
  <si>
    <t>Stato patrimoniale</t>
  </si>
  <si>
    <t>Balance sheet (mandatory scheme)</t>
  </si>
  <si>
    <t>StatoPatrimoniale</t>
  </si>
  <si>
    <t/>
  </si>
  <si>
    <t>Attivo</t>
  </si>
  <si>
    <t>Assets</t>
  </si>
  <si>
    <t>A) Crediti verso soci per versamenti ancora dovuti</t>
  </si>
  <si>
    <t>A) Receivables from shareholders</t>
  </si>
  <si>
    <t>CreditiVersoSociVersamentiAncoraDovuti</t>
  </si>
  <si>
    <t>Parte richiamata</t>
  </si>
  <si>
    <t>Called</t>
  </si>
  <si>
    <t>CreditiVersoSociVersamentiAncoraDovutiParteRichiamata</t>
  </si>
  <si>
    <t>Parte da richiamare</t>
  </si>
  <si>
    <t>To be called</t>
  </si>
  <si>
    <t>CreditiVersoSociVersamentiAncoraDovutiParteRichiamare</t>
  </si>
  <si>
    <t>Totale crediti verso soci per versamenti ancora dovuti (A)</t>
  </si>
  <si>
    <t>Total receivables from shareholders (A)</t>
  </si>
  <si>
    <t>TotaleCreditiVersoSociVersamentiAncoraDovuti</t>
  </si>
  <si>
    <t>B) Immobilizzazioni</t>
  </si>
  <si>
    <t>B) Fixed assets</t>
  </si>
  <si>
    <t>Immobilizzazioni</t>
  </si>
  <si>
    <t>I - Immobilizzazioni immateriali</t>
  </si>
  <si>
    <t>I - Intangible fixed assets</t>
  </si>
  <si>
    <t>ImmobilizzazioniImmateriali</t>
  </si>
  <si>
    <t>1) costi di impianto e di ampliamento</t>
  </si>
  <si>
    <t>1) start-up and expansion costs</t>
  </si>
  <si>
    <t>ImmobilizzazioniImmaterialiCostiImpiantoAmpliamento</t>
  </si>
  <si>
    <t>2) costi di sviluppo </t>
  </si>
  <si>
    <t>2) research, development and adverstising costs</t>
  </si>
  <si>
    <t>ImmobilizzazioniImmaterialiCostiRicercaSviluppoPubblicita</t>
  </si>
  <si>
    <t>3) diritti di brevetto industriale e diritti di utilizzazione delle opere dell'ingegno</t>
  </si>
  <si>
    <t>3) industrial patents and intellectual property rights</t>
  </si>
  <si>
    <t>ImmobilizzazioniImmaterialiDirittiBrevettoIndustrialeDirittiUtilizzazioneOpereIngegno</t>
  </si>
  <si>
    <t>4) concessioni, licenze, marchi e diritti simili</t>
  </si>
  <si>
    <t>4) concessions, licenses, trademarks and similar rights</t>
  </si>
  <si>
    <t>ImmobilizzazioniImmaterialiConcessioniLicenzeMarchiDirittiSimili</t>
  </si>
  <si>
    <t>5) avviamento</t>
  </si>
  <si>
    <t>5) goodwill</t>
  </si>
  <si>
    <t>ImmobilizzazioniImmaterialiAvviamento</t>
  </si>
  <si>
    <t>6) immobilizzazioni in corso e acconti</t>
  </si>
  <si>
    <t>6) assets in process of formation and advances</t>
  </si>
  <si>
    <t>ImmobilizzazioniImmaterialiImmobilizzazioniCorsoAcconti</t>
  </si>
  <si>
    <t>7) altre.</t>
  </si>
  <si>
    <t>7) other</t>
  </si>
  <si>
    <t>ImmobilizzazioniImmaterialiAltre</t>
  </si>
  <si>
    <t>Totale immobilizzazioni immateriali</t>
  </si>
  <si>
    <t>Total intangible fixed assets</t>
  </si>
  <si>
    <t>TotaleImmobilizzazioniImmateriali</t>
  </si>
  <si>
    <t>II - Immobilizzazioni materiali</t>
  </si>
  <si>
    <t>II - Tangible fixed assets</t>
  </si>
  <si>
    <t>ImmobilizzazioniMateriali</t>
  </si>
  <si>
    <t>1) terreni e fabbricati</t>
  </si>
  <si>
    <t>1) land and buildings</t>
  </si>
  <si>
    <t>ImmobilizzazioniMaterialiTerreniFabbricati</t>
  </si>
  <si>
    <t>2) impianti e macchinario</t>
  </si>
  <si>
    <t>2) plant and machinery</t>
  </si>
  <si>
    <t>ImmobilizzazioniMaterialiImpiantiMacchinario</t>
  </si>
  <si>
    <t>3) attrezzature industriali e commerciali</t>
  </si>
  <si>
    <t>3) industrial and commercial equipment</t>
  </si>
  <si>
    <t>ImmobilizzazioniMaterialiAttrezzatureIndustrialiCommerciali</t>
  </si>
  <si>
    <t>4) altri beni</t>
  </si>
  <si>
    <t>4) other assets</t>
  </si>
  <si>
    <t>ImmobilizzazioniMaterialiAltriBeni</t>
  </si>
  <si>
    <t>5) immobilizzazioni in corso e acconti.</t>
  </si>
  <si>
    <t>5) assets in process of formation and advances</t>
  </si>
  <si>
    <t>ImmobilizzazioniMaterialiImmobilizzazioniCorsoAcconti</t>
  </si>
  <si>
    <t>Totale immobilizzazioni materiali</t>
  </si>
  <si>
    <t>Total tangible fixed assets</t>
  </si>
  <si>
    <t>TotaleImmobilizzazioniMateriali</t>
  </si>
  <si>
    <t>III - Immobilizzazioni finanziarie</t>
  </si>
  <si>
    <t>III - Financial fixed assets</t>
  </si>
  <si>
    <t>ImmobilizzazioniFinanziarie</t>
  </si>
  <si>
    <t>1) partecipazioni in</t>
  </si>
  <si>
    <t>1) equity investments in</t>
  </si>
  <si>
    <t>ImmobilizzazioniFinanziariePartecipazioni</t>
  </si>
  <si>
    <t>a) imprese controllate</t>
  </si>
  <si>
    <t>a) subsidiary companies</t>
  </si>
  <si>
    <t>ImmobilizzazioniFinanziariePartecipazioniImpreseControllate</t>
  </si>
  <si>
    <t>b) imprese collegate</t>
  </si>
  <si>
    <t>b) associated companies</t>
  </si>
  <si>
    <t>ImmobilizzazioniFinanziariePartecipazioniImpreseCollegate</t>
  </si>
  <si>
    <t>c) imprese controllanti</t>
  </si>
  <si>
    <t>c) parent companies</t>
  </si>
  <si>
    <t>ImmobilizzazioniFinanziariePartecipazioniImpreseControllanti</t>
  </si>
  <si>
    <r>
      <t>d) </t>
    </r>
    <r>
      <rPr>
        <sz val="10"/>
        <color rgb="FFFF0000"/>
        <rFont val="Verdana"/>
        <family val="2"/>
      </rPr>
      <t>verso imprese sottoposte al controllo delle controllanti</t>
    </r>
  </si>
  <si>
    <r>
      <t xml:space="preserve"> d-</t>
    </r>
    <r>
      <rPr>
        <sz val="10"/>
        <color rgb="FFFF0000"/>
        <rFont val="Verdana"/>
        <family val="2"/>
      </rPr>
      <t>bis) altre imprese</t>
    </r>
  </si>
  <si>
    <t>d) third parties</t>
  </si>
  <si>
    <t>ImmobilizzazioniFinanziariePartecipazioniAltreImprese</t>
  </si>
  <si>
    <t>Totale partecipazioni</t>
  </si>
  <si>
    <t>Total equity investments</t>
  </si>
  <si>
    <t>ImmobilizzazioniFinanziariePartecipazioniTotalePartecipazioni</t>
  </si>
  <si>
    <t>2) crediti</t>
  </si>
  <si>
    <t>2) receivables due from</t>
  </si>
  <si>
    <t>ImmobilizzazioniFinanziarieCrediti</t>
  </si>
  <si>
    <t>a) verso imprese controllate</t>
  </si>
  <si>
    <t>ImmobilizzazioniFinanziarieCreditiVersoImpreseControllate</t>
  </si>
  <si>
    <t>esigibili entro l'esercizio successivo</t>
  </si>
  <si>
    <t>due within the following year</t>
  </si>
  <si>
    <t>ImmobilizzazioniFinanziarieCreditiVersoImpreseControllateEsigibiliEntroEsercizioSuccessivo</t>
  </si>
  <si>
    <t>esigibili oltre l'esercizio successivo</t>
  </si>
  <si>
    <t>due beyond the following year</t>
  </si>
  <si>
    <t>ImmobilizzazioniFinanziarieCreditiVersoImpreseControllateEsigibiliOltreEsercizioSuccessivo</t>
  </si>
  <si>
    <t>Totale crediti verso imprese controllate</t>
  </si>
  <si>
    <t>Total receivables due from subsidiary companies</t>
  </si>
  <si>
    <t>ImmobilizzazioniFinanziarieCreditiVersoImpreseControllateTotaleCreditiVersoImpreseControllate</t>
  </si>
  <si>
    <t>b) verso imprese collegate</t>
  </si>
  <si>
    <t>ImmobilizzazioniFinanziarieCreditiVersoImpreseCollegate</t>
  </si>
  <si>
    <t>ImmobilizzazioniFinanziarieCreditiVersoImpreseCollegateEsigibiliEntroEsercizioSuccessivo</t>
  </si>
  <si>
    <t>ImmobilizzazioniFinanziarieCreditiVersoImpreseCollegateEsigibiliOltreEsercizioSuccessivo</t>
  </si>
  <si>
    <t>Totale crediti verso imprese collegate</t>
  </si>
  <si>
    <t>Total receivables due from associated companies</t>
  </si>
  <si>
    <t>ImmobilizzazioniFinanziarieCreditiVersoImpreseCollegateTotaleCreditiVersoImpreseCollegate</t>
  </si>
  <si>
    <t>c) verso controllanti</t>
  </si>
  <si>
    <t>ImmobilizzazioniFinanziarieCreditiVersoControllanti</t>
  </si>
  <si>
    <t>ImmobilizzazioniFinanziarieCreditiVersoControllantiEsigibiliEntroEsercizioSuccessivo</t>
  </si>
  <si>
    <t>ImmobilizzazioniFinanziarieCreditiVersoControllantiEsigibiliOltreEsercizioSuccessivo</t>
  </si>
  <si>
    <t>Totale crediti verso controllanti</t>
  </si>
  <si>
    <t>Total receivables due from parent companies</t>
  </si>
  <si>
    <t>ImmobilizzazioniFinanziarieCreditiVersoControllantiTotaleCreditiVersoControllanti</t>
  </si>
  <si>
    <t>ImmobilizzazioniFinanziarieCreditiVersoAltri</t>
  </si>
  <si>
    <t>ImmobilizzazioniFinanziarieCreditiVersoAltriEsigibiliEntroEsercizioSuccessivo</t>
  </si>
  <si>
    <t>ImmobilizzazioniFinanziarieCreditiVersoAltriEsigibiliOltreEsercizioSuccessivo</t>
  </si>
  <si>
    <t>Totale crediti verso imprese sottoposte al controllo delle controllanti</t>
  </si>
  <si>
    <t>Total receivables due from third parties</t>
  </si>
  <si>
    <t>ImmobilizzazioniFinanziarieCreditiVersoAltriTotaleCreditiVersoAltri</t>
  </si>
  <si>
    <r>
      <t>d-</t>
    </r>
    <r>
      <rPr>
        <sz val="10"/>
        <color rgb="FFFF0000"/>
        <rFont val="Verdana"/>
        <family val="2"/>
      </rPr>
      <t>bis</t>
    </r>
    <r>
      <rPr>
        <sz val="10"/>
        <color rgb="FF000000"/>
        <rFont val="Verdana"/>
        <family val="2"/>
      </rPr>
      <t>) verso altri</t>
    </r>
  </si>
  <si>
    <t>Totale crediti verso altri</t>
  </si>
  <si>
    <t>Totale crediti</t>
  </si>
  <si>
    <t>Total receivables</t>
  </si>
  <si>
    <t>ImmobilizzazioniFinanziarieCreditiTotaleCrediti</t>
  </si>
  <si>
    <t>3) altri titoli</t>
  </si>
  <si>
    <t>3) other securities</t>
  </si>
  <si>
    <t>ImmobilizzazioniFinanziarieAltriTitoli</t>
  </si>
  <si>
    <r>
      <t>4) </t>
    </r>
    <r>
      <rPr>
        <sz val="10"/>
        <color rgb="FFFF0000"/>
        <rFont val="Verdana"/>
        <family val="2"/>
      </rPr>
      <t>strumenti finanziari derivati attivi.</t>
    </r>
  </si>
  <si>
    <t>4) own shares</t>
  </si>
  <si>
    <t>ImmobilizzazioniFinanziarieAzioniProprie</t>
  </si>
  <si>
    <t>Totale immobilizzazioni finanziarie</t>
  </si>
  <si>
    <t>Total financial fixed assets</t>
  </si>
  <si>
    <t>TotaleImmobilizzazioniFinanziarie</t>
  </si>
  <si>
    <t>Totale immobilizzazioni (B)</t>
  </si>
  <si>
    <t>Total fixed assets (B)</t>
  </si>
  <si>
    <t>TotaleImmobilizzazioni</t>
  </si>
  <si>
    <t>C) Attivo circolante</t>
  </si>
  <si>
    <t>C) Current assets</t>
  </si>
  <si>
    <t>AttivoCircolante</t>
  </si>
  <si>
    <t>I - Rimanenze</t>
  </si>
  <si>
    <t>I - Inventories</t>
  </si>
  <si>
    <t>Rimanenze</t>
  </si>
  <si>
    <t>1) materie prime, sussidiarie e di consumo</t>
  </si>
  <si>
    <t>1) raw, ancillary and consumable materials</t>
  </si>
  <si>
    <t>RimanenzeMateriePrimeSussidiarieConsumo</t>
  </si>
  <si>
    <t>2) prodotti in corso di lavorazione e semilavorati</t>
  </si>
  <si>
    <t>2) work in progress and semi-finished products</t>
  </si>
  <si>
    <t>RimanenzeProdottiCorsoLavorazioneSemilavorati</t>
  </si>
  <si>
    <t>3) lavori in corso su ordinazione</t>
  </si>
  <si>
    <t>3) contract work in progress</t>
  </si>
  <si>
    <t>RimanenzeLavoriCorsoOrdinazione</t>
  </si>
  <si>
    <t>4) prodotti finiti e merci</t>
  </si>
  <si>
    <t>4) finished products and goods for resale</t>
  </si>
  <si>
    <t>RimanenzeProdottiFinitiMerci</t>
  </si>
  <si>
    <t>5) acconti</t>
  </si>
  <si>
    <t>5) advances</t>
  </si>
  <si>
    <t>RimanenzeAcconti</t>
  </si>
  <si>
    <t>Totale rimanenze</t>
  </si>
  <si>
    <t>Total inventories</t>
  </si>
  <si>
    <t>TotaleRimanenze</t>
  </si>
  <si>
    <t>II - Crediti</t>
  </si>
  <si>
    <t>II - Receivables</t>
  </si>
  <si>
    <t>Crediti</t>
  </si>
  <si>
    <t>1) verso clienti</t>
  </si>
  <si>
    <t>1) trade accounts</t>
  </si>
  <si>
    <t>CreditiVersoClienti</t>
  </si>
  <si>
    <t>CreditiVersoClientiEsigibiliEntroEsercizioSuccessivo</t>
  </si>
  <si>
    <t>CreditiVersoClientiEsigibiliOltreEsercizioSuccessivo</t>
  </si>
  <si>
    <t>Totale crediti verso clienti</t>
  </si>
  <si>
    <t>Total trade accounts</t>
  </si>
  <si>
    <t>CreditiVersoClientiTotaleCreditiVersoClienti</t>
  </si>
  <si>
    <t>2) verso imprese controllate</t>
  </si>
  <si>
    <t>2) due from subsidiary companies</t>
  </si>
  <si>
    <t>CreditiVersoImpreseControllate</t>
  </si>
  <si>
    <t>CreditiVersoImpreseControllateEsigibiliEntroEsercizioSuccessivo</t>
  </si>
  <si>
    <t>CreditiVersoImpreseControllateEsigibiliOltreEsercizioSuccessivo</t>
  </si>
  <si>
    <t>CreditiVersoImpreseControllateTotaleCreditiVersoImpreseControllate</t>
  </si>
  <si>
    <t>3) verso imprese collegate</t>
  </si>
  <si>
    <t>3) due from associated companies</t>
  </si>
  <si>
    <t>CreditiVersoImpreseCollegate</t>
  </si>
  <si>
    <t>CreditiVersoImpreseCollegateEsigibiliEntroEsercizioSuccessivo</t>
  </si>
  <si>
    <t>CreditiVersoImpreseCollegateEsigibiliOltreEsercizioSuccessivo</t>
  </si>
  <si>
    <t>CreditiVersoImpreseCollegateTotaleCreditiVersoImpreseCollegate</t>
  </si>
  <si>
    <t>4) verso controllanti</t>
  </si>
  <si>
    <t>4) due from parent companies</t>
  </si>
  <si>
    <t>CreditiVersoControllanti</t>
  </si>
  <si>
    <t>CreditiVersoControllantiEsigibiliEntroEsercizioSuccessivo</t>
  </si>
  <si>
    <t>CreditiVersoControllantiEsigibiliOltreEsercizioSuccessivo</t>
  </si>
  <si>
    <t>CreditiVersoControllantiTotaleCreditiVersoControllanti</t>
  </si>
  <si>
    <t>5) verso imprese sottoposte al controllo di controllanti</t>
  </si>
  <si>
    <r>
      <rPr>
        <sz val="8"/>
        <color rgb="FFFF0000"/>
        <rFont val="Arial"/>
        <family val="2"/>
      </rPr>
      <t>5-bis)</t>
    </r>
    <r>
      <rPr>
        <sz val="8"/>
        <rFont val="Arial"/>
        <family val="2"/>
      </rPr>
      <t xml:space="preserve"> crediti tributari</t>
    </r>
  </si>
  <si>
    <t>4-bis) due from tax authorities</t>
  </si>
  <si>
    <t>CreditiCreditiTributari</t>
  </si>
  <si>
    <t>CreditiCreditiTributariEsigibiliEntroEsercizioSuccessivo</t>
  </si>
  <si>
    <t>CreditiCreditiTributariEsigibiliOltreEsercizioSuccessivo</t>
  </si>
  <si>
    <t>Totale crediti tributari</t>
  </si>
  <si>
    <t>Total receivables due from tax authorities</t>
  </si>
  <si>
    <t>CreditiCreditiTributariTotaleCreditiTributari</t>
  </si>
  <si>
    <r>
      <rPr>
        <sz val="8"/>
        <color rgb="FFFF0000"/>
        <rFont val="Arial"/>
        <family val="2"/>
      </rPr>
      <t xml:space="preserve">5-ter) </t>
    </r>
    <r>
      <rPr>
        <sz val="8"/>
        <rFont val="Arial"/>
        <family val="2"/>
      </rPr>
      <t>imposte anticipate</t>
    </r>
  </si>
  <si>
    <t>4-ter) advances on tax payments</t>
  </si>
  <si>
    <t>CreditiImposteAnticipate</t>
  </si>
  <si>
    <t>CreditiImposteAnticipateEsigibiliEntroEsercizioSuccessivo</t>
  </si>
  <si>
    <t>CreditiImposteAnticipateEsigibiliOltreEsercizioSuccessivo</t>
  </si>
  <si>
    <t>Totale imposte anticipate</t>
  </si>
  <si>
    <t>Total advances on tax payments</t>
  </si>
  <si>
    <t>CreditiImposteAnticipateTotaleImposteAnticipate</t>
  </si>
  <si>
    <r>
      <rPr>
        <sz val="8"/>
        <color rgb="FFFF0000"/>
        <rFont val="Arial"/>
        <family val="2"/>
      </rPr>
      <t>5 quater)</t>
    </r>
    <r>
      <rPr>
        <sz val="8"/>
        <rFont val="Arial"/>
        <family val="2"/>
      </rPr>
      <t xml:space="preserve"> verso altri</t>
    </r>
  </si>
  <si>
    <t>5) due from third parties</t>
  </si>
  <si>
    <t>CreditiVersoAltri</t>
  </si>
  <si>
    <t>CreditiVersoAltriEsigibiliEntroEsercizioSuccessivo</t>
  </si>
  <si>
    <t>CreditiVersoAltriEsigibiliOltreEsercizioSuccessivo</t>
  </si>
  <si>
    <t>CreditiVersoAltriTotaleCreditiVersoAltri</t>
  </si>
  <si>
    <t>TotaleCrediti</t>
  </si>
  <si>
    <t>III - Attività finanziarie che non costituiscono immobilizzazioni</t>
  </si>
  <si>
    <t>III - Current financial assets</t>
  </si>
  <si>
    <t>AttivitaFinanziarieNonCostituisconoImmobilizzazioni</t>
  </si>
  <si>
    <t>1) partecipazioni in imprese controllate</t>
  </si>
  <si>
    <t>1) investments in subsidiary companies</t>
  </si>
  <si>
    <t>AttivitaFinanziarieNonCostituisconoImmobilizzazioniPartecipazioniImpreseControllate</t>
  </si>
  <si>
    <t>2) partecipazioni in imprese collegate</t>
  </si>
  <si>
    <t>2) investments in associated companies</t>
  </si>
  <si>
    <t>AttivitaFinanziarieNonCostituisconoImmobilizzazioniPartecipazioniImpreseCollegate</t>
  </si>
  <si>
    <t>3) partecipazioni in imprese controllanti</t>
  </si>
  <si>
    <t>3) investments in parent companies</t>
  </si>
  <si>
    <t>AttivitaFinanziarieNonCostituisconoImmobilizzazioniPartecipazioniImpreseControllanti</t>
  </si>
  <si>
    <t>3-bis) partecipazioni in imprese sottoposte al controllo di controllanti</t>
  </si>
  <si>
    <t>4) altre partecipazioni</t>
  </si>
  <si>
    <t>4) investments in other companies</t>
  </si>
  <si>
    <t>AttivitaFinanziarieNonCostituisconoImmobilizzazioniAltrePartecipazioni</t>
  </si>
  <si>
    <r>
      <t xml:space="preserve">5) </t>
    </r>
    <r>
      <rPr>
        <sz val="8"/>
        <color rgb="FFFF0000"/>
        <rFont val="Arial"/>
        <family val="2"/>
      </rPr>
      <t>strumenti finanziari derivati attivi</t>
    </r>
  </si>
  <si>
    <t>5) own shares</t>
  </si>
  <si>
    <t>AttivitaFinanziarieNonCostituisconoImmobilizzazioniAzioniProprie</t>
  </si>
  <si>
    <t>6) altri titoli.</t>
  </si>
  <si>
    <t>6) other securities</t>
  </si>
  <si>
    <t>AttivitaFinanziarieNonCostituisconoImmobilizzazioniAltriTitoli</t>
  </si>
  <si>
    <t>Totale attività finanziarie che non costituiscono immobilizzazioni</t>
  </si>
  <si>
    <t>Total financial current assets</t>
  </si>
  <si>
    <t>TotaleAttivitaFinanziarieNonCostituisconoImmobilizzazioni</t>
  </si>
  <si>
    <t>IV - Disponibilità liquide</t>
  </si>
  <si>
    <t>IV - Liquid funds</t>
  </si>
  <si>
    <t>DisponibilitaLiquide</t>
  </si>
  <si>
    <t>1) depositi bancari e postali</t>
  </si>
  <si>
    <t>1) bank and post office deposits</t>
  </si>
  <si>
    <t>DisponibilitaLiquideDepositiBancariPostali</t>
  </si>
  <si>
    <t>2) assegni</t>
  </si>
  <si>
    <t>2) cheques</t>
  </si>
  <si>
    <t>DisponibilitaLiquideAssegni</t>
  </si>
  <si>
    <t>3) danaro e valori in cassa.</t>
  </si>
  <si>
    <t>3) cash and equivalents on hand</t>
  </si>
  <si>
    <t>DisponibilitaLiquideDanaroValoriCassa</t>
  </si>
  <si>
    <t>Totale disponibilità liquide</t>
  </si>
  <si>
    <t>Total liquid funds</t>
  </si>
  <si>
    <t>TotaleDisponibilitaLiquide</t>
  </si>
  <si>
    <t>Totale attivo circolante (C)</t>
  </si>
  <si>
    <t>Total current assets (C)</t>
  </si>
  <si>
    <t>TotaleAttivoCircolante</t>
  </si>
  <si>
    <t>D) Ratei e risconti</t>
  </si>
  <si>
    <t>D) Accrued income and prepayments</t>
  </si>
  <si>
    <t>AttivoRateiRisconti</t>
  </si>
  <si>
    <t>Ratei e risconti attivi</t>
  </si>
  <si>
    <t>accrued income and prepayments</t>
  </si>
  <si>
    <t>AttivoRateiRiscontiRateiRiscontiAttivi</t>
  </si>
  <si>
    <t>Disaggio su prestiti emessi</t>
  </si>
  <si>
    <t>amortisable discount on issued debt</t>
  </si>
  <si>
    <t>AttivoRateiRiscontiDisaggioPrestitiEmessi</t>
  </si>
  <si>
    <t>Totale ratei e risconti (D)</t>
  </si>
  <si>
    <t>Total accrued income and prepayments (D)</t>
  </si>
  <si>
    <t>AttivoRateiRiscontiTotaleRateiRisconti</t>
  </si>
  <si>
    <t>Totale attivo</t>
  </si>
  <si>
    <t>Total assets</t>
  </si>
  <si>
    <t>TotaleAttivo</t>
  </si>
  <si>
    <t>Passivo</t>
  </si>
  <si>
    <t>Liabilities and shareholders' equity</t>
  </si>
  <si>
    <t>A) Patrimonio netto</t>
  </si>
  <si>
    <t>A) Shareholders' equity</t>
  </si>
  <si>
    <t>PatrimonioNetto</t>
  </si>
  <si>
    <t>I - Capitale.</t>
  </si>
  <si>
    <t>I - Share capital</t>
  </si>
  <si>
    <t>PatrimonioNettoCapitale</t>
  </si>
  <si>
    <t>II - Riserva da soprapprezzo delle azioni.</t>
  </si>
  <si>
    <t>II - Share premium reserve</t>
  </si>
  <si>
    <t>PatrimonioNettoRiservaSoprapprezzoAzioni</t>
  </si>
  <si>
    <t>III - Riserve di rivalutazione.</t>
  </si>
  <si>
    <t>III - Revaluation reserves</t>
  </si>
  <si>
    <t>PatrimonioNettoRiserveRivalutazione</t>
  </si>
  <si>
    <t>IV - Riserva legale.</t>
  </si>
  <si>
    <t>IV - Legal reserve</t>
  </si>
  <si>
    <t>PatrimonioNettoRiservaLegale</t>
  </si>
  <si>
    <t>V - Riserve statutarie</t>
  </si>
  <si>
    <t>V - Reserve for own shares in portfolio</t>
  </si>
  <si>
    <t>PatrimonioNettoRiserveStatutarie</t>
  </si>
  <si>
    <r>
      <rPr>
        <sz val="9"/>
        <color rgb="FFFF0000"/>
        <rFont val="Arial"/>
        <family val="2"/>
      </rPr>
      <t>VI</t>
    </r>
    <r>
      <rPr>
        <sz val="9"/>
        <rFont val="Arial"/>
        <family val="2"/>
      </rPr>
      <t xml:space="preserve"> - Altre riserve, distintamente indicate.</t>
    </r>
  </si>
  <si>
    <t>VII - Other reserves</t>
  </si>
  <si>
    <t>PatrimonioNettoAltreRiserveDistintamenteIndicate</t>
  </si>
  <si>
    <t>Riserva straordinaria o facoltativa</t>
  </si>
  <si>
    <t>Special reserve</t>
  </si>
  <si>
    <t>PatrimonioNettoAltreRiserveDistintamenteIndicateRiservaStraordinariaFacoltativa</t>
  </si>
  <si>
    <t>Riserva per rinnovamento impianti e macchinari</t>
  </si>
  <si>
    <t>Plant and equipment renewal reserve</t>
  </si>
  <si>
    <t>PatrimonioNettoAltreRiserveDistintamenteIndicateRiservaRinnovamentoImpiantiMacchinari</t>
  </si>
  <si>
    <t>Riserva ammortamento anticipato</t>
  </si>
  <si>
    <t>Advance depreciation/amortization reserve</t>
  </si>
  <si>
    <t>PatrimonioNettoAltreRiserveDistintamenteIndicateRiservaAmmortamentoAnticipato</t>
  </si>
  <si>
    <t>Riserva per acquisto azioni proprie.</t>
  </si>
  <si>
    <t>Reserve for the purchase of own shares</t>
  </si>
  <si>
    <t>PatrimonioNettoAltreRiserveDistintamenteIndicateRiservaAcquistoAzioniProprie</t>
  </si>
  <si>
    <t>Riserva da deroghe ex art. 2423 Cod. Civ</t>
  </si>
  <si>
    <t>Reserve related to exemption as per art. 2423 of the Civil Code</t>
  </si>
  <si>
    <t>PatrimonioNettoAltreRiserveDistintamenteIndicateRiservaDerogheExArt2423CodCiv</t>
  </si>
  <si>
    <t>Riserva azioni (quote) della società controllante</t>
  </si>
  <si>
    <t>Shares reserve of the parent entity</t>
  </si>
  <si>
    <t>PatrimonioNettoAltreRiserveDistintamenteIndicateRiservaAzioniQuoteSocietaControllante</t>
  </si>
  <si>
    <t>Riserva non distribuibile da rivalutazione delle partecipazioni</t>
  </si>
  <si>
    <t>Non distributable revaluation reserve</t>
  </si>
  <si>
    <t>PatrimonioNettoAltreRiserveDistintamenteIndicateRiservaNonDistribuibileRivalutazionePartecipazioni</t>
  </si>
  <si>
    <t>Versamenti in conto aumento di capitale</t>
  </si>
  <si>
    <t>Contributions for capital increase</t>
  </si>
  <si>
    <t>PatrimonioNettoAltreRiserveDistintamenteIndicateVersamentiContoAumentoCapitale</t>
  </si>
  <si>
    <t>Versamenti in conto futuro aumento di capitale</t>
  </si>
  <si>
    <t>Contributions for future capital increase</t>
  </si>
  <si>
    <t>PatrimonioNettoAltreRiserveDistintamenteIndicateVersamentiContoFuturoAumentoCapitale</t>
  </si>
  <si>
    <t>Versamenti in conto capitale</t>
  </si>
  <si>
    <t>PatrimonioNettoAltreRiserveDistintamenteIndicateVersamentiContoCapitale</t>
  </si>
  <si>
    <t>Versamenti a copertura perdite</t>
  </si>
  <si>
    <t>PatrimonioNettoAltreRiserveDistintamenteIndicateVersamentiCoperturaPerdite</t>
  </si>
  <si>
    <t>Riserva da riduzione capitale sociale</t>
  </si>
  <si>
    <t>Capital reduction reserve</t>
  </si>
  <si>
    <t>PatrimonioNettoAltreRiserveDistintamenteIndicateRiservaRiduzioneCapitaleSociale</t>
  </si>
  <si>
    <t>Riserva avanzo di fusione</t>
  </si>
  <si>
    <t>Merger surplus reserve</t>
  </si>
  <si>
    <t>PatrimonioNettoAltreRiserveDistintamenteIndicateRiservaAvanzoFusione</t>
  </si>
  <si>
    <t>Riserva per utili su cambi</t>
  </si>
  <si>
    <t>Reserve for returns on exchange rate</t>
  </si>
  <si>
    <t>PatrimonioNettoAltreRiserveDistintamenteIndicateRiservaUtiliCambi</t>
  </si>
  <si>
    <t>Differences arising from rounding to the Euro unit</t>
  </si>
  <si>
    <t>PatrimonioNettoAltreRiserveDistintamenteIndicateDifferenzaArrotondamentoUnitaEuro</t>
  </si>
  <si>
    <t>Riserve da condono fiscale:</t>
  </si>
  <si>
    <t>Reserve from tax amnesty</t>
  </si>
  <si>
    <t>PatrimonioNettoAltreRiserveDistintamenteIndicateRiserveCondonoFiscale</t>
  </si>
  <si>
    <t>Riserva da condono ex L. 19 dicembre 1973, n. 823;</t>
  </si>
  <si>
    <t>Reserve from tax amnesty as per Law 823 of 19 December 1973;</t>
  </si>
  <si>
    <t>PatrimonioNettoAltreRiserveDistintamenteIndicateRiserveCondonoFiscaleRiservaCondonoExL19Dicembre1973N823</t>
  </si>
  <si>
    <t>Riserva da condono ex L. 7 agosto 1982, n. 516;</t>
  </si>
  <si>
    <t>Reserve from tax amnesty as per Law 516 of 7 August 1982;</t>
  </si>
  <si>
    <t>PatrimonioNettoAltreRiserveDistintamenteIndicateRiserveCondonoFiscaleRiservaCondonoExL7Agosto1982N516</t>
  </si>
  <si>
    <t>Riserva da condono ex L. 30 dicembre 1991, n. 413.</t>
  </si>
  <si>
    <t>Reserve from tax amnesty as per Law 413 of 30 December 1991;</t>
  </si>
  <si>
    <t>PatrimonioNettoAltreRiserveDistintamenteIndicateRiserveCondonoFiscaleRiservaCondonoExL30Dicembre1991N413</t>
  </si>
  <si>
    <t>Riserva da condono ex L. 27 dicembre 2002, n. 289.</t>
  </si>
  <si>
    <t>PatrimonioNettoAltreRiserveDistintamenteIndicateRiserveCondonoFiscaleRiservaCondonoExL27Dicembre2002N289</t>
  </si>
  <si>
    <t>Totale riserve da condono fiscale</t>
  </si>
  <si>
    <t>Total reserves from tax amnesty</t>
  </si>
  <si>
    <t>PatrimonioNettoAltreRiserveDistintamenteIndicateRiserveCondonoFiscaleTotaleRiserveCondonoFiscale</t>
  </si>
  <si>
    <t>VII - Riserva per operazioni di copertura dei flussi finanziari attesi</t>
  </si>
  <si>
    <t>Miscellaneous other reserves</t>
  </si>
  <si>
    <t>PatrimonioNettoAltreRiserveDistintamenteIndicateVarieAltreRiserve</t>
  </si>
  <si>
    <t>Totale altre riserve</t>
  </si>
  <si>
    <t>Total other reserves</t>
  </si>
  <si>
    <t>PatrimonioNettoAltreRiserveDistintamenteIndicateTotaleAltreRiserve</t>
  </si>
  <si>
    <t>VIII - Utili (perdite) portati a nuovo.</t>
  </si>
  <si>
    <t>VIII - Retained earnings (accumulated losses)</t>
  </si>
  <si>
    <t>PatrimonioNettoUtiliPerditePortatiNuovo</t>
  </si>
  <si>
    <t>IX - Utile (perdita) dell'esercizio.</t>
  </si>
  <si>
    <t>IX - Net profit (loss) for the year</t>
  </si>
  <si>
    <t>PatrimonioNettoUtilePerditaEsercizio</t>
  </si>
  <si>
    <t>Utile (perdita) dell'esercizio.</t>
  </si>
  <si>
    <t>Net profit (loss) for the year</t>
  </si>
  <si>
    <t>PatrimonioNettoUtilePerditaEsercizioUtilePerditaEsercizio</t>
  </si>
  <si>
    <t>Acconti su dividendi</t>
  </si>
  <si>
    <t>Accounts on dividends</t>
  </si>
  <si>
    <t>PatrimonioNettoUtilePerditaEsercizioAccontiDividendi</t>
  </si>
  <si>
    <t>Copertura parziale perdita d'esercizio</t>
  </si>
  <si>
    <t>Partial coverage of losses for the period</t>
  </si>
  <si>
    <t>PatrimonioNettoUtilePerditaEsercizioCoperturaParzialePerditaEsercizio</t>
  </si>
  <si>
    <t>Utile (perdita) residua</t>
  </si>
  <si>
    <t>Residual net profit (loss) for the year</t>
  </si>
  <si>
    <t>PatrimonioNettoUtilePerditaEsercizioUtilePerditaResidua</t>
  </si>
  <si>
    <t>X - Riserva negativa per azioni proprie in portafoglio</t>
  </si>
  <si>
    <t>Totale patrimonio netto</t>
  </si>
  <si>
    <t>Total shareholders' equity</t>
  </si>
  <si>
    <t>TotalePatrimonioNetto</t>
  </si>
  <si>
    <t>B) Fondi per rischi e oneri</t>
  </si>
  <si>
    <t>B) Reserves for contingencies and other charges</t>
  </si>
  <si>
    <t>FondiRischiOneri</t>
  </si>
  <si>
    <t>1) per trattamento di quiescenza e obblighi simili</t>
  </si>
  <si>
    <t>1) pension and similar commitments</t>
  </si>
  <si>
    <t>FondiRischiOneriTrattamentoQuiescenzaObblighiSimili</t>
  </si>
  <si>
    <t>2) per imposte, anche differite</t>
  </si>
  <si>
    <t>2) taxation</t>
  </si>
  <si>
    <t>FondiRischiOneriImposteAncheDifferite</t>
  </si>
  <si>
    <t>3) strumenti finanziari derivati passivi</t>
  </si>
  <si>
    <r>
      <rPr>
        <sz val="9"/>
        <color rgb="FFFF0000"/>
        <rFont val="Arial"/>
        <family val="2"/>
      </rPr>
      <t>4</t>
    </r>
    <r>
      <rPr>
        <sz val="9"/>
        <rFont val="Arial"/>
        <family val="2"/>
      </rPr>
      <t>) altri</t>
    </r>
  </si>
  <si>
    <t>3) other</t>
  </si>
  <si>
    <t>FondiRischiOneriAltri</t>
  </si>
  <si>
    <t>Totale fondi per rischi ed oneri</t>
  </si>
  <si>
    <t xml:space="preserve">Total reserves for contingencies and other charges </t>
  </si>
  <si>
    <t>TotaleFondiRischiOneri</t>
  </si>
  <si>
    <t>C) Trattamento di fine rapporto di lavoro subordinato.</t>
  </si>
  <si>
    <t>C) Reserve for severance indemnities (TFR)</t>
  </si>
  <si>
    <t>TrattamentoFineRapportoLavoroSubordinato</t>
  </si>
  <si>
    <t>D) Debiti</t>
  </si>
  <si>
    <t>D) Payables</t>
  </si>
  <si>
    <t>Debiti</t>
  </si>
  <si>
    <t>1) obbligazioni</t>
  </si>
  <si>
    <t>1) bonds</t>
  </si>
  <si>
    <t>DebitiObbligazioni</t>
  </si>
  <si>
    <t>DebitiObbligazioniEsigibiliEntroEsercizioSuccessivo</t>
  </si>
  <si>
    <t>DebitiObbligazioniEsigibiliOltreEsercizioSuccessivo</t>
  </si>
  <si>
    <t>Totale obbligazioni</t>
  </si>
  <si>
    <t>Total bonds</t>
  </si>
  <si>
    <t>DebitiObbligazioniTotaleObbligazioni</t>
  </si>
  <si>
    <t>2) obbligazioni convertibili</t>
  </si>
  <si>
    <t>2) convertible bonds</t>
  </si>
  <si>
    <t>DebitiObbligazioniConvertibili</t>
  </si>
  <si>
    <t>DebitiObbligazioniConvertibiliEsigibiliEntroEsercizioSuccessivo</t>
  </si>
  <si>
    <t>DebitiObbligazioniConvertibiliEsigibiliOltreEsercizioSuccessivo</t>
  </si>
  <si>
    <t>Totale obbligazioni convertibili</t>
  </si>
  <si>
    <t>Total convertible bonds</t>
  </si>
  <si>
    <t>DebitiObbligazioniConvertibiliTotaleObbligazioniConvertibili</t>
  </si>
  <si>
    <t>3) debiti verso soci per finanziamenti</t>
  </si>
  <si>
    <t>3) due to partners for financing</t>
  </si>
  <si>
    <t>DebitiDebitiVersoSociFinanziamenti</t>
  </si>
  <si>
    <t>DebitiDebitiVersoSociFinanziamentiEsigibiliEntroEsercizioSuccessivo</t>
  </si>
  <si>
    <t>DebitiDebitiVersoSociFinanziamentiEsigibiliOltreEsercizioSuccessivo</t>
  </si>
  <si>
    <t>Totale debiti verso soci per finanziamenti</t>
  </si>
  <si>
    <t>Total payables due to partners for financing</t>
  </si>
  <si>
    <t>DebitiDebitiVersoSociFinanziamentiTotaleDebitiVersoSociFinanziamenti</t>
  </si>
  <si>
    <t>4) debiti verso banche</t>
  </si>
  <si>
    <t>4) due to banks</t>
  </si>
  <si>
    <t>DebitiDebitiVersoBanche</t>
  </si>
  <si>
    <t>DebitiDebitiVersoBancheEsigibiliEntroEsercizioSuccessivo</t>
  </si>
  <si>
    <t>DebitiDebitiVersoBancheEsigibiliOltreEsercizioSuccessivo</t>
  </si>
  <si>
    <t>Totale debiti verso banche</t>
  </si>
  <si>
    <t>Total payables due to banks</t>
  </si>
  <si>
    <t>DebitiDebitiVersoBancheTotaleDebitiVersoBanche</t>
  </si>
  <si>
    <t>5) debiti verso altri finanziatori</t>
  </si>
  <si>
    <t>5) due to other providers of finance</t>
  </si>
  <si>
    <t>DebitiDebitiVersoAltriFinanziatori</t>
  </si>
  <si>
    <t>DebitiDebitiVersoAltriFinanziatoriEsigibiliEntroEsercizioSuccessivo</t>
  </si>
  <si>
    <t>DebitiDebitiVersoAltriFinanziatoriEsigibiliOltreEsercizioSuccessivo</t>
  </si>
  <si>
    <t>Totale debiti verso altri finanziatori</t>
  </si>
  <si>
    <t>Total payables due to other providers of finance</t>
  </si>
  <si>
    <t>DebitiDebitiVersoAltriFinanziatoriTotaleDebitiVersoAltriFinanziatori</t>
  </si>
  <si>
    <t>6) acconti</t>
  </si>
  <si>
    <t>6) advances</t>
  </si>
  <si>
    <t>DebitiAcconti</t>
  </si>
  <si>
    <t>DebitiAccontiEsigibiliEntroEsercizioSuccessivo</t>
  </si>
  <si>
    <t>DebitiAccontiEsigibiliOltreEsercizioSuccessivo</t>
  </si>
  <si>
    <t>Totale  acconti</t>
  </si>
  <si>
    <t>Total advances</t>
  </si>
  <si>
    <t>DebitiAccontiTotaleAcconti</t>
  </si>
  <si>
    <t>7) debiti verso fornitori</t>
  </si>
  <si>
    <t>7) trade accounts</t>
  </si>
  <si>
    <t>DebitiDebitiVersoFornitori</t>
  </si>
  <si>
    <t>DebitiDebitiVersoFornitoriEsigibiliEntroEsercizioSuccessivo</t>
  </si>
  <si>
    <t>DebitiDebitiVersoFornitoriEsigibiliOltreEsercizioSuccessivo</t>
  </si>
  <si>
    <t>Totale debiti verso fornitori</t>
  </si>
  <si>
    <t>DebitiDebitiVersoFornitoriTotaleDebitiVersoFornitori</t>
  </si>
  <si>
    <t>8) debiti rappresentati da titoli di credito</t>
  </si>
  <si>
    <t>8) payables represented by credit instruments</t>
  </si>
  <si>
    <t>DebitiDebitiRappresentatiTitoliCredito</t>
  </si>
  <si>
    <t>DebitiDebitiRappresentatiTitoliCreditoEsigibiliEntroEsercizioSuccessivo</t>
  </si>
  <si>
    <t>DebitiDebitiRappresentatiTitoliCreditoEsigibiliOltreEsercizioSuccessivo</t>
  </si>
  <si>
    <t>Totale debiti rappresentati da titoli di credito</t>
  </si>
  <si>
    <t>Total payables represented by credit instruments</t>
  </si>
  <si>
    <t>DebitiDebitiRappresentatiTitoliCreditoTotaleDebitiRappresentatiTitoliCredito</t>
  </si>
  <si>
    <t>9) debiti verso imprese controllate</t>
  </si>
  <si>
    <t>9) due to subsidiary companies</t>
  </si>
  <si>
    <t>DebitiDebitiVersoImpreseControllate</t>
  </si>
  <si>
    <t>DebitiDebitiVersoImpreseControllateEsigibiliEntroEsercizioSuccessivo</t>
  </si>
  <si>
    <t>DebitiDebitiVersoImpreseControllateEsigibiliOltreEsercizioSuccessivo</t>
  </si>
  <si>
    <t>Totale debiti verso imprese controllate</t>
  </si>
  <si>
    <t>Total payables due to subsidiary companies</t>
  </si>
  <si>
    <t>DebitiDebitiVersoImpreseControllateTotaleDebitiVersoImpreseControllate</t>
  </si>
  <si>
    <t>10) debiti verso imprese collegate</t>
  </si>
  <si>
    <t>10) due to associated companies</t>
  </si>
  <si>
    <t>DebitiDebitiVersoImpreseCollegate</t>
  </si>
  <si>
    <t>DebitiDebitiVersoImpreseCollegateEsigibiliEntroEsercizioSuccessivo</t>
  </si>
  <si>
    <t>DebitiDebitiVersoImpreseCollegateEsigibiliOltreEsercizioSuccessivo</t>
  </si>
  <si>
    <t>Totale debiti verso imprese collegate</t>
  </si>
  <si>
    <t>Total payables due to associated companies</t>
  </si>
  <si>
    <t>DebitiDebitiVersoImpreseCollegateTotaleDebitiVersoImpreseCollegate</t>
  </si>
  <si>
    <t>11) debiti verso controllanti</t>
  </si>
  <si>
    <t>11) due to parent companies</t>
  </si>
  <si>
    <t>DebitiDebitiVersoControllanti</t>
  </si>
  <si>
    <t>DebitiDebitiVersoControllantiEsigibiliEntroEsercizioSuccessivo</t>
  </si>
  <si>
    <t>DebitiDebitiVersoControllantiEsigibiliOltreEsercizioSuccessivo</t>
  </si>
  <si>
    <t>Totale debiti verso controllanti</t>
  </si>
  <si>
    <t>Total payables due to parent companies</t>
  </si>
  <si>
    <t>DebitiDebitiVersoControllantiTotaleDebitiVersoControllanti</t>
  </si>
  <si>
    <t>11bis) debiti verso imprese sottoposte al controllo di controllanti</t>
  </si>
  <si>
    <t>12) debiti tributari</t>
  </si>
  <si>
    <t>12) due to tax authorities</t>
  </si>
  <si>
    <t>DebitiDebitiTributari</t>
  </si>
  <si>
    <t>DebitiDebitiTributariEsigibiliEntroEsercizioSuccessivo</t>
  </si>
  <si>
    <t>DebitiDebitiTributariEsigibiliOltreEsercizioSuccessivo</t>
  </si>
  <si>
    <t>Totale debiti tributari</t>
  </si>
  <si>
    <t>Total payables due to tax authorities</t>
  </si>
  <si>
    <t>DebitiDebitiTributariTotaleDebitiTributari</t>
  </si>
  <si>
    <t>13) debiti verso istituti di previdenza e di sicurezza sociale</t>
  </si>
  <si>
    <t>13) due to social security and welfare institutions</t>
  </si>
  <si>
    <t>DebitiDebitiVersoIstitutiPrevidenzaSicurezzaSociale</t>
  </si>
  <si>
    <t>DebitiDebitiVersoIstitutiPrevidenzaSicurezzaSocialeEsigibiliEntroEsercizioSuccessivo</t>
  </si>
  <si>
    <t>DebitiDebitiVersoIstitutiPrevidenzaSicurezzaSocialeEsigibiliOltreEsercizioSuccessivo</t>
  </si>
  <si>
    <t>Totale debiti verso istituti di previdenza e di sicurezza sociale</t>
  </si>
  <si>
    <t>Total payables due to social security and welfare institutions</t>
  </si>
  <si>
    <t>DebitiDebitiVersoIstitutiPrevidenzaSicurezzaSocialeTotaleDebitiVersoIstitutiPrevidenzaSicurezzaSociale</t>
  </si>
  <si>
    <t>14) altri debiti</t>
  </si>
  <si>
    <t>14) other payables</t>
  </si>
  <si>
    <t>DebitiAltriDebiti</t>
  </si>
  <si>
    <t>DebitiAltriDebitiEsigibiliEntroEsercizioSuccessivo</t>
  </si>
  <si>
    <t>DebitiAltriDebitiEsigibiliOltreEsercizioSuccessivo</t>
  </si>
  <si>
    <t>Totale altri debiti</t>
  </si>
  <si>
    <t>Total other payables</t>
  </si>
  <si>
    <t>DebitiAltriDebitiTotaleAltriDebiti</t>
  </si>
  <si>
    <t>Totale debiti</t>
  </si>
  <si>
    <t>Total payables (D)</t>
  </si>
  <si>
    <t>TotaleDebiti</t>
  </si>
  <si>
    <t>E) Ratei e risconti</t>
  </si>
  <si>
    <t>E) Accrued liabilities and deferred income</t>
  </si>
  <si>
    <t>PassivoRateiRisconti</t>
  </si>
  <si>
    <t>Ratei e risconti passivi</t>
  </si>
  <si>
    <t>accrued liabilities and deferred income</t>
  </si>
  <si>
    <t>PassivoRateiRiscontiRateiRiscontiPassivi</t>
  </si>
  <si>
    <t>Aggio su prestiti emessi</t>
  </si>
  <si>
    <t>premium on issued debt</t>
  </si>
  <si>
    <t>PassivoRateiRiscontiAggioPrestitiEmessi</t>
  </si>
  <si>
    <t>Totale ratei e risconti</t>
  </si>
  <si>
    <t>Total accrued liabilities and deferred income</t>
  </si>
  <si>
    <t>PassivoRateiRiscontiTotaleRateiRisconti</t>
  </si>
  <si>
    <t>Totale passivo</t>
  </si>
  <si>
    <t>Total liabilities and shareholders' equity</t>
  </si>
  <si>
    <t>TotalePassivo</t>
  </si>
  <si>
    <t>Conto economico a valore e costo della produzione (schema civilistico)</t>
  </si>
  <si>
    <t>Ce</t>
  </si>
  <si>
    <t>input</t>
  </si>
  <si>
    <t>Conto economico</t>
  </si>
  <si>
    <t>Income statement (value and cost of production)</t>
  </si>
  <si>
    <t>ContoEconomico</t>
  </si>
  <si>
    <t>A) Valore della produzione:</t>
  </si>
  <si>
    <t>A) Value of production</t>
  </si>
  <si>
    <t>ValoreProduzione</t>
  </si>
  <si>
    <t>1) ricavi delle vendite e delle prestazioni</t>
  </si>
  <si>
    <t>1) Revenues from sales and services</t>
  </si>
  <si>
    <t>ValoreProduzioneRicaviVenditePrestazioni</t>
  </si>
  <si>
    <t>2) variazioni delle rimanenze di prodotti in corso di lavorazione, semilavorati e finiti</t>
  </si>
  <si>
    <t>2) Change in work in progress, semi-finished and finished products</t>
  </si>
  <si>
    <t>ValoreProduzioneVariazioniRimanenzeProdottiCorsoLavorazioneSemilavoratiFiniti</t>
  </si>
  <si>
    <t>3) variazioni dei lavori in corso su ordinazione</t>
  </si>
  <si>
    <t>3) Change in contract work in progress</t>
  </si>
  <si>
    <t>ValoreProduzioneVariazioniLavoriCorsoOrdinazione</t>
  </si>
  <si>
    <t>4) incrementi di immobilizzazioni per lavori interni</t>
  </si>
  <si>
    <t>4) Increases in internally constructuied fixed assets</t>
  </si>
  <si>
    <t>ValoreProduzioneIncrementiImmobilizzazioniLavoriInterni</t>
  </si>
  <si>
    <t>5) altri ricavi e proventi</t>
  </si>
  <si>
    <t>5) Other income and revenues</t>
  </si>
  <si>
    <t>ValoreProduzioneAltriRicaviProventi</t>
  </si>
  <si>
    <t>contributi in conto esercizio</t>
  </si>
  <si>
    <t>operating grants</t>
  </si>
  <si>
    <t>ValoreProduzioneAltriRicaviProventiContributiContoEsercizio</t>
  </si>
  <si>
    <t>altri</t>
  </si>
  <si>
    <t>other operating income</t>
  </si>
  <si>
    <t>ValoreProduzioneAltriRicaviProventiAltri</t>
  </si>
  <si>
    <t>Totale altri ricavi e proventi</t>
  </si>
  <si>
    <t>Total Other income and revenues</t>
  </si>
  <si>
    <t>ValoreProduzioneAltriRicaviProventiTotaleAltriRicaviProventi</t>
  </si>
  <si>
    <t>Totale valore della produzione</t>
  </si>
  <si>
    <t>Total value of production</t>
  </si>
  <si>
    <t>TotaleValoreProduzione</t>
  </si>
  <si>
    <t>B) Costi della produzione:</t>
  </si>
  <si>
    <t>B) Cost of production</t>
  </si>
  <si>
    <t>CostiProduzione</t>
  </si>
  <si>
    <t>6) per materie prime, sussidiarie, di consumo e di merci</t>
  </si>
  <si>
    <t>6) Raw, ancillary and consumable materials and goods for resale</t>
  </si>
  <si>
    <t>CostiProduzioneMateriePrimeSussidiarieConsumoMerci</t>
  </si>
  <si>
    <t>7) per servizi</t>
  </si>
  <si>
    <t>7) Services</t>
  </si>
  <si>
    <t>CostiProduzioneServizi</t>
  </si>
  <si>
    <t>8) per godimento di beni di terzi</t>
  </si>
  <si>
    <t>8) Use of third party assets</t>
  </si>
  <si>
    <t>CostiProduzioneGodimentoBeniTerzi</t>
  </si>
  <si>
    <t>9) per il personale:</t>
  </si>
  <si>
    <t>9) Payroll and related costs</t>
  </si>
  <si>
    <t>CostiProduzionePersonale</t>
  </si>
  <si>
    <t>a) salari e stipendi</t>
  </si>
  <si>
    <t>a) wages and salaries</t>
  </si>
  <si>
    <t>CostiProduzionePersonaleSalariStipendi</t>
  </si>
  <si>
    <t>b) oneri sociali</t>
  </si>
  <si>
    <t>b) related salaries</t>
  </si>
  <si>
    <t>CostiProduzionePersonaleOneriSociali</t>
  </si>
  <si>
    <t>c) trattamento di fine rapporto</t>
  </si>
  <si>
    <t>c) severance</t>
  </si>
  <si>
    <t>CostiProduzionePersonaleTrattamentoFineRapporto</t>
  </si>
  <si>
    <t>d) trattamento di quiescenza e simili</t>
  </si>
  <si>
    <t>d) pensions and similar commitments</t>
  </si>
  <si>
    <t>CostiProduzionePersonaleTrattamentoQuiescenzaSimili</t>
  </si>
  <si>
    <t>e) altri costi</t>
  </si>
  <si>
    <t>e) other costs</t>
  </si>
  <si>
    <t>CostiProduzionePersonaleAltriCosti</t>
  </si>
  <si>
    <t>Totale costi per il personale</t>
  </si>
  <si>
    <t>Total payroll and related costs</t>
  </si>
  <si>
    <t>CostiProduzionePersonaleTotaleCostiPersonale</t>
  </si>
  <si>
    <t>10) ammortamenti e svalutazioni:</t>
  </si>
  <si>
    <t>10) Amortisation, depreciation and writedowns</t>
  </si>
  <si>
    <t>CostiProduzioneAmmortamentiSvalutazioni</t>
  </si>
  <si>
    <t>a) ammortamento delle immobilizzazioni immateriali</t>
  </si>
  <si>
    <t>a) amortisation of intangible fixed assets</t>
  </si>
  <si>
    <t>CostiProduzioneAmmortamentiSvalutazioniAmmortamentoImmobilizzazioniImmateriali</t>
  </si>
  <si>
    <t>b) ammortamento delle immobilizzazioni materiali</t>
  </si>
  <si>
    <t>b) depreciation of tangible fixed assets</t>
  </si>
  <si>
    <t>CostiProduzioneAmmortamentiSvalutazioniAmmortamentoImmobilizzazioniMateriali</t>
  </si>
  <si>
    <t>c) altre svalutazioni delle immobilizzazioni</t>
  </si>
  <si>
    <t>c) other amounts written off fixed assets</t>
  </si>
  <si>
    <t>CostiProduzioneAmmortamentiSvalutazioniAltreSvalutazioniImmobilizzazioni</t>
  </si>
  <si>
    <t>d) svalutazioni dei crediti compresi nell'attivo circolante e delle disponibilità liquide</t>
  </si>
  <si>
    <t>d) writedowns of accounts included among current assets</t>
  </si>
  <si>
    <t>CostiProduzioneAmmortamentiSvalutazioniSvalutazioniCreditiCompresiAttivoCircolanteDisponibilitaLiquide</t>
  </si>
  <si>
    <t>Totale ammortamenti e svalutazioni</t>
  </si>
  <si>
    <t>Total Amortisation, depreciation and writedowns</t>
  </si>
  <si>
    <t>CostiProduzioneAmmortamentiSvalutazioniTotaleAmmortamentiSvalutazioni</t>
  </si>
  <si>
    <t>11) variazioni delle rimanenze di materie prime, sussidiarie, di consumo e merci</t>
  </si>
  <si>
    <t>11) Changes in inventories of raw, ancillary and consumable materials and goods for resale</t>
  </si>
  <si>
    <t>CostiProduzioneVariazioniRimanenzeMateriePrimeSussidiarieConsumoMerci</t>
  </si>
  <si>
    <t>12) accantonamenti per rischi</t>
  </si>
  <si>
    <t>12) Provisions for contingencies and other charges</t>
  </si>
  <si>
    <t>CostiProduzioneAccantonamentiRischi</t>
  </si>
  <si>
    <t>13) altri accantonamenti</t>
  </si>
  <si>
    <t>13) Other provisions</t>
  </si>
  <si>
    <t>CostiProduzioneAltriAccantonamenti</t>
  </si>
  <si>
    <t>14) oneri diversi di gestione</t>
  </si>
  <si>
    <t>14) Other operating expenses</t>
  </si>
  <si>
    <t>CostiProduzioneOneriDiversiGestione</t>
  </si>
  <si>
    <t>Totale costi della produzione</t>
  </si>
  <si>
    <t>Total cost of production</t>
  </si>
  <si>
    <t>TotaleCostiProduzione</t>
  </si>
  <si>
    <t>Differenza tra valore e costi della produzione (A - B)</t>
  </si>
  <si>
    <t>Difference between value and cost of production (A - B)</t>
  </si>
  <si>
    <t>DifferenzaValoreCostiProduzione</t>
  </si>
  <si>
    <t>C) Proventi e oneri finanziari:</t>
  </si>
  <si>
    <t>C) Financial income and expense</t>
  </si>
  <si>
    <t>ProventiOneriFinanziari</t>
  </si>
  <si>
    <r>
      <t xml:space="preserve">15) proventi da partecipazioni </t>
    </r>
    <r>
      <rPr>
        <sz val="9"/>
        <color rgb="FFFF0000"/>
        <rFont val="Arial"/>
        <family val="2"/>
      </rPr>
      <t>(con separata indicazione di quelli da imprese controllate e collegate e di quelli relativi a controllanti e ad imprese sottoposte al controllo di queste ultime)</t>
    </r>
  </si>
  <si>
    <t>15) Income from equity investments</t>
  </si>
  <si>
    <t>ProventiOneriFinanziariProventiPartecipazioni</t>
  </si>
  <si>
    <t>da imprese controllate</t>
  </si>
  <si>
    <t>subsidiary companies</t>
  </si>
  <si>
    <t>ProventiOneriFinanziariProventiPartecipazioniImpreseControllate</t>
  </si>
  <si>
    <t>da imprese collegate</t>
  </si>
  <si>
    <t>associated companies</t>
  </si>
  <si>
    <t>ProventiOneriFinanziariProventiPartecipazioniImpreseCollegate</t>
  </si>
  <si>
    <t>other companies</t>
  </si>
  <si>
    <t>ProventiOneriFinanziariProventiPartecipazioniAltri</t>
  </si>
  <si>
    <t>Totale proventi da partecipazioni</t>
  </si>
  <si>
    <t>Total income from equity investments</t>
  </si>
  <si>
    <t>ProventiOneriFinanziariProventiPartecipazioniTotaleProventiPartecipazioni</t>
  </si>
  <si>
    <t>16) altri proventi finanziari:</t>
  </si>
  <si>
    <t>16) Other financial income</t>
  </si>
  <si>
    <t>ProventiOneriFinanziariAltriProventiFinanziari</t>
  </si>
  <si>
    <r>
      <t>a) da crediti iscritti nelle immobilizzazioni</t>
    </r>
    <r>
      <rPr>
        <sz val="8"/>
        <color rgb="FFFF0000"/>
        <rFont val="Arial"/>
        <family val="2"/>
      </rPr>
      <t xml:space="preserve"> (con separata indicazione di quelli da imprese controllate, collegate e controllanti e da imprese sottoposte al controllo di queste ultime)</t>
    </r>
  </si>
  <si>
    <t>a) from receivables held as financial fixed assets</t>
  </si>
  <si>
    <t>ProventiOneriFinanziariAltriProventiFinanziariCreditiIscrittiImmobilizzazioni</t>
  </si>
  <si>
    <t>ProventiOneriFinanziariAltriProventiFinanziariCreditiIscrittiImmobilizzazioniImpreseControllate</t>
  </si>
  <si>
    <t>ProventiOneriFinanziariAltriProventiFinanziariCreditiIscrittiImmobilizzazioniImpreseCollegate</t>
  </si>
  <si>
    <t>da imprese controllanti</t>
  </si>
  <si>
    <t>parent companies</t>
  </si>
  <si>
    <t>ProventiOneriFinanziariAltriProventiFinanziariCreditiIscrittiImmobilizzazioniImpreseControllanti</t>
  </si>
  <si>
    <t>third parties</t>
  </si>
  <si>
    <t>ProventiOneriFinanziariAltriProventiFinanziariCreditiIscrittiImmobilizzazioniAltri</t>
  </si>
  <si>
    <t>Totale proventi finanziari da crediti iscritti nelle immobilizzazioni</t>
  </si>
  <si>
    <t>Total receivables held as financial fixed assets</t>
  </si>
  <si>
    <t>ProventiOneriFinanziariAltriProventiFinanziariCreditiIscrittiImmobilizzazioniTotaleProventiFinanziariCreditiIscrittiImmobilizzazioni</t>
  </si>
  <si>
    <t>b) da titoli iscritti nelle immobilizzazioni che non costituiscono partecipazioni</t>
  </si>
  <si>
    <t>b) from securities held as financial fixed assets not representing equity investments</t>
  </si>
  <si>
    <t>ProventiOneriFinanziariAltriProventiFinanziariTitoliIscrittiImmobilizzazioniNonCostituisconoPartecipazioni</t>
  </si>
  <si>
    <t>c) da titoli iscritti nell'attivo circolante che non costituiscono partecipazioni</t>
  </si>
  <si>
    <t>c) from securities included among current assets not representing equity investments</t>
  </si>
  <si>
    <t>ProventiOneriFinanziariAltriProventiFinanziariTitoliIscrittiAttivoCircolanteNonCostituisconoPartecipazioni</t>
  </si>
  <si>
    <r>
      <t xml:space="preserve">d) proventi diversi </t>
    </r>
    <r>
      <rPr>
        <sz val="8"/>
        <color rgb="FFFF0000"/>
        <rFont val="Arial"/>
        <family val="2"/>
      </rPr>
      <t>(con separata indicazione di quelli da imprese controllate, collegate e controllanti e da imprese sottoposte al controllo di queste ultime)</t>
    </r>
  </si>
  <si>
    <t>d) income other than the above</t>
  </si>
  <si>
    <t>ProventiOneriFinanziariAltriProventiFinanziariProventiDiversiPrecedenti</t>
  </si>
  <si>
    <t>ProventiOneriFinanziariAltriProventiFinanziariProventiDiversiPrecedentiImpreseControllate</t>
  </si>
  <si>
    <t>ProventiOneriFinanziariAltriProventiFinanziariProventiDiversiPrecedentiImpreseCollegate</t>
  </si>
  <si>
    <t>ProventiOneriFinanziariAltriProventiFinanziariProventiDiversiPrecedentiImpreseControllanti</t>
  </si>
  <si>
    <t>ProventiOneriFinanziariAltriProventiFinanziariProventiDiversiPrecedentiAltri</t>
  </si>
  <si>
    <t>Totale proventi diversi dai precedenti</t>
  </si>
  <si>
    <t>Total income other than the above</t>
  </si>
  <si>
    <t>ProventiOneriFinanziariAltriProventiFinanziariProventiDiversiPrecedentiTotaleProventiDiversiPrecedenti</t>
  </si>
  <si>
    <t>Totale altri proventi finanziari</t>
  </si>
  <si>
    <t>Total other financial income</t>
  </si>
  <si>
    <t>ProventiOneriFinanziariAltriProventiFinanziariTotaleAltriProventiFinanziari</t>
  </si>
  <si>
    <t>17) interessi e altri oneri finanziari</t>
  </si>
  <si>
    <t>17) Interest and other financial expense</t>
  </si>
  <si>
    <t>ProventiOneriFinanziariInteressiAltriOneriFinanziari</t>
  </si>
  <si>
    <t>a imprese controllate</t>
  </si>
  <si>
    <t>charged by subsidiary companies</t>
  </si>
  <si>
    <t>ProventiOneriFinanziariInteressiAltriOneriFinanziariImpreseControllate</t>
  </si>
  <si>
    <t>a imprese collegate</t>
  </si>
  <si>
    <t>charged by associated companies</t>
  </si>
  <si>
    <t>ProventiOneriFinanziariInteressiAltriOneriFinanziariImpreseCollegate</t>
  </si>
  <si>
    <t>a imprese controllanti</t>
  </si>
  <si>
    <t>charged by parent companies</t>
  </si>
  <si>
    <t>ProventiOneriFinanziariInteressiAltriOneriFinanziariImpreseControllanti</t>
  </si>
  <si>
    <t>charged by third parties</t>
  </si>
  <si>
    <t>ProventiOneriFinanziariInteressiAltriOneriFinanziariAltri</t>
  </si>
  <si>
    <t>Totale interessi e altri oneri finanziari</t>
  </si>
  <si>
    <t>Total interest and other financial expense</t>
  </si>
  <si>
    <t>ProventiOneriFinanziariInteressiAltriOneriFinanziariTotaleInteressiAltriOneriFinanziari</t>
  </si>
  <si>
    <t>17-bis) utili e perdite su cambi</t>
  </si>
  <si>
    <t>17-bis) Currency gains and losses</t>
  </si>
  <si>
    <t>ProventiOneriFinanziariUtiliPerditeCambi</t>
  </si>
  <si>
    <t>Totale proventi e oneri finanziari (15 + 16 - 17 + - 17-bis)</t>
  </si>
  <si>
    <t>Total financial income and expense (15 + 16 - 17 + - 17-bis)</t>
  </si>
  <si>
    <t>TotaleProventiOneriFinanziari</t>
  </si>
  <si>
    <r>
      <t xml:space="preserve">D) Rettifiche di valore di attività </t>
    </r>
    <r>
      <rPr>
        <b/>
        <sz val="10"/>
        <color rgb="FFFF0000"/>
        <rFont val="Arial"/>
        <family val="2"/>
      </rPr>
      <t>e passività</t>
    </r>
    <r>
      <rPr>
        <b/>
        <sz val="10"/>
        <rFont val="Arial"/>
        <family val="2"/>
      </rPr>
      <t xml:space="preserve"> finanziarie:</t>
    </r>
  </si>
  <si>
    <t>D) Adjustments to financial assets</t>
  </si>
  <si>
    <t>RettificheValoreAttivitaFinanziarie</t>
  </si>
  <si>
    <t>18) rivalutazioni:</t>
  </si>
  <si>
    <t>18) Revaluations</t>
  </si>
  <si>
    <t>RettificheValoreAttivitaFinanziarieRivalutazioni</t>
  </si>
  <si>
    <t>a) di partecipazioni</t>
  </si>
  <si>
    <t>a) equity investments</t>
  </si>
  <si>
    <t>RettificheValoreAttivitaFinanziarieRivalutazioniPartecipazioni</t>
  </si>
  <si>
    <t>b) di immobilizzazioni finanziarie che non costituiscono partecipazioni</t>
  </si>
  <si>
    <t>b) financial fixed assets not representing equity investments</t>
  </si>
  <si>
    <t>RettificheValoreAttivitaFinanziarieRivalutazioniImmobilizzazioniFinanziarieNonCostituisconoPartecipazioni</t>
  </si>
  <si>
    <t>c) di titoli iscritti all'attivo circolante che non costituiscono partecipazioni</t>
  </si>
  <si>
    <t>c) securities included among current assets not representing equity investments</t>
  </si>
  <si>
    <t>RettificheValoreAttivitaFinanziarieRivalutazioniTitoliIscrittiAttivoCircolanteNonCostituisconoPartecipazioni</t>
  </si>
  <si>
    <t>d) di strumenti finanziari derivati</t>
  </si>
  <si>
    <t>Totale rivalutazioni</t>
  </si>
  <si>
    <t>Total revaluations</t>
  </si>
  <si>
    <t>RettificheValoreAttivitaFinanziarieRivalutazioniTotaleRivalutazioni</t>
  </si>
  <si>
    <t>19) svalutazioni:</t>
  </si>
  <si>
    <t>19) Writedowns</t>
  </si>
  <si>
    <t>RettificheValoreAttivitaFinanziarieSvalutazioni</t>
  </si>
  <si>
    <t>RettificheValoreAttivitaFinanziarieSvalutazioniPartecipazioni</t>
  </si>
  <si>
    <t>RettificheValoreAttivitaFinanziarieSvalutazioniImmobilizzazioniFinanziarieNonCostituisconoPartecipazioni</t>
  </si>
  <si>
    <t>c) di titoli iscritti nell'attivo circolante che non costituiscono partecipazioni</t>
  </si>
  <si>
    <t>RettificheValoreAttivitaFinanziarieSvalutazioniTitoliIscrittiAttivoCircolanteNonCostituisconoPartecipazioni</t>
  </si>
  <si>
    <t>Totale svalutazioni</t>
  </si>
  <si>
    <t>Total writedowns</t>
  </si>
  <si>
    <t>RettificheValoreAttivitaFinanziarieSvalutazioniTotaleSvalutazioni</t>
  </si>
  <si>
    <t>Totale delle rettifiche di valore di attività finanziarie (18 - 19)</t>
  </si>
  <si>
    <t>Total adjustments to financial assets (18 - 19)</t>
  </si>
  <si>
    <t>TotaleRettificheValoreAttivitaFinanziarie</t>
  </si>
  <si>
    <t>Risultato prima delle imposte (A - B + - C + - D )</t>
  </si>
  <si>
    <t>Profit before taxes (A - B + - C + - D + - E)</t>
  </si>
  <si>
    <t>RisultatoPrimaImposte</t>
  </si>
  <si>
    <t>22) imposte sul reddito dell'esercizio, correnti, differite e anticipate</t>
  </si>
  <si>
    <t>22) Taxes on the income for the year</t>
  </si>
  <si>
    <t>ImposteRedditoEsercizioCorrentiDifferiteAnticipate</t>
  </si>
  <si>
    <t>Imposte correnti</t>
  </si>
  <si>
    <t>Current taxes</t>
  </si>
  <si>
    <t>ImposteRedditoEsercizioCorrentiDifferiteAnticipateImposteCorrenti</t>
  </si>
  <si>
    <t>Imposte differite</t>
  </si>
  <si>
    <t>Deferred taxes</t>
  </si>
  <si>
    <t>ImposteRedditoEsercizioCorrentiDifferiteAnticipateImposteDifferite</t>
  </si>
  <si>
    <t>Imposte anticipate</t>
  </si>
  <si>
    <t>Advance taxes</t>
  </si>
  <si>
    <t>ImposteRedditoEsercizioCorrentiDifferiteAnticipateImposteAnticipate</t>
  </si>
  <si>
    <t>proventi (oneri) da adesione al regime di consolidato fiscale / trasparenza fiscale</t>
  </si>
  <si>
    <t>Income (expense) arising from the adoption of the fiscal consolidated system/fiscal transparency</t>
  </si>
  <si>
    <t>ImposteRedditoEsercizioCorrentiDifferiteAnticipateProventiOneriAdesioneRegimeConsolidatoFiscaleTrasparenzaFiscale</t>
  </si>
  <si>
    <t>Totale delle imposte sul reddito dell'esercizio, correnti, differite e anticipate</t>
  </si>
  <si>
    <t>Total taxes on the income for the year</t>
  </si>
  <si>
    <t>ImposteRedditoEsercizioCorrentiDifferiteAnticipateTotaleImposteRedditoEsercizioCorrentiDifferiteAnticipate</t>
  </si>
  <si>
    <t>23) Utile (perdita) dell'esercizio</t>
  </si>
  <si>
    <t>UtilePerditaEsercizio</t>
  </si>
  <si>
    <t>Cassa e Banca</t>
  </si>
  <si>
    <t xml:space="preserve">Crediti </t>
  </si>
  <si>
    <t>Rim. Merci, Mat. Prime, Suss., Semilav.</t>
  </si>
  <si>
    <t xml:space="preserve">     - Rimanenze prodotti in corso di lavorazione, semilavorati e finiti</t>
  </si>
  <si>
    <t xml:space="preserve">     - Rimanenze materie prime, sussidiare di consumo e merci</t>
  </si>
  <si>
    <t xml:space="preserve">    - Immobili</t>
  </si>
  <si>
    <t xml:space="preserve">           1) Fabbricati </t>
  </si>
  <si>
    <t xml:space="preserve">    - Impianti  Macchinari e Attrezzature</t>
  </si>
  <si>
    <t xml:space="preserve">           1) Impianti e macchinari</t>
  </si>
  <si>
    <t xml:space="preserve">           2)  Attrezzature industriali e commerciali</t>
  </si>
  <si>
    <t xml:space="preserve">           3)  Altri beni</t>
  </si>
  <si>
    <t>Immobilizzazioni immateriali</t>
  </si>
  <si>
    <t xml:space="preserve">   - Altri Costi Pluriennali</t>
  </si>
  <si>
    <t xml:space="preserve">           1) Costi d'impianto e ampliamento</t>
  </si>
  <si>
    <t xml:space="preserve">           2) Ricerca&amp; Sviluppo</t>
  </si>
  <si>
    <t xml:space="preserve">           3) Altre immobilizzazioni immateriali</t>
  </si>
  <si>
    <t>TOTALE ATTIVO</t>
  </si>
  <si>
    <t>Banche a breve termine</t>
  </si>
  <si>
    <t xml:space="preserve">    - Banche e Depositi postali</t>
  </si>
  <si>
    <t>Debiti Correnti</t>
  </si>
  <si>
    <t xml:space="preserve">    - Fornitori</t>
  </si>
  <si>
    <t xml:space="preserve">    - Enti Previd., Assistenziali, Ritenute personale</t>
  </si>
  <si>
    <t xml:space="preserve">    - Debiti tributari</t>
  </si>
  <si>
    <t xml:space="preserve">    - Altri debiti</t>
  </si>
  <si>
    <t xml:space="preserve">    - Ratei e Risconti Passivi</t>
  </si>
  <si>
    <t xml:space="preserve"> Finanziamenti Soci</t>
  </si>
  <si>
    <t>Debito a m/lungo termine</t>
  </si>
  <si>
    <t xml:space="preserve"> '  - Mutui e Finanziamenti</t>
  </si>
  <si>
    <t xml:space="preserve">    - Fondo TFR</t>
  </si>
  <si>
    <t xml:space="preserve">    - Altri Fondi</t>
  </si>
  <si>
    <t xml:space="preserve">    - Debiti Verso Collegate e Controllate</t>
  </si>
  <si>
    <t xml:space="preserve">    - Altri Debiti a m/l termine</t>
  </si>
  <si>
    <t>Capitale Netto</t>
  </si>
  <si>
    <t xml:space="preserve">    - Capitale Sociale</t>
  </si>
  <si>
    <t xml:space="preserve">    -  Riserva Legale</t>
  </si>
  <si>
    <t xml:space="preserve">    - Altre Riserve</t>
  </si>
  <si>
    <t xml:space="preserve">   - Utile a nuovo</t>
  </si>
  <si>
    <t xml:space="preserve">   - Risultato di Esercizio</t>
  </si>
  <si>
    <t>TOTALE PASSIVO</t>
  </si>
  <si>
    <t>CONTO ECONOMICO</t>
  </si>
  <si>
    <t>Produzione</t>
  </si>
  <si>
    <t xml:space="preserve">    - Rimanenze iniziali prodotti in corso di lavorazione, semilavorati e finiti</t>
  </si>
  <si>
    <t xml:space="preserve">    - Vendite prodotti finiti , merci e servizi</t>
  </si>
  <si>
    <t xml:space="preserve">    - Altri ricavi</t>
  </si>
  <si>
    <t xml:space="preserve">    - Rimanenze finali prodotti in corso di lavorazione, semilavorati e finiti</t>
  </si>
  <si>
    <t>Consumo merci</t>
  </si>
  <si>
    <t xml:space="preserve">    - Rimanenze iniziali materie prime, sussidiare di consumo e merci</t>
  </si>
  <si>
    <t xml:space="preserve">    - Acquisti</t>
  </si>
  <si>
    <t xml:space="preserve">    - Rimanenze finali materie prime, sussidiarie di consumo e merci</t>
  </si>
  <si>
    <t>MARGINE LORDO INDUSTRIALE (fatturato netto-consumo di merci)</t>
  </si>
  <si>
    <t>Costi variabili totali</t>
  </si>
  <si>
    <t xml:space="preserve">    - Costi variabili di produzione</t>
  </si>
  <si>
    <t xml:space="preserve">    - Altri costi variabili</t>
  </si>
  <si>
    <t>MARGINE LORDO DI CONTRIBUZIONE</t>
  </si>
  <si>
    <t>Costi fissi totali</t>
  </si>
  <si>
    <t xml:space="preserve">         1) ammortamenti materiali</t>
  </si>
  <si>
    <t xml:space="preserve">         2) ammortamenti immateriali</t>
  </si>
  <si>
    <t xml:space="preserve">         3) oneri diversi di gestione</t>
  </si>
  <si>
    <t xml:space="preserve">         4) accantonamenti a rischi</t>
  </si>
  <si>
    <t xml:space="preserve">         5) costi del personale dipendente</t>
  </si>
  <si>
    <t xml:space="preserve">         6) accantonamento al TFR</t>
  </si>
  <si>
    <t>REDDITO OPERATIVO</t>
  </si>
  <si>
    <t>Gestione straordinaria</t>
  </si>
  <si>
    <t xml:space="preserve">    - Plusvalenze/Minusvalenze </t>
  </si>
  <si>
    <t xml:space="preserve">    - Svalutazioni</t>
  </si>
  <si>
    <t>Gestione finaziaria</t>
  </si>
  <si>
    <t xml:space="preserve">    - Proventi e Oneri Finanziari</t>
  </si>
  <si>
    <t>REDDITO ANTEIMPOSTE</t>
  </si>
  <si>
    <t>imposte sul reddito</t>
  </si>
  <si>
    <t>REDDITO NETTO</t>
  </si>
  <si>
    <t>Investimenti Pregressi</t>
  </si>
  <si>
    <t>Ammortamenti Materiali</t>
  </si>
  <si>
    <t>Totale</t>
  </si>
  <si>
    <t>Fondo Ammortamento ;ateriali Residuo</t>
  </si>
  <si>
    <t>Vendite</t>
  </si>
  <si>
    <t>Fatturato</t>
  </si>
  <si>
    <t>Debito Iva</t>
  </si>
  <si>
    <t>Crediti Commerciali</t>
  </si>
  <si>
    <t>Incassi</t>
  </si>
  <si>
    <t>verifica</t>
  </si>
  <si>
    <t>Acquisti Materie Prime</t>
  </si>
  <si>
    <t>Costi</t>
  </si>
  <si>
    <t>Credito Iva</t>
  </si>
  <si>
    <t>Debiti Commerciali</t>
  </si>
  <si>
    <t>Uscite</t>
  </si>
  <si>
    <t>Costi Gestione&amp;Variabili</t>
  </si>
  <si>
    <t>Costi Personale</t>
  </si>
  <si>
    <t>TFR</t>
  </si>
  <si>
    <t>Banca</t>
  </si>
  <si>
    <t>Entrate</t>
  </si>
  <si>
    <t>Uscite Materie Prime</t>
  </si>
  <si>
    <t>Uscite Costi Variabili</t>
  </si>
  <si>
    <t>Uscite Personale</t>
  </si>
  <si>
    <t>Investimenti</t>
  </si>
  <si>
    <t>Liquidazione Iva</t>
  </si>
  <si>
    <t>Flusso Finanziario</t>
  </si>
  <si>
    <t>Saldo Iniziale</t>
  </si>
  <si>
    <t>Saldo Finale</t>
  </si>
  <si>
    <t>Saldo Iva Anno</t>
  </si>
  <si>
    <t>Pagamento Iva</t>
  </si>
  <si>
    <t>Imponibile Ires</t>
  </si>
  <si>
    <t>Costo del Lavoro</t>
  </si>
  <si>
    <t>Oneri Finanziari</t>
  </si>
  <si>
    <t>Imponibile Irap</t>
  </si>
  <si>
    <t>Liquidazione</t>
  </si>
  <si>
    <t>Debito Tributario</t>
  </si>
  <si>
    <t>Credito Tributario</t>
  </si>
  <si>
    <t>Schema n. 1: Flusso della gestione reddituale determinato con il metodo indiretto</t>
  </si>
  <si>
    <t>A. Flussi finanziari derivanti dalla gestione reddituale (metodo indiretto)</t>
  </si>
  <si>
    <t>Utile (perdita) dell’esercizio</t>
  </si>
  <si>
    <t>Imposte sul reddito</t>
  </si>
  <si>
    <t>Interessi passivi/(interessi attivi)</t>
  </si>
  <si>
    <t>(Dividendi)</t>
  </si>
  <si>
    <t>(Plusvalenze)/minusvalenze derivanti dalla cessione di attività</t>
  </si>
  <si>
    <t>1. Utile (perdita) dell’esercizio prima d’imposte sul reddito, interessi, dividendi e plus/minusvalenze da cessione</t>
  </si>
  <si>
    <t>Rettifiche per elementi non monetari che non hanno avuto contropartita nel capitale circolante netto</t>
  </si>
  <si>
    <t>Accantonamenti ai fondi</t>
  </si>
  <si>
    <t>Ammortamenti delle immobilizzazioni</t>
  </si>
  <si>
    <t>Svalutazioni per perdite durevoli di valore</t>
  </si>
  <si>
    <t>Altre rettifiche per elementi non monetari</t>
  </si>
  <si>
    <t>2. Flusso finanziario prima delle variazioni del ccn</t>
  </si>
  <si>
    <t>Variazioni del capitale circolante netto</t>
  </si>
  <si>
    <t>Decremento/(incremento) delle rimanenze</t>
  </si>
  <si>
    <t>Decremento/(incremento) dei crediti vs clienti</t>
  </si>
  <si>
    <t>Incremento/(decremento) dei debiti verso fornitori</t>
  </si>
  <si>
    <t>Decremento/(incremento) ratei e risconti attivi</t>
  </si>
  <si>
    <t>Incremento/(decremento) ratei e risconti passivi</t>
  </si>
  <si>
    <t>Altre variazioni del capitale circolante netto</t>
  </si>
  <si>
    <t>3. Flusso finanziario dopo le variazioni del ccn</t>
  </si>
  <si>
    <t>Altre rettifiche</t>
  </si>
  <si>
    <t>Interessi incassati/(pagati)</t>
  </si>
  <si>
    <t>(Imposte sul reddito pagate)</t>
  </si>
  <si>
    <t>Dividendi incassati</t>
  </si>
  <si>
    <t>Utilizzo dei fondi</t>
  </si>
  <si>
    <t>4. Flusso finanziario dopo le altre rettifiche</t>
  </si>
  <si>
    <t>Flusso finanziario della gestione reddituale (A)</t>
  </si>
  <si>
    <t>B. Flussi finanziari derivanti dall’attività d’investimento</t>
  </si>
  <si>
    <t>Immobilizzazioni materiali</t>
  </si>
  <si>
    <t>(Investimenti)</t>
  </si>
  <si>
    <t>Prezzo di realizzo disinvestimenti</t>
  </si>
  <si>
    <t>Immobilizzazioni finanziarie</t>
  </si>
  <si>
    <t>Attività Finanziarie non immobilizzate</t>
  </si>
  <si>
    <t>Flusso finanziario dell’attività di investimento (B)</t>
  </si>
  <si>
    <t>C. Flussi finanziari derivanti dall’attività di finanziamento</t>
  </si>
  <si>
    <t>Mezzi di terzi</t>
  </si>
  <si>
    <t>Incremento (decremento) debiti a breve verso banche</t>
  </si>
  <si>
    <t>Accensione finanziamenti</t>
  </si>
  <si>
    <t>Rimborso finanziamenti</t>
  </si>
  <si>
    <t>Mezzi propri</t>
  </si>
  <si>
    <t>Aumento di capitale a pagamento</t>
  </si>
  <si>
    <t>Cessione (acquisto) di azioni proprie</t>
  </si>
  <si>
    <t>Dividendi (e acconti su dividendi) pagati</t>
  </si>
  <si>
    <t>Flusso finanziario dell’attività di finanziamento (C)</t>
  </si>
  <si>
    <t>Incremento (decremento) delle disponibilità liquide (a ± b ± c)</t>
  </si>
  <si>
    <t xml:space="preserve">           3)  Altre immobilizzazioni immateriali</t>
  </si>
  <si>
    <t xml:space="preserve">   - Ricavi netti di vendita</t>
  </si>
  <si>
    <t xml:space="preserve">  - Variazioni delle rim. di prod. in corso di lav., semilavorati e finiti</t>
  </si>
  <si>
    <t xml:space="preserve">  - Variazioni dei lavori in corso su ordinazione</t>
  </si>
  <si>
    <t xml:space="preserve">  - Costi patrimonializzati</t>
  </si>
  <si>
    <t xml:space="preserve">  - Altri ricavi e proventi</t>
  </si>
  <si>
    <t>VALORE DELLA PRODUZIONE OTTENUTA</t>
  </si>
  <si>
    <t>COSTI PER CONSUMI DI MATERIE E SERVIZI</t>
  </si>
  <si>
    <t xml:space="preserve">   - Per materie prime, sussidiarie e di merci</t>
  </si>
  <si>
    <t xml:space="preserve">   - Per servizi </t>
  </si>
  <si>
    <t xml:space="preserve">   - Per godimento beni di terzi</t>
  </si>
  <si>
    <t xml:space="preserve">   - Variazioni delle rimanenze di materie prime e sussidiarie</t>
  </si>
  <si>
    <t xml:space="preserve">   - Oneri diversi di gestione</t>
  </si>
  <si>
    <t>VALORE AGGIUNTO</t>
  </si>
  <si>
    <t xml:space="preserve">   - Costi per il personale</t>
  </si>
  <si>
    <t>MARGINE OPERATIVO LORDO</t>
  </si>
  <si>
    <t xml:space="preserve">  - Ammortamenti e svalutazioni</t>
  </si>
  <si>
    <t>REDDITO OPERATIVO DELLA GEST. CARATTERISTICA</t>
  </si>
  <si>
    <t xml:space="preserve">  - +/- Risultato della gestione accessoria</t>
  </si>
  <si>
    <t xml:space="preserve"> - +/- Risultato della gestione finanziaria</t>
  </si>
  <si>
    <t>RISULTATO DELLA GESTIONE CORRENTE</t>
  </si>
  <si>
    <t xml:space="preserve">  - +/- Risultato della gestione straordinaria</t>
  </si>
  <si>
    <t>RISULTATO PRIMA DELLE IMPOSTE</t>
  </si>
  <si>
    <t xml:space="preserve">  -Imposte sul reddito d'esercizio</t>
  </si>
  <si>
    <t>RISULTATO NETTO (UTILE DELL'ESERCIZIO)</t>
  </si>
  <si>
    <t>RICLASSIFICAZION SP</t>
  </si>
  <si>
    <t>ATTIVITA</t>
  </si>
  <si>
    <t>Blocco 1 :  Attività Fisse</t>
  </si>
  <si>
    <t>Blocco 2 :  Attività Correnti</t>
  </si>
  <si>
    <t>TOTALE</t>
  </si>
  <si>
    <t>PASSIVITA'</t>
  </si>
  <si>
    <t>Blocco 3 :  Capitale Proprio</t>
  </si>
  <si>
    <t>Blocco 4 :  Debiti a medio lungo termine</t>
  </si>
  <si>
    <t>Blocco 5 :  Passività correnti</t>
  </si>
  <si>
    <t>RICLASSIFICAZIONE CE</t>
  </si>
  <si>
    <t>Blocco 1 Valore della Produzione</t>
  </si>
  <si>
    <t>Blocco 2 Costi della Produzione</t>
  </si>
  <si>
    <t xml:space="preserve">1° Margine -&gt;Valore aggiunto (Blocco 1 – Blocco 2): </t>
  </si>
  <si>
    <t>Blocco 3 Costo del Lavoro</t>
  </si>
  <si>
    <t xml:space="preserve">2° Margine -&gt; Margine Operativo Lordo  </t>
  </si>
  <si>
    <t>Blocco 4 Ammortamenti e accantonamenti</t>
  </si>
  <si>
    <t>3° Margine -&gt; Reddito Operativo (Ebit)</t>
  </si>
  <si>
    <t>Blocco 5 Saldo gestione finanziaria</t>
  </si>
  <si>
    <t>4° Margine -&gt; Reddito Corrente</t>
  </si>
  <si>
    <t>Blocco 6 Saldo gestione straordinaria</t>
  </si>
  <si>
    <t>5° Margine -&gt; Reddito prima delle imposte</t>
  </si>
  <si>
    <t>Blocco 7 Imposte ed onere tributari</t>
  </si>
  <si>
    <t>6° Margine -&gt; Risultato netto</t>
  </si>
  <si>
    <t>Indicatori  Redditività</t>
  </si>
  <si>
    <t>ROI</t>
  </si>
  <si>
    <t>ROE</t>
  </si>
  <si>
    <t>ROS</t>
  </si>
  <si>
    <t>ROD</t>
  </si>
  <si>
    <t>Indicatori Finanziari/Patrimoniali</t>
  </si>
  <si>
    <t>Capitale circolante netto</t>
  </si>
  <si>
    <t>Margine di tesoreria</t>
  </si>
  <si>
    <t>Current ratio</t>
  </si>
  <si>
    <t>Quick Ratio</t>
  </si>
  <si>
    <t>Grado indebitamento</t>
  </si>
  <si>
    <t>Altre Riserve di Utili</t>
  </si>
  <si>
    <t>verso banche</t>
  </si>
  <si>
    <t>Oneri diversi di gestione</t>
  </si>
  <si>
    <t>Rata Finanziamento</t>
  </si>
  <si>
    <t>Utilizzo TFR</t>
  </si>
  <si>
    <t>Finanziamento</t>
  </si>
  <si>
    <t>Rimanenze finali prodotti in corso di lavorazione, semilavorati e finiti</t>
  </si>
  <si>
    <t>Margine Contribuzione Lordo</t>
  </si>
  <si>
    <t>Rimanenze finali materie prime, sussidiarie di consumo e merci</t>
  </si>
  <si>
    <t>Rating MedioCredito Centrale</t>
  </si>
  <si>
    <t>Modello di valutazione - settori: industria manifatturiera, edilizia ed alberghi (società alberghiere proprietarie dell’immobile)</t>
  </si>
  <si>
    <t xml:space="preserve">                                                        </t>
  </si>
  <si>
    <t>Importo</t>
  </si>
  <si>
    <t>%</t>
  </si>
  <si>
    <t>Sintesi di Stato Patrimoniale</t>
  </si>
  <si>
    <t>Altro Attivo Circolante</t>
  </si>
  <si>
    <t>Passivo Circolante</t>
  </si>
  <si>
    <t>Passivo a M/L termine</t>
  </si>
  <si>
    <t>Mezzi Propri</t>
  </si>
  <si>
    <t xml:space="preserve">   </t>
  </si>
  <si>
    <t>Dati di Conto Economico</t>
  </si>
  <si>
    <t>Ammortamenti</t>
  </si>
  <si>
    <t>Margine Operativo Lordo MOL</t>
  </si>
  <si>
    <t xml:space="preserve">Oneri Finanziari </t>
  </si>
  <si>
    <t>Utile (perdita) di periodo</t>
  </si>
  <si>
    <t>Principali indicatori</t>
  </si>
  <si>
    <t>Valore</t>
  </si>
  <si>
    <t>Scoring</t>
  </si>
  <si>
    <t>M.Prop.+Deb.M-L/Immobilizzazioni            (&gt;=1)</t>
  </si>
  <si>
    <t>M.Propri/Tot. Passivo                             (&gt;=10%)</t>
  </si>
  <si>
    <t>MOL/Oneri Finanziari                                  (&gt;=2)</t>
  </si>
  <si>
    <t>M O L  / Fatturato                                  (&gt;= 0,08)</t>
  </si>
  <si>
    <t>Legenda Livello</t>
  </si>
  <si>
    <t>Livello A: scoring &gt;= 9</t>
  </si>
  <si>
    <t>Livello B: scoring&gt;= 7 &lt;9</t>
  </si>
  <si>
    <t>Livello C: scoring &lt;7</t>
  </si>
  <si>
    <t>PARAMETRO</t>
  </si>
  <si>
    <t>N. par.</t>
  </si>
  <si>
    <t>VALORE</t>
  </si>
  <si>
    <t>PUNTI</t>
  </si>
  <si>
    <t>M.Prop.+Deb.M-L/Immobilizzazioni (target &gt;=1)</t>
  </si>
  <si>
    <t>A</t>
  </si>
  <si>
    <t>&gt;=1</t>
  </si>
  <si>
    <t>0,75&lt;A&gt;1</t>
  </si>
  <si>
    <t>0&lt;A&lt;=0,75</t>
  </si>
  <si>
    <t>&lt;=0</t>
  </si>
  <si>
    <t>0</t>
  </si>
  <si>
    <t>M.Propri/Tot. Passivo (target &gt;=10%)</t>
  </si>
  <si>
    <t>B</t>
  </si>
  <si>
    <t>&gt;=10%</t>
  </si>
  <si>
    <t>6%&lt;B&gt;10%</t>
  </si>
  <si>
    <t>0&lt;B&lt;=6%</t>
  </si>
  <si>
    <t>Scala di rating MedioCredito Centrale</t>
  </si>
  <si>
    <t>MOL/ Oneri Finanziari  (target &gt;=2)</t>
  </si>
  <si>
    <t>C</t>
  </si>
  <si>
    <t>&gt;=2</t>
  </si>
  <si>
    <t>1&lt;C&gt;1,5</t>
  </si>
  <si>
    <t>C&gt;=1</t>
  </si>
  <si>
    <t>&gt;1</t>
  </si>
  <si>
    <t>M O L  / Fatturato (target &gt;= 8%)</t>
  </si>
  <si>
    <t>D</t>
  </si>
  <si>
    <t>&gt;=8%</t>
  </si>
  <si>
    <t>5%&lt;=D&gt;8%</t>
  </si>
  <si>
    <t>D&gt;=3%</t>
  </si>
  <si>
    <t>D&lt;3%</t>
  </si>
  <si>
    <t>ROTAZIONE</t>
  </si>
  <si>
    <t>Durata media crediti clienti</t>
  </si>
  <si>
    <t>Durata media magazzino</t>
  </si>
  <si>
    <t>Durata media debiti fornitori</t>
  </si>
  <si>
    <t>Fornitori</t>
  </si>
  <si>
    <t>Incasso -&gt;</t>
  </si>
  <si>
    <t>Utilizzo -&gt;</t>
  </si>
  <si>
    <t>Rimborso -&gt;</t>
  </si>
  <si>
    <t>Uscite Altri Debit</t>
  </si>
  <si>
    <t xml:space="preserve"> - Crediti v/clienti</t>
  </si>
  <si>
    <t xml:space="preserve"> - Erario c/acc. Imposte e Ritenute e Iva</t>
  </si>
  <si>
    <t>- Ratei e Risconti Attivi</t>
  </si>
  <si>
    <t>- Altri Crediti, fatture da emettere, ecc</t>
  </si>
  <si>
    <t>- Rimanenze prodotti in corso di lavorazione, semilavorati e finiti</t>
  </si>
  <si>
    <t>- Rimanenze materie prime, sussidiare di consumo e merci</t>
  </si>
  <si>
    <t>- Immobili</t>
  </si>
  <si>
    <t>- Impianti  Macchinari e Attrezzature</t>
  </si>
  <si>
    <t>- Altri Costi Pluriennali</t>
  </si>
  <si>
    <t>- Banche e Depositi postali</t>
  </si>
  <si>
    <t>- Fornitori</t>
  </si>
  <si>
    <t>- Enti Previd., Assistenziali, Ritenute personale</t>
  </si>
  <si>
    <t>- Debiti tributari</t>
  </si>
  <si>
    <t>- Altri debiti</t>
  </si>
  <si>
    <t>- Ratei e Risconti Passivi</t>
  </si>
  <si>
    <t>- Fondo TFR</t>
  </si>
  <si>
    <t>- Mutui e Finanziamenti</t>
  </si>
  <si>
    <t>- Altri Fondi</t>
  </si>
  <si>
    <t>- Debiti Verso Collegate e Controllate</t>
  </si>
  <si>
    <t>- Altri Debiti a m/l termine</t>
  </si>
  <si>
    <t>- Capitale Sociale</t>
  </si>
  <si>
    <t>- Altre Riserve</t>
  </si>
  <si>
    <t>- Riserva Legale</t>
  </si>
  <si>
    <t>- Utile a nuovo</t>
  </si>
  <si>
    <t>- Risultato di Esercizio</t>
  </si>
  <si>
    <t xml:space="preserve">MARGINE LORDO INDUSTRIALE </t>
  </si>
  <si>
    <t>- Rimanenze iniziali prodotti in corso di lavorazione, semilavorati e finiti</t>
  </si>
  <si>
    <t>- Vendite prodotti finiti , merci e servizi</t>
  </si>
  <si>
    <t>- Altri ricavi</t>
  </si>
  <si>
    <t>- Rimanenze finali prodotti in corso di lavorazione, semilavorati e finiti</t>
  </si>
  <si>
    <t>- Acquisti</t>
  </si>
  <si>
    <t>- Rimanenze finali materie prime, sussidiarie di consumo e merci</t>
  </si>
  <si>
    <t>- Costi variabili di produzione</t>
  </si>
  <si>
    <t>- Altri costi variabili</t>
  </si>
  <si>
    <t>- Rimanenze iniziali materie prime, sussidiare di consumo e merci</t>
  </si>
  <si>
    <t xml:space="preserve">- Plusvalenze/Minusvalenze </t>
  </si>
  <si>
    <t>- Svalutazioni</t>
  </si>
  <si>
    <t>- Proventi e Oneri Finanziari</t>
  </si>
  <si>
    <t>Consuntivo</t>
  </si>
  <si>
    <t>Previsionale</t>
  </si>
  <si>
    <t>Anno Ultimo Bilancio</t>
  </si>
  <si>
    <t>Inserisci Ultimo Bilancio</t>
  </si>
  <si>
    <t>Stato Patrimoniale -&gt;</t>
  </si>
  <si>
    <t>Foglio "SP"</t>
  </si>
  <si>
    <t>Conto Economico -&gt;</t>
  </si>
  <si>
    <t>GUIDA</t>
  </si>
  <si>
    <t>Foglio "CE"</t>
  </si>
  <si>
    <t>Gestisci Attivo e Passivo Ultimo Bilancio</t>
  </si>
  <si>
    <t>Liquidazione Debiti -&gt;</t>
  </si>
  <si>
    <t>Foglio "Scheda Debiti"</t>
  </si>
  <si>
    <t>Liquidazione Crediti -&gt;</t>
  </si>
  <si>
    <t>Foglio "Scheda Crediti"</t>
  </si>
  <si>
    <t>Gestisci Investimenti -&gt;</t>
  </si>
  <si>
    <t>Foglio "Scheda Inv"</t>
  </si>
  <si>
    <t>Crea i Previsioanali</t>
  </si>
  <si>
    <t>Input Previsionali-&gt;</t>
  </si>
  <si>
    <t>Foglio "Input Previsionale"</t>
  </si>
  <si>
    <t>Consulta i Report</t>
  </si>
  <si>
    <t>Foglio "SP Previsionale"</t>
  </si>
  <si>
    <t>Foglio "CE Previsionale"</t>
  </si>
  <si>
    <t>Rendiconto Finanziario  Indiretto -&gt;</t>
  </si>
  <si>
    <t>Foglio "Rendiconto Finanziario"</t>
  </si>
  <si>
    <t>Rendiconto Finanziario  diretto -&gt;</t>
  </si>
  <si>
    <t>Foglio "Rendiconto Finanziario Dir"</t>
  </si>
  <si>
    <t>Fonte Impieghi -&gt;</t>
  </si>
  <si>
    <t>Foglio "Fonte Impieghir"</t>
  </si>
  <si>
    <t>Ratios -&gt;</t>
  </si>
  <si>
    <t>Foglio "Indicatori"</t>
  </si>
  <si>
    <t>Rating MediCreditoCentrale -&gt;</t>
  </si>
  <si>
    <t>Foglio "Rat MedioCreditoCentrale"</t>
  </si>
  <si>
    <t>Grafici -&gt;</t>
  </si>
  <si>
    <t>Foglio "Grafici"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</si>
</sst>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€&quot;\ #,##0;\-&quot;€&quot;\ #,##0"/>
    <numFmt numFmtId="6" formatCode="&quot;€&quot;\ #,##0;[Red]\-&quot;€&quot;\ #,##0"/>
    <numFmt numFmtId="42" formatCode="_-&quot;€&quot;\ * #,##0_-;\-&quot;€&quot;\ * #,##0_-;_-&quot;€&quot;\ * &quot;-&quot;_-;_-@_-"/>
    <numFmt numFmtId="43" formatCode="_-* #,##0.00_-;\-* #,##0.00_-;_-* &quot;-&quot;??_-;_-@_-"/>
    <numFmt numFmtId="164" formatCode="&quot;€&quot;\ #,##0"/>
    <numFmt numFmtId="165" formatCode="&quot;€&quot;\ #,##0.00"/>
    <numFmt numFmtId="166" formatCode="_-* #,##0_-;\-* #,##0_-;_-* &quot;-&quot;??_-;_-@_-"/>
    <numFmt numFmtId="167" formatCode="#,##0\ &quot;€&quot;;[Red]#,##0\ &quot;€&quot;"/>
    <numFmt numFmtId="168" formatCode="_-[$€]\ * #,##0.00_-;\-[$€]\ * #,##0.00_-;_-[$€]\ * &quot;-&quot;??_-;_-@_-"/>
    <numFmt numFmtId="169" formatCode="_(* #,##0_);_(* \(#,##0\);_(* &quot;-&quot;_);_(@_)"/>
    <numFmt numFmtId="170" formatCode="_(* #,##0.00_);_(* \(#,##0.00\);_(* &quot;-&quot;??_);_(@_)"/>
    <numFmt numFmtId="171" formatCode="#,##0.00_ ;\-#,##0.00\ "/>
    <numFmt numFmtId="172" formatCode="#,##0;[Red]\(#,##0\)"/>
    <numFmt numFmtId="173" formatCode="#,##0_ ;[Red]\-#,##0\ "/>
  </numFmts>
  <fonts count="4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u/>
      <sz val="8"/>
      <color indexed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b/>
      <i/>
      <sz val="10"/>
      <name val="Tahoma"/>
      <family val="2"/>
    </font>
    <font>
      <sz val="10"/>
      <color indexed="17"/>
      <name val="Tahoma"/>
      <family val="2"/>
    </font>
    <font>
      <b/>
      <sz val="10"/>
      <color indexed="17"/>
      <name val="Tahoma"/>
      <family val="2"/>
    </font>
    <font>
      <b/>
      <sz val="10"/>
      <color indexed="9"/>
      <name val="Tahoma"/>
      <family val="2"/>
    </font>
    <font>
      <b/>
      <sz val="10"/>
      <color theme="0"/>
      <name val="Tahoma"/>
      <family val="2"/>
    </font>
    <font>
      <i/>
      <sz val="1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Tahoma"/>
      <family val="2"/>
    </font>
    <font>
      <sz val="11"/>
      <color indexed="8"/>
      <name val="Tahoma"/>
      <family val="2"/>
    </font>
    <font>
      <b/>
      <i/>
      <sz val="10"/>
      <color theme="4" tint="-0.249977111117893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Tahoma"/>
      <family val="2"/>
    </font>
    <font>
      <b/>
      <sz val="11"/>
      <color indexed="8"/>
      <name val="Tahoma"/>
      <family val="2"/>
    </font>
    <font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5" fillId="0" borderId="0"/>
    <xf numFmtId="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28" fillId="4" borderId="0" applyNumberFormat="0" applyBorder="0" applyAlignment="0" applyProtection="0"/>
    <xf numFmtId="43" fontId="20" fillId="0" borderId="0" applyFont="0" applyFill="0" applyBorder="0" applyAlignment="0" applyProtection="0"/>
    <xf numFmtId="0" fontId="20" fillId="0" borderId="0"/>
  </cellStyleXfs>
  <cellXfs count="264">
    <xf numFmtId="0" fontId="0" fillId="0" borderId="0" xfId="0"/>
    <xf numFmtId="0" fontId="1" fillId="0" borderId="0" xfId="0" applyFont="1" applyFill="1" applyBorder="1" applyProtection="1">
      <protection hidden="1"/>
    </xf>
    <xf numFmtId="0" fontId="2" fillId="0" borderId="0" xfId="0" applyFont="1"/>
    <xf numFmtId="0" fontId="0" fillId="2" borderId="0" xfId="0" applyFill="1"/>
    <xf numFmtId="0" fontId="3" fillId="0" borderId="0" xfId="1" applyAlignment="1" applyProtection="1"/>
    <xf numFmtId="0" fontId="0" fillId="0" borderId="0" xfId="0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3" fillId="0" borderId="0" xfId="1" applyFill="1" applyBorder="1" applyAlignment="1" applyProtection="1">
      <protection hidden="1"/>
    </xf>
    <xf numFmtId="0" fontId="7" fillId="0" borderId="0" xfId="1" applyFont="1" applyFill="1" applyBorder="1" applyAlignment="1" applyProtection="1">
      <alignment horizontal="center" vertical="top"/>
      <protection hidden="1"/>
    </xf>
    <xf numFmtId="164" fontId="8" fillId="2" borderId="0" xfId="0" applyNumberFormat="1" applyFont="1" applyFill="1" applyBorder="1" applyProtection="1">
      <protection locked="0"/>
    </xf>
    <xf numFmtId="0" fontId="9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alignment horizontal="left"/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protection hidden="1"/>
    </xf>
    <xf numFmtId="3" fontId="0" fillId="0" borderId="0" xfId="0" applyNumberFormat="1" applyFill="1" applyBorder="1" applyProtection="1"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alignment horizontal="left" indent="1"/>
      <protection hidden="1"/>
    </xf>
    <xf numFmtId="0" fontId="1" fillId="0" borderId="0" xfId="0" applyFont="1" applyFill="1" applyBorder="1" applyAlignment="1" applyProtection="1">
      <alignment horizontal="left" indent="1"/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0" fontId="8" fillId="0" borderId="0" xfId="0" applyFont="1" applyFill="1" applyBorder="1" applyAlignment="1" applyProtection="1">
      <alignment horizontal="left" indent="5"/>
      <protection hidden="1"/>
    </xf>
    <xf numFmtId="0" fontId="8" fillId="0" borderId="0" xfId="0" applyFont="1" applyFill="1" applyBorder="1" applyAlignment="1" applyProtection="1">
      <alignment horizontal="left" indent="3"/>
      <protection hidden="1"/>
    </xf>
    <xf numFmtId="0" fontId="13" fillId="0" borderId="0" xfId="0" applyFont="1" applyFill="1" applyBorder="1" applyAlignment="1" applyProtection="1">
      <alignment horizontal="left" indent="2"/>
      <protection hidden="1"/>
    </xf>
    <xf numFmtId="0" fontId="13" fillId="0" borderId="0" xfId="0" applyFont="1" applyFill="1" applyBorder="1" applyAlignment="1" applyProtection="1">
      <alignment horizontal="left" indent="3"/>
      <protection hidden="1"/>
    </xf>
    <xf numFmtId="164" fontId="13" fillId="0" borderId="0" xfId="0" applyNumberFormat="1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left" indent="3"/>
      <protection hidden="1"/>
    </xf>
    <xf numFmtId="3" fontId="4" fillId="0" borderId="0" xfId="0" applyNumberFormat="1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left" indent="7"/>
      <protection hidden="1"/>
    </xf>
    <xf numFmtId="0" fontId="4" fillId="0" borderId="0" xfId="0" applyFont="1" applyFill="1" applyBorder="1" applyAlignment="1" applyProtection="1">
      <alignment horizontal="left" indent="4"/>
      <protection hidden="1"/>
    </xf>
    <xf numFmtId="0" fontId="4" fillId="0" borderId="0" xfId="0" applyFont="1" applyFill="1" applyBorder="1" applyAlignment="1" applyProtection="1">
      <alignment horizontal="right" indent="2"/>
      <protection hidden="1"/>
    </xf>
    <xf numFmtId="0" fontId="15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left" indent="4"/>
      <protection hidden="1"/>
    </xf>
    <xf numFmtId="0" fontId="4" fillId="0" borderId="0" xfId="0" applyFont="1" applyFill="1" applyBorder="1" applyAlignment="1" applyProtection="1">
      <alignment horizontal="left" indent="9"/>
      <protection hidden="1"/>
    </xf>
    <xf numFmtId="0" fontId="4" fillId="0" borderId="0" xfId="0" applyFont="1" applyFill="1" applyBorder="1" applyAlignment="1" applyProtection="1">
      <alignment horizontal="left" indent="5"/>
      <protection hidden="1"/>
    </xf>
    <xf numFmtId="0" fontId="4" fillId="0" borderId="0" xfId="0" applyFont="1" applyFill="1" applyBorder="1" applyAlignment="1" applyProtection="1">
      <alignment horizontal="left" indent="13"/>
      <protection hidden="1"/>
    </xf>
    <xf numFmtId="0" fontId="4" fillId="0" borderId="0" xfId="0" applyFont="1" applyFill="1" applyBorder="1" applyAlignment="1" applyProtection="1">
      <alignment horizontal="left" indent="6"/>
      <protection hidden="1"/>
    </xf>
    <xf numFmtId="3" fontId="13" fillId="0" borderId="0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 indent="11"/>
      <protection hidden="1"/>
    </xf>
    <xf numFmtId="0" fontId="16" fillId="0" borderId="0" xfId="0" applyFont="1" applyFill="1" applyBorder="1" applyProtection="1">
      <protection hidden="1"/>
    </xf>
    <xf numFmtId="0" fontId="12" fillId="0" borderId="0" xfId="0" applyFont="1" applyFill="1" applyBorder="1" applyAlignment="1" applyProtection="1">
      <alignment horizontal="left" indent="2"/>
      <protection hidden="1"/>
    </xf>
    <xf numFmtId="164" fontId="12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left" indent="7"/>
      <protection hidden="1"/>
    </xf>
    <xf numFmtId="3" fontId="12" fillId="0" borderId="0" xfId="0" applyNumberFormat="1" applyFont="1" applyFill="1" applyBorder="1" applyProtection="1">
      <protection locked="0"/>
    </xf>
    <xf numFmtId="164" fontId="0" fillId="0" borderId="0" xfId="0" applyNumberFormat="1" applyFill="1" applyBorder="1" applyProtection="1">
      <protection hidden="1"/>
    </xf>
    <xf numFmtId="0" fontId="7" fillId="0" borderId="0" xfId="1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6" fillId="0" borderId="0" xfId="0" applyFont="1" applyFill="1" applyBorder="1" applyProtection="1"/>
    <xf numFmtId="0" fontId="1" fillId="0" borderId="0" xfId="0" applyFont="1" applyFill="1" applyBorder="1" applyProtection="1"/>
    <xf numFmtId="0" fontId="0" fillId="0" borderId="0" xfId="0" applyFill="1" applyBorder="1" applyProtection="1"/>
    <xf numFmtId="3" fontId="0" fillId="0" borderId="0" xfId="0" applyNumberFormat="1" applyFill="1" applyBorder="1" applyProtection="1"/>
    <xf numFmtId="0" fontId="15" fillId="0" borderId="0" xfId="0" applyFont="1" applyFill="1" applyBorder="1" applyAlignment="1" applyProtection="1">
      <alignment horizontal="left" indent="2"/>
      <protection hidden="1"/>
    </xf>
    <xf numFmtId="0" fontId="8" fillId="0" borderId="0" xfId="0" applyFont="1" applyFill="1" applyBorder="1" applyAlignment="1" applyProtection="1">
      <alignment horizontal="left" indent="2"/>
      <protection hidden="1"/>
    </xf>
    <xf numFmtId="3" fontId="4" fillId="0" borderId="0" xfId="0" applyNumberFormat="1" applyFont="1" applyFill="1" applyBorder="1" applyProtection="1"/>
    <xf numFmtId="0" fontId="16" fillId="0" borderId="0" xfId="0" applyFont="1" applyFill="1" applyBorder="1" applyAlignment="1" applyProtection="1">
      <alignment horizontal="left" indent="1"/>
      <protection hidden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wrapText="1"/>
    </xf>
    <xf numFmtId="164" fontId="2" fillId="0" borderId="0" xfId="0" applyNumberFormat="1" applyFont="1" applyFill="1"/>
    <xf numFmtId="0" fontId="0" fillId="0" borderId="0" xfId="0" applyFill="1"/>
    <xf numFmtId="0" fontId="0" fillId="0" borderId="0" xfId="0" quotePrefix="1" applyFill="1"/>
    <xf numFmtId="0" fontId="2" fillId="0" borderId="0" xfId="0" applyFont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0" fontId="18" fillId="0" borderId="0" xfId="0" applyFont="1" applyAlignment="1">
      <alignment vertical="center"/>
    </xf>
    <xf numFmtId="0" fontId="19" fillId="0" borderId="0" xfId="0" applyFont="1"/>
    <xf numFmtId="164" fontId="0" fillId="0" borderId="0" xfId="0" applyNumberFormat="1" applyFill="1"/>
    <xf numFmtId="165" fontId="0" fillId="0" borderId="0" xfId="0" applyNumberFormat="1" applyFill="1"/>
    <xf numFmtId="0" fontId="0" fillId="0" borderId="0" xfId="0" applyFont="1" applyFill="1"/>
    <xf numFmtId="0" fontId="2" fillId="0" borderId="0" xfId="0" applyFont="1" applyFill="1"/>
    <xf numFmtId="165" fontId="2" fillId="0" borderId="0" xfId="0" applyNumberFormat="1" applyFont="1" applyFill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1" fillId="0" borderId="0" xfId="0" applyFont="1" applyFill="1" applyBorder="1" applyAlignment="1" applyProtection="1">
      <alignment horizontal="left" indent="7"/>
      <protection hidden="1"/>
    </xf>
    <xf numFmtId="0" fontId="21" fillId="0" borderId="0" xfId="0" applyFont="1" applyFill="1" applyBorder="1" applyAlignment="1" applyProtection="1">
      <alignment horizontal="left" indent="9"/>
      <protection hidden="1"/>
    </xf>
    <xf numFmtId="0" fontId="21" fillId="0" borderId="0" xfId="0" applyFont="1" applyFill="1" applyBorder="1" applyAlignment="1" applyProtection="1">
      <alignment horizontal="right" indent="2"/>
      <protection hidden="1"/>
    </xf>
    <xf numFmtId="0" fontId="24" fillId="0" borderId="0" xfId="0" applyFont="1" applyFill="1" applyBorder="1" applyAlignment="1" applyProtection="1">
      <alignment horizontal="left" indent="3"/>
      <protection hidden="1"/>
    </xf>
    <xf numFmtId="0" fontId="8" fillId="0" borderId="0" xfId="0" applyFont="1" applyFill="1" applyBorder="1" applyAlignment="1" applyProtection="1">
      <alignment horizontal="left" wrapText="1" indent="3"/>
      <protection hidden="1"/>
    </xf>
    <xf numFmtId="0" fontId="4" fillId="0" borderId="0" xfId="0" applyFont="1" applyFill="1" applyBorder="1" applyAlignment="1" applyProtection="1">
      <alignment horizontal="left" wrapText="1" indent="5"/>
      <protection hidden="1"/>
    </xf>
    <xf numFmtId="0" fontId="21" fillId="0" borderId="0" xfId="0" applyFont="1" applyFill="1" applyBorder="1" applyAlignment="1" applyProtection="1">
      <alignment horizontal="left" indent="5"/>
      <protection hidden="1"/>
    </xf>
    <xf numFmtId="164" fontId="0" fillId="0" borderId="0" xfId="0" applyNumberFormat="1" applyAlignment="1">
      <alignment horizontal="center"/>
    </xf>
    <xf numFmtId="0" fontId="26" fillId="0" borderId="0" xfId="0" applyFont="1"/>
    <xf numFmtId="0" fontId="0" fillId="0" borderId="2" xfId="0" applyBorder="1"/>
    <xf numFmtId="164" fontId="2" fillId="0" borderId="0" xfId="0" applyNumberFormat="1" applyFont="1" applyAlignment="1">
      <alignment horizontal="center"/>
    </xf>
    <xf numFmtId="0" fontId="0" fillId="0" borderId="0" xfId="3" applyNumberFormat="1" applyFont="1"/>
    <xf numFmtId="166" fontId="0" fillId="0" borderId="0" xfId="3" applyNumberFormat="1" applyFont="1"/>
    <xf numFmtId="167" fontId="0" fillId="0" borderId="0" xfId="3" applyNumberFormat="1" applyFont="1"/>
    <xf numFmtId="0" fontId="0" fillId="0" borderId="0" xfId="0" applyNumberFormat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wrapText="1"/>
    </xf>
    <xf numFmtId="0" fontId="27" fillId="0" borderId="0" xfId="0" applyFont="1"/>
    <xf numFmtId="9" fontId="2" fillId="0" borderId="0" xfId="2" applyFont="1" applyFill="1" applyAlignment="1">
      <alignment horizontal="center"/>
    </xf>
    <xf numFmtId="168" fontId="29" fillId="5" borderId="0" xfId="4" applyFont="1" applyFill="1"/>
    <xf numFmtId="168" fontId="29" fillId="0" borderId="0" xfId="4" applyFont="1"/>
    <xf numFmtId="0" fontId="29" fillId="5" borderId="0" xfId="4" applyNumberFormat="1" applyFont="1" applyFill="1" applyProtection="1">
      <protection hidden="1"/>
    </xf>
    <xf numFmtId="0" fontId="29" fillId="5" borderId="3" xfId="4" applyNumberFormat="1" applyFont="1" applyFill="1" applyBorder="1" applyAlignment="1" applyProtection="1">
      <alignment horizontal="center"/>
      <protection hidden="1"/>
    </xf>
    <xf numFmtId="0" fontId="29" fillId="5" borderId="6" xfId="4" applyNumberFormat="1" applyFont="1" applyFill="1" applyBorder="1" applyAlignment="1" applyProtection="1">
      <alignment horizontal="center"/>
      <protection hidden="1"/>
    </xf>
    <xf numFmtId="0" fontId="29" fillId="5" borderId="1" xfId="4" applyNumberFormat="1" applyFont="1" applyFill="1" applyBorder="1" applyAlignment="1" applyProtection="1">
      <alignment horizontal="center"/>
      <protection hidden="1"/>
    </xf>
    <xf numFmtId="0" fontId="29" fillId="5" borderId="1" xfId="4" applyNumberFormat="1" applyFont="1" applyFill="1" applyBorder="1" applyProtection="1">
      <protection hidden="1"/>
    </xf>
    <xf numFmtId="9" fontId="29" fillId="5" borderId="1" xfId="5" applyNumberFormat="1" applyFont="1" applyFill="1" applyBorder="1" applyAlignment="1" applyProtection="1">
      <alignment horizontal="center"/>
      <protection hidden="1"/>
    </xf>
    <xf numFmtId="9" fontId="29" fillId="5" borderId="1" xfId="5" applyFont="1" applyFill="1" applyBorder="1" applyAlignment="1" applyProtection="1">
      <alignment horizontal="center"/>
      <protection hidden="1"/>
    </xf>
    <xf numFmtId="0" fontId="31" fillId="5" borderId="7" xfId="0" applyNumberFormat="1" applyFont="1" applyFill="1" applyBorder="1" applyProtection="1">
      <protection hidden="1"/>
    </xf>
    <xf numFmtId="38" fontId="29" fillId="5" borderId="1" xfId="4" applyNumberFormat="1" applyFont="1" applyFill="1" applyBorder="1" applyProtection="1">
      <protection locked="0"/>
    </xf>
    <xf numFmtId="38" fontId="32" fillId="5" borderId="1" xfId="4" applyNumberFormat="1" applyFont="1" applyFill="1" applyBorder="1" applyProtection="1">
      <protection hidden="1"/>
    </xf>
    <xf numFmtId="0" fontId="31" fillId="5" borderId="6" xfId="0" applyNumberFormat="1" applyFont="1" applyFill="1" applyBorder="1" applyAlignment="1" applyProtection="1">
      <alignment horizontal="right"/>
      <protection hidden="1"/>
    </xf>
    <xf numFmtId="0" fontId="29" fillId="5" borderId="8" xfId="4" applyNumberFormat="1" applyFont="1" applyFill="1" applyBorder="1" applyAlignment="1" applyProtection="1">
      <alignment horizontal="center"/>
      <protection hidden="1"/>
    </xf>
    <xf numFmtId="0" fontId="29" fillId="5" borderId="9" xfId="4" applyNumberFormat="1" applyFont="1" applyFill="1" applyBorder="1" applyAlignment="1" applyProtection="1">
      <alignment horizontal="center"/>
      <protection hidden="1"/>
    </xf>
    <xf numFmtId="9" fontId="29" fillId="5" borderId="9" xfId="5" applyNumberFormat="1" applyFont="1" applyFill="1" applyBorder="1" applyAlignment="1" applyProtection="1">
      <alignment horizontal="center"/>
      <protection hidden="1"/>
    </xf>
    <xf numFmtId="9" fontId="29" fillId="5" borderId="9" xfId="5" applyFont="1" applyFill="1" applyBorder="1" applyAlignment="1" applyProtection="1">
      <alignment horizontal="center"/>
      <protection hidden="1"/>
    </xf>
    <xf numFmtId="0" fontId="29" fillId="5" borderId="7" xfId="4" applyNumberFormat="1" applyFont="1" applyFill="1" applyBorder="1" applyAlignment="1" applyProtection="1">
      <alignment horizontal="right"/>
      <protection hidden="1"/>
    </xf>
    <xf numFmtId="0" fontId="29" fillId="5" borderId="11" xfId="4" applyNumberFormat="1" applyFont="1" applyFill="1" applyBorder="1" applyAlignment="1" applyProtection="1">
      <alignment horizontal="center"/>
      <protection hidden="1"/>
    </xf>
    <xf numFmtId="0" fontId="29" fillId="5" borderId="12" xfId="4" applyNumberFormat="1" applyFont="1" applyFill="1" applyBorder="1" applyProtection="1">
      <protection hidden="1"/>
    </xf>
    <xf numFmtId="0" fontId="31" fillId="5" borderId="7" xfId="4" applyNumberFormat="1" applyFont="1" applyFill="1" applyBorder="1" applyProtection="1">
      <protection hidden="1"/>
    </xf>
    <xf numFmtId="0" fontId="29" fillId="5" borderId="8" xfId="4" applyNumberFormat="1" applyFont="1" applyFill="1" applyBorder="1" applyAlignment="1" applyProtection="1">
      <alignment horizontal="centerContinuous"/>
      <protection hidden="1"/>
    </xf>
    <xf numFmtId="9" fontId="29" fillId="5" borderId="12" xfId="5" applyNumberFormat="1" applyFont="1" applyFill="1" applyBorder="1" applyAlignment="1" applyProtection="1">
      <alignment horizontal="center"/>
      <protection hidden="1"/>
    </xf>
    <xf numFmtId="9" fontId="29" fillId="5" borderId="12" xfId="5" applyFont="1" applyFill="1" applyBorder="1" applyAlignment="1" applyProtection="1">
      <alignment horizontal="center"/>
      <protection hidden="1"/>
    </xf>
    <xf numFmtId="0" fontId="33" fillId="5" borderId="7" xfId="4" applyNumberFormat="1" applyFont="1" applyFill="1" applyBorder="1" applyProtection="1">
      <protection hidden="1"/>
    </xf>
    <xf numFmtId="2" fontId="33" fillId="5" borderId="4" xfId="6" applyNumberFormat="1" applyFont="1" applyFill="1" applyBorder="1" applyAlignment="1" applyProtection="1">
      <alignment horizontal="center"/>
      <protection hidden="1"/>
    </xf>
    <xf numFmtId="0" fontId="30" fillId="5" borderId="1" xfId="4" quotePrefix="1" applyNumberFormat="1" applyFont="1" applyFill="1" applyBorder="1" applyAlignment="1">
      <alignment horizontal="center"/>
    </xf>
    <xf numFmtId="9" fontId="33" fillId="5" borderId="4" xfId="5" applyFont="1" applyFill="1" applyBorder="1" applyAlignment="1" applyProtection="1">
      <alignment horizontal="center"/>
      <protection hidden="1"/>
    </xf>
    <xf numFmtId="0" fontId="30" fillId="5" borderId="13" xfId="4" applyNumberFormat="1" applyFont="1" applyFill="1" applyBorder="1" applyAlignment="1">
      <alignment horizontal="center"/>
    </xf>
    <xf numFmtId="171" fontId="33" fillId="5" borderId="1" xfId="7" applyNumberFormat="1" applyFont="1" applyFill="1" applyBorder="1" applyAlignment="1" applyProtection="1">
      <alignment horizontal="center"/>
      <protection hidden="1"/>
    </xf>
    <xf numFmtId="0" fontId="30" fillId="5" borderId="14" xfId="4" applyNumberFormat="1" applyFont="1" applyFill="1" applyBorder="1" applyAlignment="1">
      <alignment horizontal="center"/>
    </xf>
    <xf numFmtId="0" fontId="33" fillId="5" borderId="4" xfId="4" applyNumberFormat="1" applyFont="1" applyFill="1" applyBorder="1" applyAlignment="1" applyProtection="1">
      <alignment horizontal="center"/>
      <protection hidden="1"/>
    </xf>
    <xf numFmtId="0" fontId="34" fillId="5" borderId="7" xfId="4" applyNumberFormat="1" applyFont="1" applyFill="1" applyBorder="1" applyProtection="1">
      <protection hidden="1"/>
    </xf>
    <xf numFmtId="172" fontId="30" fillId="5" borderId="0" xfId="4" applyNumberFormat="1" applyFont="1" applyFill="1" applyBorder="1" applyAlignment="1" applyProtection="1">
      <alignment horizontal="center"/>
      <protection hidden="1"/>
    </xf>
    <xf numFmtId="10" fontId="34" fillId="5" borderId="0" xfId="4" applyNumberFormat="1" applyFont="1" applyFill="1" applyBorder="1" applyAlignment="1" applyProtection="1">
      <alignment horizontal="center"/>
      <protection hidden="1"/>
    </xf>
    <xf numFmtId="10" fontId="35" fillId="5" borderId="0" xfId="4" applyNumberFormat="1" applyFont="1" applyFill="1" applyBorder="1" applyAlignment="1" applyProtection="1">
      <alignment horizontal="center"/>
      <protection hidden="1"/>
    </xf>
    <xf numFmtId="0" fontId="34" fillId="5" borderId="0" xfId="4" applyNumberFormat="1" applyFont="1" applyFill="1" applyBorder="1" applyProtection="1">
      <protection hidden="1"/>
    </xf>
    <xf numFmtId="0" fontId="34" fillId="5" borderId="0" xfId="4" applyNumberFormat="1" applyFont="1" applyFill="1" applyBorder="1" applyAlignment="1" applyProtection="1">
      <alignment horizontal="center"/>
      <protection hidden="1"/>
    </xf>
    <xf numFmtId="0" fontId="34" fillId="5" borderId="15" xfId="4" applyNumberFormat="1" applyFont="1" applyFill="1" applyBorder="1" applyAlignment="1" applyProtection="1">
      <alignment horizontal="center"/>
      <protection hidden="1"/>
    </xf>
    <xf numFmtId="0" fontId="33" fillId="5" borderId="7" xfId="4" applyNumberFormat="1" applyFont="1" applyFill="1" applyBorder="1" applyAlignment="1" applyProtection="1">
      <alignment horizontal="center"/>
      <protection hidden="1"/>
    </xf>
    <xf numFmtId="172" fontId="30" fillId="5" borderId="0" xfId="4" applyNumberFormat="1" applyFont="1" applyFill="1" applyBorder="1" applyAlignment="1">
      <alignment horizontal="center"/>
    </xf>
    <xf numFmtId="172" fontId="30" fillId="5" borderId="15" xfId="4" applyNumberFormat="1" applyFont="1" applyFill="1" applyBorder="1" applyAlignment="1">
      <alignment horizontal="center"/>
    </xf>
    <xf numFmtId="0" fontId="29" fillId="5" borderId="6" xfId="4" applyNumberFormat="1" applyFont="1" applyFill="1" applyBorder="1" applyProtection="1">
      <protection hidden="1"/>
    </xf>
    <xf numFmtId="0" fontId="29" fillId="5" borderId="10" xfId="4" applyNumberFormat="1" applyFont="1" applyFill="1" applyBorder="1" applyProtection="1">
      <protection hidden="1"/>
    </xf>
    <xf numFmtId="10" fontId="33" fillId="5" borderId="10" xfId="4" applyNumberFormat="1" applyFont="1" applyFill="1" applyBorder="1" applyAlignment="1" applyProtection="1">
      <alignment horizontal="center"/>
      <protection hidden="1"/>
    </xf>
    <xf numFmtId="0" fontId="33" fillId="5" borderId="10" xfId="4" applyNumberFormat="1" applyFont="1" applyFill="1" applyBorder="1" applyAlignment="1" applyProtection="1">
      <alignment horizontal="center"/>
      <protection hidden="1"/>
    </xf>
    <xf numFmtId="0" fontId="34" fillId="5" borderId="11" xfId="4" applyNumberFormat="1" applyFont="1" applyFill="1" applyBorder="1" applyAlignment="1" applyProtection="1">
      <alignment horizontal="center"/>
      <protection hidden="1"/>
    </xf>
    <xf numFmtId="168" fontId="36" fillId="3" borderId="1" xfId="4" applyFont="1" applyFill="1" applyBorder="1" applyAlignment="1">
      <alignment horizontal="center"/>
    </xf>
    <xf numFmtId="168" fontId="29" fillId="3" borderId="0" xfId="4" applyFont="1" applyFill="1"/>
    <xf numFmtId="168" fontId="29" fillId="6" borderId="1" xfId="4" applyFont="1" applyFill="1" applyBorder="1" applyAlignment="1">
      <alignment horizontal="center"/>
    </xf>
    <xf numFmtId="0" fontId="29" fillId="6" borderId="1" xfId="4" applyNumberFormat="1" applyFont="1" applyFill="1" applyBorder="1" applyAlignment="1">
      <alignment horizontal="center"/>
    </xf>
    <xf numFmtId="14" fontId="29" fillId="6" borderId="1" xfId="4" applyNumberFormat="1" applyFont="1" applyFill="1" applyBorder="1" applyAlignment="1">
      <alignment horizontal="center"/>
    </xf>
    <xf numFmtId="9" fontId="29" fillId="6" borderId="1" xfId="5" applyNumberFormat="1" applyFont="1" applyFill="1" applyBorder="1" applyAlignment="1">
      <alignment horizontal="center"/>
    </xf>
    <xf numFmtId="168" fontId="29" fillId="7" borderId="1" xfId="4" applyFont="1" applyFill="1" applyBorder="1" applyAlignment="1">
      <alignment horizontal="center"/>
    </xf>
    <xf numFmtId="0" fontId="29" fillId="7" borderId="1" xfId="4" applyNumberFormat="1" applyFont="1" applyFill="1" applyBorder="1" applyAlignment="1">
      <alignment horizontal="center"/>
    </xf>
    <xf numFmtId="14" fontId="29" fillId="7" borderId="1" xfId="4" applyNumberFormat="1" applyFont="1" applyFill="1" applyBorder="1" applyAlignment="1">
      <alignment horizontal="center"/>
    </xf>
    <xf numFmtId="9" fontId="29" fillId="7" borderId="1" xfId="5" applyNumberFormat="1" applyFont="1" applyFill="1" applyBorder="1" applyAlignment="1">
      <alignment horizontal="center"/>
    </xf>
    <xf numFmtId="168" fontId="37" fillId="5" borderId="0" xfId="4" applyFont="1" applyFill="1" applyAlignment="1">
      <alignment horizontal="left"/>
    </xf>
    <xf numFmtId="168" fontId="29" fillId="8" borderId="1" xfId="4" applyFont="1" applyFill="1" applyBorder="1" applyAlignment="1">
      <alignment horizontal="center"/>
    </xf>
    <xf numFmtId="0" fontId="29" fillId="8" borderId="1" xfId="4" applyNumberFormat="1" applyFont="1" applyFill="1" applyBorder="1" applyAlignment="1">
      <alignment horizontal="center"/>
    </xf>
    <xf numFmtId="14" fontId="29" fillId="8" borderId="1" xfId="4" applyNumberFormat="1" applyFont="1" applyFill="1" applyBorder="1" applyAlignment="1">
      <alignment horizontal="center"/>
    </xf>
    <xf numFmtId="9" fontId="29" fillId="8" borderId="1" xfId="5" applyNumberFormat="1" applyFont="1" applyFill="1" applyBorder="1" applyAlignment="1">
      <alignment horizontal="center"/>
    </xf>
    <xf numFmtId="49" fontId="29" fillId="8" borderId="1" xfId="4" applyNumberFormat="1" applyFont="1" applyFill="1" applyBorder="1" applyAlignment="1">
      <alignment horizontal="center"/>
    </xf>
    <xf numFmtId="168" fontId="29" fillId="9" borderId="1" xfId="4" applyFont="1" applyFill="1" applyBorder="1" applyAlignment="1">
      <alignment horizontal="center"/>
    </xf>
    <xf numFmtId="0" fontId="29" fillId="9" borderId="1" xfId="4" applyNumberFormat="1" applyFont="1" applyFill="1" applyBorder="1" applyAlignment="1">
      <alignment horizontal="center"/>
    </xf>
    <xf numFmtId="14" fontId="29" fillId="9" borderId="1" xfId="4" applyNumberFormat="1" applyFont="1" applyFill="1" applyBorder="1" applyAlignment="1">
      <alignment horizontal="center"/>
    </xf>
    <xf numFmtId="9" fontId="29" fillId="9" borderId="1" xfId="5" applyNumberFormat="1" applyFont="1" applyFill="1" applyBorder="1" applyAlignment="1">
      <alignment horizontal="center"/>
    </xf>
    <xf numFmtId="9" fontId="30" fillId="5" borderId="1" xfId="5" applyNumberFormat="1" applyFont="1" applyFill="1" applyBorder="1" applyAlignment="1" applyProtection="1">
      <alignment horizontal="center"/>
      <protection hidden="1"/>
    </xf>
    <xf numFmtId="173" fontId="40" fillId="4" borderId="12" xfId="8" applyNumberFormat="1" applyFont="1" applyBorder="1" applyAlignment="1">
      <alignment horizontal="center"/>
    </xf>
    <xf numFmtId="173" fontId="41" fillId="5" borderId="3" xfId="9" applyNumberFormat="1" applyFont="1" applyFill="1" applyBorder="1" applyAlignment="1">
      <alignment horizontal="center"/>
    </xf>
    <xf numFmtId="164" fontId="8" fillId="2" borderId="17" xfId="0" applyNumberFormat="1" applyFont="1" applyFill="1" applyBorder="1" applyProtection="1">
      <protection locked="0"/>
    </xf>
    <xf numFmtId="164" fontId="8" fillId="2" borderId="18" xfId="0" applyNumberFormat="1" applyFont="1" applyFill="1" applyBorder="1" applyProtection="1">
      <protection locked="0"/>
    </xf>
    <xf numFmtId="164" fontId="8" fillId="2" borderId="19" xfId="0" applyNumberFormat="1" applyFont="1" applyFill="1" applyBorder="1" applyProtection="1">
      <protection locked="0"/>
    </xf>
    <xf numFmtId="164" fontId="8" fillId="2" borderId="20" xfId="0" applyNumberFormat="1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164" fontId="8" fillId="2" borderId="21" xfId="0" applyNumberFormat="1" applyFont="1" applyFill="1" applyBorder="1" applyProtection="1">
      <protection locked="0"/>
    </xf>
    <xf numFmtId="164" fontId="8" fillId="2" borderId="22" xfId="0" applyNumberFormat="1" applyFont="1" applyFill="1" applyBorder="1" applyProtection="1">
      <protection locked="0"/>
    </xf>
    <xf numFmtId="164" fontId="8" fillId="2" borderId="23" xfId="0" applyNumberFormat="1" applyFont="1" applyFill="1" applyBorder="1" applyProtection="1">
      <protection locked="0"/>
    </xf>
    <xf numFmtId="164" fontId="8" fillId="2" borderId="24" xfId="0" applyNumberFormat="1" applyFont="1" applyFill="1" applyBorder="1" applyProtection="1">
      <protection locked="0"/>
    </xf>
    <xf numFmtId="173" fontId="41" fillId="5" borderId="1" xfId="9" applyNumberFormat="1" applyFont="1" applyFill="1" applyBorder="1" applyAlignment="1">
      <alignment horizontal="center"/>
    </xf>
    <xf numFmtId="0" fontId="42" fillId="5" borderId="4" xfId="10" applyFont="1" applyFill="1" applyBorder="1" applyAlignment="1">
      <alignment horizontal="center"/>
    </xf>
    <xf numFmtId="0" fontId="43" fillId="0" borderId="0" xfId="0" applyFont="1"/>
    <xf numFmtId="164" fontId="44" fillId="0" borderId="0" xfId="0" applyNumberFormat="1" applyFont="1"/>
    <xf numFmtId="0" fontId="43" fillId="0" borderId="0" xfId="0" applyFont="1" applyAlignment="1">
      <alignment horizontal="right"/>
    </xf>
    <xf numFmtId="43" fontId="31" fillId="5" borderId="8" xfId="3" applyFont="1" applyFill="1" applyBorder="1"/>
    <xf numFmtId="0" fontId="44" fillId="0" borderId="0" xfId="0" applyFont="1"/>
    <xf numFmtId="43" fontId="31" fillId="5" borderId="4" xfId="3" applyFont="1" applyFill="1" applyBorder="1"/>
    <xf numFmtId="43" fontId="31" fillId="5" borderId="1" xfId="3" applyFont="1" applyFill="1" applyBorder="1"/>
    <xf numFmtId="166" fontId="31" fillId="5" borderId="8" xfId="3" applyNumberFormat="1" applyFont="1" applyFill="1" applyBorder="1"/>
    <xf numFmtId="166" fontId="31" fillId="5" borderId="3" xfId="3" applyNumberFormat="1" applyFont="1" applyFill="1" applyBorder="1"/>
    <xf numFmtId="43" fontId="31" fillId="5" borderId="3" xfId="3" applyFont="1" applyFill="1" applyBorder="1"/>
    <xf numFmtId="10" fontId="31" fillId="5" borderId="8" xfId="2" applyNumberFormat="1" applyFont="1" applyFill="1" applyBorder="1"/>
    <xf numFmtId="10" fontId="31" fillId="5" borderId="3" xfId="2" applyNumberFormat="1" applyFont="1" applyFill="1" applyBorder="1"/>
    <xf numFmtId="166" fontId="31" fillId="5" borderId="4" xfId="3" applyNumberFormat="1" applyFont="1" applyFill="1" applyBorder="1"/>
    <xf numFmtId="166" fontId="31" fillId="5" borderId="1" xfId="3" applyNumberFormat="1" applyFont="1" applyFill="1" applyBorder="1"/>
    <xf numFmtId="173" fontId="36" fillId="4" borderId="12" xfId="8" applyNumberFormat="1" applyFont="1" applyBorder="1" applyAlignment="1">
      <alignment horizontal="center"/>
    </xf>
    <xf numFmtId="0" fontId="42" fillId="5" borderId="1" xfId="10" applyFont="1" applyFill="1" applyBorder="1" applyAlignment="1">
      <alignment horizontal="center"/>
    </xf>
    <xf numFmtId="166" fontId="31" fillId="11" borderId="8" xfId="3" applyNumberFormat="1" applyFont="1" applyFill="1" applyBorder="1"/>
    <xf numFmtId="166" fontId="31" fillId="11" borderId="3" xfId="3" applyNumberFormat="1" applyFont="1" applyFill="1" applyBorder="1"/>
    <xf numFmtId="166" fontId="31" fillId="11" borderId="4" xfId="3" applyNumberFormat="1" applyFont="1" applyFill="1" applyBorder="1"/>
    <xf numFmtId="166" fontId="31" fillId="11" borderId="1" xfId="3" applyNumberFormat="1" applyFont="1" applyFill="1" applyBorder="1"/>
    <xf numFmtId="0" fontId="45" fillId="12" borderId="0" xfId="0" applyFont="1" applyFill="1" applyBorder="1" applyAlignment="1" applyProtection="1">
      <alignment horizontal="center"/>
      <protection hidden="1"/>
    </xf>
    <xf numFmtId="173" fontId="41" fillId="5" borderId="1" xfId="9" applyNumberFormat="1" applyFont="1" applyFill="1" applyBorder="1" applyAlignment="1">
      <alignment horizontal="left"/>
    </xf>
    <xf numFmtId="6" fontId="46" fillId="10" borderId="1" xfId="9" applyNumberFormat="1" applyFont="1" applyFill="1" applyBorder="1" applyAlignment="1">
      <alignment horizontal="left"/>
    </xf>
    <xf numFmtId="3" fontId="8" fillId="2" borderId="17" xfId="0" applyNumberFormat="1" applyFont="1" applyFill="1" applyBorder="1" applyProtection="1">
      <protection locked="0"/>
    </xf>
    <xf numFmtId="3" fontId="8" fillId="2" borderId="20" xfId="0" applyNumberFormat="1" applyFont="1" applyFill="1" applyBorder="1" applyProtection="1">
      <protection locked="0"/>
    </xf>
    <xf numFmtId="3" fontId="8" fillId="2" borderId="22" xfId="0" applyNumberFormat="1" applyFont="1" applyFill="1" applyBorder="1" applyProtection="1">
      <protection locked="0"/>
    </xf>
    <xf numFmtId="42" fontId="8" fillId="2" borderId="17" xfId="0" applyNumberFormat="1" applyFont="1" applyFill="1" applyBorder="1" applyProtection="1">
      <protection locked="0"/>
    </xf>
    <xf numFmtId="42" fontId="8" fillId="2" borderId="18" xfId="0" applyNumberFormat="1" applyFont="1" applyFill="1" applyBorder="1" applyProtection="1">
      <protection locked="0"/>
    </xf>
    <xf numFmtId="42" fontId="8" fillId="2" borderId="19" xfId="0" applyNumberFormat="1" applyFont="1" applyFill="1" applyBorder="1" applyProtection="1">
      <protection locked="0"/>
    </xf>
    <xf numFmtId="42" fontId="8" fillId="2" borderId="20" xfId="0" applyNumberFormat="1" applyFont="1" applyFill="1" applyBorder="1" applyProtection="1">
      <protection locked="0"/>
    </xf>
    <xf numFmtId="42" fontId="8" fillId="2" borderId="1" xfId="0" applyNumberFormat="1" applyFont="1" applyFill="1" applyBorder="1" applyProtection="1">
      <protection locked="0"/>
    </xf>
    <xf numFmtId="42" fontId="8" fillId="2" borderId="21" xfId="0" applyNumberFormat="1" applyFont="1" applyFill="1" applyBorder="1" applyProtection="1">
      <protection locked="0"/>
    </xf>
    <xf numFmtId="42" fontId="8" fillId="2" borderId="22" xfId="0" applyNumberFormat="1" applyFont="1" applyFill="1" applyBorder="1" applyProtection="1">
      <protection locked="0"/>
    </xf>
    <xf numFmtId="42" fontId="8" fillId="2" borderId="23" xfId="0" applyNumberFormat="1" applyFont="1" applyFill="1" applyBorder="1" applyProtection="1">
      <protection locked="0"/>
    </xf>
    <xf numFmtId="42" fontId="8" fillId="2" borderId="24" xfId="0" applyNumberFormat="1" applyFont="1" applyFill="1" applyBorder="1" applyProtection="1">
      <protection locked="0"/>
    </xf>
    <xf numFmtId="9" fontId="8" fillId="11" borderId="21" xfId="2" applyFont="1" applyFill="1" applyBorder="1" applyAlignment="1" applyProtection="1">
      <alignment horizontal="center"/>
      <protection locked="0"/>
    </xf>
    <xf numFmtId="6" fontId="46" fillId="13" borderId="1" xfId="9" applyNumberFormat="1" applyFont="1" applyFill="1" applyBorder="1" applyAlignment="1">
      <alignment horizontal="left"/>
    </xf>
    <xf numFmtId="9" fontId="8" fillId="11" borderId="17" xfId="2" applyFont="1" applyFill="1" applyBorder="1" applyProtection="1">
      <protection locked="0"/>
    </xf>
    <xf numFmtId="9" fontId="8" fillId="11" borderId="18" xfId="2" applyFont="1" applyFill="1" applyBorder="1" applyProtection="1">
      <protection locked="0"/>
    </xf>
    <xf numFmtId="9" fontId="8" fillId="11" borderId="19" xfId="2" applyFont="1" applyFill="1" applyBorder="1" applyProtection="1">
      <protection locked="0"/>
    </xf>
    <xf numFmtId="166" fontId="8" fillId="11" borderId="20" xfId="3" applyNumberFormat="1" applyFont="1" applyFill="1" applyBorder="1" applyProtection="1">
      <protection locked="0"/>
    </xf>
    <xf numFmtId="166" fontId="8" fillId="11" borderId="1" xfId="3" applyNumberFormat="1" applyFont="1" applyFill="1" applyBorder="1" applyProtection="1">
      <protection locked="0"/>
    </xf>
    <xf numFmtId="166" fontId="8" fillId="11" borderId="21" xfId="3" applyNumberFormat="1" applyFont="1" applyFill="1" applyBorder="1" applyProtection="1">
      <protection locked="0"/>
    </xf>
    <xf numFmtId="164" fontId="8" fillId="11" borderId="22" xfId="2" applyNumberFormat="1" applyFont="1" applyFill="1" applyBorder="1" applyProtection="1">
      <protection locked="0"/>
    </xf>
    <xf numFmtId="164" fontId="8" fillId="11" borderId="23" xfId="2" applyNumberFormat="1" applyFont="1" applyFill="1" applyBorder="1" applyProtection="1">
      <protection locked="0"/>
    </xf>
    <xf numFmtId="164" fontId="8" fillId="11" borderId="24" xfId="2" applyNumberFormat="1" applyFont="1" applyFill="1" applyBorder="1" applyProtection="1">
      <protection locked="0"/>
    </xf>
    <xf numFmtId="9" fontId="8" fillId="11" borderId="22" xfId="2" applyFont="1" applyFill="1" applyBorder="1" applyProtection="1">
      <protection locked="0"/>
    </xf>
    <xf numFmtId="9" fontId="8" fillId="11" borderId="23" xfId="2" applyFont="1" applyFill="1" applyBorder="1" applyProtection="1">
      <protection locked="0"/>
    </xf>
    <xf numFmtId="9" fontId="8" fillId="11" borderId="24" xfId="2" applyFont="1" applyFill="1" applyBorder="1" applyProtection="1">
      <protection locked="0"/>
    </xf>
    <xf numFmtId="5" fontId="8" fillId="11" borderId="17" xfId="3" applyNumberFormat="1" applyFont="1" applyFill="1" applyBorder="1" applyProtection="1">
      <protection locked="0"/>
    </xf>
    <xf numFmtId="5" fontId="8" fillId="11" borderId="18" xfId="3" applyNumberFormat="1" applyFont="1" applyFill="1" applyBorder="1" applyProtection="1">
      <protection locked="0"/>
    </xf>
    <xf numFmtId="5" fontId="8" fillId="11" borderId="19" xfId="3" applyNumberFormat="1" applyFont="1" applyFill="1" applyBorder="1" applyProtection="1">
      <protection locked="0"/>
    </xf>
    <xf numFmtId="5" fontId="8" fillId="11" borderId="20" xfId="3" applyNumberFormat="1" applyFont="1" applyFill="1" applyBorder="1" applyProtection="1">
      <protection locked="0"/>
    </xf>
    <xf numFmtId="5" fontId="8" fillId="11" borderId="1" xfId="3" applyNumberFormat="1" applyFont="1" applyFill="1" applyBorder="1" applyProtection="1">
      <protection locked="0"/>
    </xf>
    <xf numFmtId="5" fontId="8" fillId="11" borderId="21" xfId="3" applyNumberFormat="1" applyFont="1" applyFill="1" applyBorder="1" applyProtection="1">
      <protection locked="0"/>
    </xf>
    <xf numFmtId="5" fontId="8" fillId="11" borderId="22" xfId="3" applyNumberFormat="1" applyFont="1" applyFill="1" applyBorder="1" applyProtection="1">
      <protection locked="0"/>
    </xf>
    <xf numFmtId="5" fontId="8" fillId="11" borderId="23" xfId="3" applyNumberFormat="1" applyFont="1" applyFill="1" applyBorder="1" applyProtection="1">
      <protection locked="0"/>
    </xf>
    <xf numFmtId="5" fontId="8" fillId="11" borderId="24" xfId="3" applyNumberFormat="1" applyFont="1" applyFill="1" applyBorder="1" applyProtection="1">
      <protection locked="0"/>
    </xf>
    <xf numFmtId="9" fontId="8" fillId="11" borderId="25" xfId="2" applyFont="1" applyFill="1" applyBorder="1" applyAlignment="1" applyProtection="1">
      <alignment horizontal="center"/>
      <protection locked="0"/>
    </xf>
    <xf numFmtId="9" fontId="8" fillId="11" borderId="26" xfId="2" applyFont="1" applyFill="1" applyBorder="1" applyAlignment="1" applyProtection="1">
      <alignment horizontal="center"/>
      <protection locked="0"/>
    </xf>
    <xf numFmtId="9" fontId="8" fillId="11" borderId="16" xfId="2" applyFont="1" applyFill="1" applyBorder="1" applyAlignment="1" applyProtection="1">
      <alignment horizontal="center"/>
      <protection locked="0"/>
    </xf>
    <xf numFmtId="173" fontId="36" fillId="4" borderId="12" xfId="8" applyNumberFormat="1" applyFont="1" applyBorder="1" applyAlignment="1">
      <alignment horizontal="left"/>
    </xf>
    <xf numFmtId="173" fontId="41" fillId="5" borderId="1" xfId="9" quotePrefix="1" applyNumberFormat="1" applyFont="1" applyFill="1" applyBorder="1" applyAlignment="1">
      <alignment horizontal="left"/>
    </xf>
    <xf numFmtId="166" fontId="31" fillId="5" borderId="6" xfId="3" applyNumberFormat="1" applyFont="1" applyFill="1" applyBorder="1"/>
    <xf numFmtId="164" fontId="2" fillId="0" borderId="27" xfId="0" applyNumberFormat="1" applyFont="1" applyFill="1" applyBorder="1"/>
    <xf numFmtId="164" fontId="2" fillId="0" borderId="28" xfId="0" applyNumberFormat="1" applyFont="1" applyFill="1" applyBorder="1"/>
    <xf numFmtId="164" fontId="2" fillId="0" borderId="29" xfId="0" applyNumberFormat="1" applyFont="1" applyFill="1" applyBorder="1"/>
    <xf numFmtId="173" fontId="47" fillId="5" borderId="1" xfId="9" quotePrefix="1" applyNumberFormat="1" applyFont="1" applyFill="1" applyBorder="1" applyAlignment="1">
      <alignment horizontal="left"/>
    </xf>
    <xf numFmtId="173" fontId="47" fillId="5" borderId="1" xfId="9" quotePrefix="1" applyNumberFormat="1" applyFont="1" applyFill="1" applyBorder="1" applyAlignment="1">
      <alignment horizontal="left" wrapText="1"/>
    </xf>
    <xf numFmtId="173" fontId="36" fillId="4" borderId="12" xfId="8" applyNumberFormat="1" applyFont="1" applyBorder="1" applyAlignment="1">
      <alignment horizontal="left" wrapText="1"/>
    </xf>
    <xf numFmtId="0" fontId="0" fillId="2" borderId="1" xfId="0" applyFill="1" applyBorder="1"/>
    <xf numFmtId="0" fontId="48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173" fontId="36" fillId="4" borderId="0" xfId="8" applyNumberFormat="1" applyFont="1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wrapText="1"/>
    </xf>
    <xf numFmtId="168" fontId="29" fillId="0" borderId="1" xfId="4" applyFont="1" applyBorder="1" applyAlignment="1">
      <alignment horizontal="left" vertical="center" wrapText="1"/>
    </xf>
    <xf numFmtId="168" fontId="30" fillId="0" borderId="1" xfId="4" applyFont="1" applyBorder="1" applyAlignment="1">
      <alignment horizontal="center" vertical="center" wrapText="1"/>
    </xf>
    <xf numFmtId="0" fontId="42" fillId="5" borderId="4" xfId="1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38" fontId="29" fillId="5" borderId="4" xfId="4" applyNumberFormat="1" applyFont="1" applyFill="1" applyBorder="1" applyAlignment="1" applyProtection="1">
      <alignment horizontal="center"/>
      <protection locked="0"/>
    </xf>
    <xf numFmtId="38" fontId="29" fillId="5" borderId="5" xfId="4" applyNumberFormat="1" applyFont="1" applyFill="1" applyBorder="1" applyAlignment="1" applyProtection="1">
      <alignment horizontal="center"/>
      <protection locked="0"/>
    </xf>
    <xf numFmtId="173" fontId="40" fillId="4" borderId="12" xfId="8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0" fillId="5" borderId="0" xfId="4" applyNumberFormat="1" applyFont="1" applyFill="1" applyAlignment="1" applyProtection="1">
      <alignment horizontal="center" vertical="center" wrapText="1"/>
      <protection hidden="1"/>
    </xf>
    <xf numFmtId="173" fontId="36" fillId="4" borderId="30" xfId="8" applyNumberFormat="1" applyFont="1" applyBorder="1" applyAlignment="1">
      <alignment horizontal="center"/>
    </xf>
    <xf numFmtId="0" fontId="0" fillId="0" borderId="30" xfId="0" applyBorder="1" applyAlignment="1">
      <alignment horizontal="center"/>
    </xf>
  </cellXfs>
  <cellStyles count="11">
    <cellStyle name="Colore 5 2" xfId="8"/>
    <cellStyle name="Comma" xfId="3" builtinId="3"/>
    <cellStyle name="Hyperlink" xfId="1" builtinId="8"/>
    <cellStyle name="Migliaia [0] 2" xfId="6"/>
    <cellStyle name="Migliaia 2" xfId="7"/>
    <cellStyle name="Migliaia 3" xfId="9"/>
    <cellStyle name="Normal" xfId="0" builtinId="0"/>
    <cellStyle name="Normale 3" xfId="10"/>
    <cellStyle name="Normale 4" xfId="4"/>
    <cellStyle name="Percent" xfId="2" builtinId="5"/>
    <cellStyle name="Percentuale 2" xfId="5"/>
  </cellStyles>
  <dxfs count="129"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anluca.imperiale/Documents/Gianluca/Progetto%20Blog/rendiconto%20Finanziario/IstanzaXBRL_win7/istanzaXBR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s"/>
      <sheetName val="Indice"/>
      <sheetName val="Impostazioni"/>
      <sheetName val="Estensione"/>
      <sheetName val="Anagrafica"/>
      <sheetName val="Info"/>
      <sheetName val="Info_istanza"/>
      <sheetName val="DatiNormalizzati"/>
      <sheetName val="DatiGestionale"/>
      <sheetName val="ValoriRimappati"/>
      <sheetName val="SP"/>
      <sheetName val="SP_istanza"/>
      <sheetName val="SPAbb"/>
      <sheetName val="SPAbb_istanza"/>
      <sheetName val="SPAbbSemp"/>
      <sheetName val="SPAbbSemp_istanza"/>
      <sheetName val="SPCons"/>
      <sheetName val="SPCons_istanza"/>
      <sheetName val="CO"/>
      <sheetName val="CO_istanza"/>
      <sheetName val="CE"/>
      <sheetName val="CE_istanza"/>
      <sheetName val="CEAbb"/>
      <sheetName val="CEAbb_istanza"/>
      <sheetName val="CECons"/>
      <sheetName val="CECons_istanza"/>
      <sheetName val="BAK"/>
      <sheetName val="BAK_istanza"/>
      <sheetName val="Ext_SPAbb"/>
      <sheetName val="Configurazione"/>
      <sheetName val="Import"/>
      <sheetName val="InstanceTemplate"/>
      <sheetName val="Stylesheet"/>
    </sheetNames>
    <sheetDataSet>
      <sheetData sheetId="0" refreshError="1"/>
      <sheetData sheetId="1" refreshError="1"/>
      <sheetData sheetId="2">
        <row r="20">
          <cell r="A20" t="str">
            <v>Ce</v>
          </cell>
          <cell r="B20" t="str">
            <v>Conto economico a valore e costo della produzione (schema civilistico)</v>
          </cell>
          <cell r="C20" t="str">
            <v>CEValProduzioneCodCivile</v>
          </cell>
          <cell r="D20" t="str">
            <v>Income statement (value and cost of production)</v>
          </cell>
          <cell r="E20" t="b">
            <v>1</v>
          </cell>
          <cell r="F20" t="b">
            <v>1</v>
          </cell>
          <cell r="G20" t="b">
            <v>0</v>
          </cell>
          <cell r="H20" t="b">
            <v>0</v>
          </cell>
          <cell r="I20" t="str">
            <v>ese</v>
          </cell>
          <cell r="J20" t="str">
            <v>itcc-ci-ese-2011-01-04</v>
          </cell>
        </row>
        <row r="21">
          <cell r="A21" t="str">
            <v>Co</v>
          </cell>
          <cell r="B21" t="str">
            <v>Conti d'ordine</v>
          </cell>
          <cell r="C21" t="str">
            <v>ContiOrdine</v>
          </cell>
          <cell r="D21" t="str">
            <v>Memo Accounts</v>
          </cell>
          <cell r="E21" t="b">
            <v>1</v>
          </cell>
          <cell r="F21" t="b">
            <v>1</v>
          </cell>
          <cell r="G21" t="b">
            <v>0</v>
          </cell>
          <cell r="H21" t="b">
            <v>0</v>
          </cell>
          <cell r="I21" t="str">
            <v>ese</v>
          </cell>
          <cell r="J21" t="str">
            <v>itcc-ci-ese-2011-01-04</v>
          </cell>
        </row>
        <row r="22">
          <cell r="E22" t="b">
            <v>1</v>
          </cell>
          <cell r="F22" t="b">
            <v>1</v>
          </cell>
          <cell r="G22" t="b">
            <v>0</v>
          </cell>
          <cell r="H22" t="b">
            <v>0</v>
          </cell>
          <cell r="I22" t="str">
            <v>cons</v>
          </cell>
          <cell r="J22" t="str">
            <v>itcc-ci-cons-2011-01-04</v>
          </cell>
        </row>
        <row r="23">
          <cell r="E23" t="b">
            <v>1</v>
          </cell>
          <cell r="F23" t="b">
            <v>1</v>
          </cell>
          <cell r="G23" t="b">
            <v>0</v>
          </cell>
          <cell r="H23" t="b">
            <v>0</v>
          </cell>
          <cell r="I23" t="str">
            <v>abb</v>
          </cell>
          <cell r="J23" t="str">
            <v>itcc-ci-abb-2011-01-04</v>
          </cell>
        </row>
        <row r="24">
          <cell r="E24" t="b">
            <v>1</v>
          </cell>
          <cell r="F24" t="b">
            <v>1</v>
          </cell>
          <cell r="G24" t="b">
            <v>0</v>
          </cell>
          <cell r="H24" t="b">
            <v>0</v>
          </cell>
          <cell r="I24" t="str">
            <v>abbsemp</v>
          </cell>
          <cell r="J24" t="str">
            <v>itcc-ci-abbsemp-2011-01-04</v>
          </cell>
        </row>
        <row r="25">
          <cell r="A25" t="str">
            <v>Info</v>
          </cell>
          <cell r="B25" t="str">
            <v>Informazioni generali sull'azienda</v>
          </cell>
          <cell r="C25" t="str">
            <v>InfoGenerali</v>
          </cell>
          <cell r="D25" t="str">
            <v>General information about the firm</v>
          </cell>
          <cell r="E25" t="b">
            <v>1</v>
          </cell>
          <cell r="F25" t="b">
            <v>0</v>
          </cell>
          <cell r="G25" t="b">
            <v>0</v>
          </cell>
          <cell r="H25" t="b">
            <v>0</v>
          </cell>
          <cell r="I25" t="str">
            <v>ese</v>
          </cell>
          <cell r="J25" t="str">
            <v>itcc-ci-ese-2011-01-04</v>
          </cell>
        </row>
        <row r="26">
          <cell r="E26" t="b">
            <v>1</v>
          </cell>
          <cell r="F26" t="b">
            <v>0</v>
          </cell>
          <cell r="G26" t="b">
            <v>0</v>
          </cell>
          <cell r="H26" t="b">
            <v>0</v>
          </cell>
          <cell r="I26" t="str">
            <v>cons</v>
          </cell>
          <cell r="J26" t="str">
            <v>itcc-ci-cons-2011-01-04</v>
          </cell>
        </row>
        <row r="27">
          <cell r="E27" t="b">
            <v>1</v>
          </cell>
          <cell r="F27" t="b">
            <v>0</v>
          </cell>
          <cell r="G27" t="b">
            <v>0</v>
          </cell>
          <cell r="H27" t="b">
            <v>0</v>
          </cell>
          <cell r="I27" t="str">
            <v>abb</v>
          </cell>
          <cell r="J27" t="str">
            <v>itcc-ci-abb-2011-01-04</v>
          </cell>
        </row>
        <row r="28">
          <cell r="E28" t="b">
            <v>1</v>
          </cell>
          <cell r="F28" t="b">
            <v>0</v>
          </cell>
          <cell r="G28" t="b">
            <v>0</v>
          </cell>
          <cell r="H28" t="b">
            <v>0</v>
          </cell>
          <cell r="I28" t="str">
            <v>abbsemp</v>
          </cell>
          <cell r="J28" t="str">
            <v>itcc-ci-abbsemp-2011-01-04</v>
          </cell>
        </row>
        <row r="29">
          <cell r="A29" t="str">
            <v>Sp</v>
          </cell>
          <cell r="B29" t="str">
            <v>Stato patrimoniale (schema civilistico)</v>
          </cell>
          <cell r="C29" t="str">
            <v>SpCodCivile</v>
          </cell>
          <cell r="D29" t="str">
            <v>Balance sheet (mandatory scheme)</v>
          </cell>
          <cell r="E29" t="b">
            <v>1</v>
          </cell>
          <cell r="F29" t="b">
            <v>1</v>
          </cell>
          <cell r="G29" t="b">
            <v>0</v>
          </cell>
          <cell r="H29" t="b">
            <v>0</v>
          </cell>
          <cell r="I29" t="str">
            <v>ese</v>
          </cell>
          <cell r="J29" t="str">
            <v>itcc-ci-ese-2011-01-04</v>
          </cell>
        </row>
        <row r="30">
          <cell r="A30" t="str">
            <v>CeAbb</v>
          </cell>
          <cell r="B30" t="str">
            <v>Conto Economico in forma abbreviata</v>
          </cell>
          <cell r="C30" t="str">
            <v>CEAbbreviata</v>
          </cell>
          <cell r="D30" t="str">
            <v>Income statement (short form)</v>
          </cell>
          <cell r="E30" t="b">
            <v>1</v>
          </cell>
          <cell r="F30" t="b">
            <v>1</v>
          </cell>
          <cell r="G30" t="b">
            <v>0</v>
          </cell>
          <cell r="H30" t="b">
            <v>0</v>
          </cell>
          <cell r="I30" t="str">
            <v>abb</v>
          </cell>
          <cell r="J30" t="str">
            <v>itcc-ci-abb-2011-01-04</v>
          </cell>
        </row>
        <row r="31">
          <cell r="E31" t="b">
            <v>1</v>
          </cell>
          <cell r="F31" t="b">
            <v>1</v>
          </cell>
          <cell r="G31" t="b">
            <v>0</v>
          </cell>
          <cell r="H31" t="b">
            <v>0</v>
          </cell>
          <cell r="I31" t="str">
            <v>abbsemp</v>
          </cell>
          <cell r="J31" t="str">
            <v>itcc-ci-abbsemp-2011-01-04</v>
          </cell>
        </row>
        <row r="32">
          <cell r="A32" t="str">
            <v>SpAbb</v>
          </cell>
          <cell r="B32" t="str">
            <v>Stato patrimoniale in forma abbreviata</v>
          </cell>
          <cell r="C32" t="str">
            <v>SPAbbreviata</v>
          </cell>
          <cell r="D32" t="str">
            <v>Balance sheet (short form)</v>
          </cell>
          <cell r="E32" t="b">
            <v>1</v>
          </cell>
          <cell r="F32" t="b">
            <v>1</v>
          </cell>
          <cell r="G32" t="b">
            <v>0</v>
          </cell>
          <cell r="H32" t="b">
            <v>0</v>
          </cell>
          <cell r="I32" t="str">
            <v>abb</v>
          </cell>
          <cell r="J32" t="str">
            <v>itcc-ci-abb-2011-01-04</v>
          </cell>
        </row>
        <row r="33">
          <cell r="A33" t="str">
            <v>SpAbbSemp</v>
          </cell>
          <cell r="B33" t="str">
            <v>Stato patrimoniale in forma abbr. Semplificata</v>
          </cell>
          <cell r="C33" t="str">
            <v>SPAbbreviataSemplificata</v>
          </cell>
          <cell r="D33" t="str">
            <v>Balance sheet (simplified form)</v>
          </cell>
          <cell r="E33" t="b">
            <v>1</v>
          </cell>
          <cell r="F33" t="b">
            <v>1</v>
          </cell>
          <cell r="G33" t="b">
            <v>0</v>
          </cell>
          <cell r="H33" t="b">
            <v>0</v>
          </cell>
          <cell r="I33" t="str">
            <v>abbsemp</v>
          </cell>
          <cell r="J33" t="str">
            <v>itcc-ci-abbsemp-2011-01-04</v>
          </cell>
        </row>
        <row r="34">
          <cell r="A34" t="str">
            <v>CECons</v>
          </cell>
          <cell r="B34" t="str">
            <v>Conto economico consolidato</v>
          </cell>
          <cell r="C34" t="str">
            <v>CEConsolidato</v>
          </cell>
          <cell r="D34" t="str">
            <v>Income statement (consolidated form)</v>
          </cell>
          <cell r="E34" t="b">
            <v>1</v>
          </cell>
          <cell r="F34" t="b">
            <v>1</v>
          </cell>
          <cell r="G34" t="b">
            <v>0</v>
          </cell>
          <cell r="H34" t="b">
            <v>0</v>
          </cell>
          <cell r="I34" t="str">
            <v>cons</v>
          </cell>
          <cell r="J34" t="str">
            <v>itcc-ci-cons-2011-01-04</v>
          </cell>
        </row>
        <row r="35">
          <cell r="A35" t="str">
            <v>CECons_1</v>
          </cell>
          <cell r="B35" t="str">
            <v>Conto economico consolidato, altre relazioni</v>
          </cell>
          <cell r="C35" t="str">
            <v>CEConsolidatoAltro</v>
          </cell>
          <cell r="D35" t="str">
            <v>Income statement, other (consolidated form)</v>
          </cell>
          <cell r="E35" t="b">
            <v>0</v>
          </cell>
          <cell r="F35" t="b">
            <v>1</v>
          </cell>
          <cell r="G35" t="b">
            <v>0</v>
          </cell>
          <cell r="H35" t="b">
            <v>0</v>
          </cell>
          <cell r="I35" t="str">
            <v>cons</v>
          </cell>
          <cell r="J35" t="str">
            <v>itcc-ci-cons-2011-01-04</v>
          </cell>
        </row>
        <row r="36">
          <cell r="A36" t="str">
            <v>SPCons</v>
          </cell>
          <cell r="B36" t="str">
            <v>Stato patrimoniale consolidato</v>
          </cell>
          <cell r="C36" t="str">
            <v>SPConsolidato</v>
          </cell>
          <cell r="D36" t="str">
            <v>Balance sheet (consolidated form)</v>
          </cell>
          <cell r="E36" t="b">
            <v>1</v>
          </cell>
          <cell r="F36" t="b">
            <v>1</v>
          </cell>
          <cell r="G36" t="b">
            <v>0</v>
          </cell>
          <cell r="H36" t="b">
            <v>0</v>
          </cell>
          <cell r="I36" t="str">
            <v>cons</v>
          </cell>
          <cell r="J36" t="str">
            <v>itcc-ci-cons-2011-01-04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K1" t="str">
            <v>31-12-2011</v>
          </cell>
          <cell r="M1" t="str">
            <v>31-12-2010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showGridLines="0" topLeftCell="A3" workbookViewId="0">
      <selection activeCell="C14" sqref="C14"/>
    </sheetView>
  </sheetViews>
  <sheetFormatPr defaultColWidth="8.6640625" defaultRowHeight="14.4" x14ac:dyDescent="0.3"/>
  <cols>
    <col min="2" max="2" width="40" bestFit="1" customWidth="1"/>
    <col min="3" max="3" width="38.109375" bestFit="1" customWidth="1"/>
    <col min="4" max="4" width="9.77734375" bestFit="1" customWidth="1"/>
  </cols>
  <sheetData>
    <row r="2" spans="2:7" hidden="1" x14ac:dyDescent="0.3">
      <c r="B2" s="2" t="s">
        <v>0</v>
      </c>
      <c r="C2" s="3">
        <v>1</v>
      </c>
    </row>
    <row r="3" spans="2:7" x14ac:dyDescent="0.3">
      <c r="B3" s="2"/>
      <c r="C3" s="2"/>
    </row>
    <row r="4" spans="2:7" x14ac:dyDescent="0.3">
      <c r="B4" s="191" t="s">
        <v>1185</v>
      </c>
      <c r="C4" s="247">
        <v>2016</v>
      </c>
    </row>
    <row r="5" spans="2:7" x14ac:dyDescent="0.3">
      <c r="B5" s="4"/>
    </row>
    <row r="6" spans="2:7" x14ac:dyDescent="0.3">
      <c r="B6" s="250" t="s">
        <v>1190</v>
      </c>
      <c r="C6" s="251"/>
      <c r="D6" s="251"/>
      <c r="E6" s="251"/>
      <c r="F6" s="251"/>
      <c r="G6" s="251"/>
    </row>
    <row r="7" spans="2:7" x14ac:dyDescent="0.3">
      <c r="B7" s="4"/>
    </row>
    <row r="8" spans="2:7" ht="18" x14ac:dyDescent="0.35">
      <c r="B8" s="238" t="s">
        <v>1186</v>
      </c>
      <c r="C8" s="248" t="s">
        <v>1187</v>
      </c>
      <c r="D8" t="s">
        <v>1188</v>
      </c>
    </row>
    <row r="9" spans="2:7" ht="18" x14ac:dyDescent="0.35">
      <c r="B9" s="249"/>
      <c r="C9" s="248" t="s">
        <v>1189</v>
      </c>
      <c r="D9" t="s">
        <v>1191</v>
      </c>
    </row>
    <row r="10" spans="2:7" x14ac:dyDescent="0.3">
      <c r="B10" s="249"/>
    </row>
    <row r="11" spans="2:7" ht="18" x14ac:dyDescent="0.35">
      <c r="B11" s="238" t="s">
        <v>1192</v>
      </c>
      <c r="C11" s="248" t="s">
        <v>1193</v>
      </c>
      <c r="D11" t="s">
        <v>1194</v>
      </c>
    </row>
    <row r="12" spans="2:7" ht="18" x14ac:dyDescent="0.35">
      <c r="B12" s="249"/>
      <c r="C12" s="248" t="s">
        <v>1195</v>
      </c>
      <c r="D12" t="s">
        <v>1196</v>
      </c>
    </row>
    <row r="13" spans="2:7" ht="18" x14ac:dyDescent="0.35">
      <c r="B13" s="249"/>
      <c r="C13" s="248" t="s">
        <v>1197</v>
      </c>
      <c r="D13" t="s">
        <v>1198</v>
      </c>
      <c r="F13" t="s">
        <v>928</v>
      </c>
    </row>
    <row r="14" spans="2:7" x14ac:dyDescent="0.3">
      <c r="B14" s="249"/>
    </row>
    <row r="15" spans="2:7" ht="18" x14ac:dyDescent="0.35">
      <c r="B15" s="238" t="s">
        <v>1199</v>
      </c>
      <c r="C15" s="248" t="s">
        <v>1200</v>
      </c>
      <c r="D15" t="s">
        <v>1201</v>
      </c>
    </row>
    <row r="16" spans="2:7" ht="18" x14ac:dyDescent="0.35">
      <c r="B16" s="249"/>
      <c r="C16" s="248" t="s">
        <v>1200</v>
      </c>
      <c r="D16" t="s">
        <v>1198</v>
      </c>
      <c r="F16" t="s">
        <v>49</v>
      </c>
    </row>
    <row r="17" spans="2:4" x14ac:dyDescent="0.3">
      <c r="B17" s="249"/>
    </row>
    <row r="18" spans="2:4" x14ac:dyDescent="0.3">
      <c r="B18" s="249"/>
    </row>
    <row r="19" spans="2:4" ht="18" x14ac:dyDescent="0.35">
      <c r="B19" s="238" t="s">
        <v>1202</v>
      </c>
      <c r="C19" s="248" t="s">
        <v>1187</v>
      </c>
      <c r="D19" t="s">
        <v>1203</v>
      </c>
    </row>
    <row r="20" spans="2:4" ht="18" x14ac:dyDescent="0.35">
      <c r="C20" s="248" t="s">
        <v>1189</v>
      </c>
      <c r="D20" t="s">
        <v>1204</v>
      </c>
    </row>
    <row r="21" spans="2:4" ht="18" x14ac:dyDescent="0.35">
      <c r="C21" s="248" t="s">
        <v>1205</v>
      </c>
      <c r="D21" t="s">
        <v>1206</v>
      </c>
    </row>
    <row r="22" spans="2:4" ht="18" x14ac:dyDescent="0.35">
      <c r="C22" s="248" t="s">
        <v>1207</v>
      </c>
      <c r="D22" t="s">
        <v>1208</v>
      </c>
    </row>
    <row r="23" spans="2:4" ht="18" x14ac:dyDescent="0.35">
      <c r="C23" s="248" t="s">
        <v>1209</v>
      </c>
      <c r="D23" t="s">
        <v>1210</v>
      </c>
    </row>
    <row r="24" spans="2:4" ht="18" x14ac:dyDescent="0.35">
      <c r="C24" s="248" t="s">
        <v>1211</v>
      </c>
      <c r="D24" t="s">
        <v>1212</v>
      </c>
    </row>
    <row r="25" spans="2:4" ht="18" x14ac:dyDescent="0.35">
      <c r="C25" s="248" t="s">
        <v>1213</v>
      </c>
      <c r="D25" t="s">
        <v>1214</v>
      </c>
    </row>
    <row r="26" spans="2:4" ht="18" x14ac:dyDescent="0.35">
      <c r="C26" s="248" t="s">
        <v>1215</v>
      </c>
      <c r="D26" t="s">
        <v>1216</v>
      </c>
    </row>
  </sheetData>
  <mergeCells count="1">
    <mergeCell ref="B6:G6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4"/>
  <sheetViews>
    <sheetView showGridLines="0" topLeftCell="A18" workbookViewId="0">
      <selection activeCell="D27" sqref="D27"/>
    </sheetView>
  </sheetViews>
  <sheetFormatPr defaultColWidth="8.6640625" defaultRowHeight="14.4" x14ac:dyDescent="0.3"/>
  <cols>
    <col min="2" max="2" width="64.6640625" bestFit="1" customWidth="1"/>
    <col min="3" max="13" width="11.5546875" bestFit="1" customWidth="1"/>
  </cols>
  <sheetData>
    <row r="2" spans="1:13" ht="16.2" thickBot="1" x14ac:dyDescent="0.35">
      <c r="B2" s="164" t="s">
        <v>897</v>
      </c>
      <c r="C2" s="192">
        <f>+'Input Previsionale'!E8-1</f>
        <v>2016</v>
      </c>
      <c r="D2" s="192">
        <f>+C2+1</f>
        <v>2017</v>
      </c>
      <c r="E2" s="192">
        <f t="shared" ref="E2:M2" si="0">+D2+1</f>
        <v>2018</v>
      </c>
      <c r="F2" s="192">
        <f t="shared" si="0"/>
        <v>2019</v>
      </c>
      <c r="G2" s="192">
        <f t="shared" si="0"/>
        <v>2020</v>
      </c>
      <c r="H2" s="192">
        <f t="shared" si="0"/>
        <v>2021</v>
      </c>
      <c r="I2" s="192">
        <f t="shared" si="0"/>
        <v>2022</v>
      </c>
      <c r="J2" s="192">
        <f t="shared" si="0"/>
        <v>2023</v>
      </c>
      <c r="K2" s="192">
        <f t="shared" si="0"/>
        <v>2024</v>
      </c>
      <c r="L2" s="192">
        <f t="shared" si="0"/>
        <v>2025</v>
      </c>
      <c r="M2" s="192">
        <f t="shared" si="0"/>
        <v>2026</v>
      </c>
    </row>
    <row r="3" spans="1:13" ht="15" thickBot="1" x14ac:dyDescent="0.35">
      <c r="B3" s="238" t="s">
        <v>898</v>
      </c>
      <c r="C3" s="241">
        <f t="shared" ref="C3:M3" si="1">+SUM(C5:C6)-C4+C7</f>
        <v>1377337.99</v>
      </c>
      <c r="D3" s="242">
        <f t="shared" si="1"/>
        <v>1445909.27</v>
      </c>
      <c r="E3" s="242">
        <f t="shared" si="1"/>
        <v>1365909.27</v>
      </c>
      <c r="F3" s="242">
        <f t="shared" si="1"/>
        <v>1325909.27</v>
      </c>
      <c r="G3" s="242">
        <f t="shared" si="1"/>
        <v>1345909.27</v>
      </c>
      <c r="H3" s="242">
        <f t="shared" si="1"/>
        <v>1345909.27</v>
      </c>
      <c r="I3" s="242">
        <f t="shared" si="1"/>
        <v>1345909.27</v>
      </c>
      <c r="J3" s="242">
        <f t="shared" si="1"/>
        <v>1345909.27</v>
      </c>
      <c r="K3" s="242">
        <f t="shared" si="1"/>
        <v>1345909.27</v>
      </c>
      <c r="L3" s="242">
        <f t="shared" si="1"/>
        <v>1345909.27</v>
      </c>
      <c r="M3" s="243">
        <f t="shared" si="1"/>
        <v>1345909.27</v>
      </c>
    </row>
    <row r="4" spans="1:13" x14ac:dyDescent="0.3">
      <c r="A4">
        <v>3</v>
      </c>
      <c r="B4" s="239" t="s">
        <v>1171</v>
      </c>
      <c r="C4" s="198">
        <f>HLOOKUP($C$2,'ce mcl'!$C$2:$C$44,A4,FALSE)</f>
        <v>0</v>
      </c>
      <c r="D4" s="240">
        <f>+C7</f>
        <v>0</v>
      </c>
      <c r="E4" s="240">
        <f t="shared" ref="E4:M4" si="2">+D7</f>
        <v>100000</v>
      </c>
      <c r="F4" s="240">
        <f t="shared" si="2"/>
        <v>120000</v>
      </c>
      <c r="G4" s="240">
        <f t="shared" si="2"/>
        <v>100000</v>
      </c>
      <c r="H4" s="240">
        <f t="shared" si="2"/>
        <v>100000</v>
      </c>
      <c r="I4" s="240">
        <f t="shared" si="2"/>
        <v>100000</v>
      </c>
      <c r="J4" s="240">
        <f t="shared" si="2"/>
        <v>100000</v>
      </c>
      <c r="K4" s="240">
        <f t="shared" si="2"/>
        <v>100000</v>
      </c>
      <c r="L4" s="240">
        <f t="shared" si="2"/>
        <v>100000</v>
      </c>
      <c r="M4" s="240">
        <f t="shared" si="2"/>
        <v>100000</v>
      </c>
    </row>
    <row r="5" spans="1:13" x14ac:dyDescent="0.3">
      <c r="A5">
        <f>+A4+1</f>
        <v>4</v>
      </c>
      <c r="B5" s="239" t="s">
        <v>1172</v>
      </c>
      <c r="C5" s="198">
        <f>HLOOKUP($C$2,'ce mcl'!$C$2:$C$44,A5,FALSE)</f>
        <v>1345909.27</v>
      </c>
      <c r="D5" s="240">
        <f>+C5*(1+'Input Previsionale'!E9)</f>
        <v>1345909.27</v>
      </c>
      <c r="E5" s="240">
        <f>+D5*(1+'Input Previsionale'!F9)</f>
        <v>1345909.27</v>
      </c>
      <c r="F5" s="240">
        <f>+E5*(1+'Input Previsionale'!G9)</f>
        <v>1345909.27</v>
      </c>
      <c r="G5" s="240">
        <f>+F5*(1+'Input Previsionale'!H9)</f>
        <v>1345909.27</v>
      </c>
      <c r="H5" s="240">
        <f>+G5*(1+'Input Previsionale'!I9)</f>
        <v>1345909.27</v>
      </c>
      <c r="I5" s="240">
        <f>+H5*(1+'Input Previsionale'!J9)</f>
        <v>1345909.27</v>
      </c>
      <c r="J5" s="240">
        <f>+I5*(1+'Input Previsionale'!K9)</f>
        <v>1345909.27</v>
      </c>
      <c r="K5" s="240">
        <f>+J5*(1+'Input Previsionale'!L9)</f>
        <v>1345909.27</v>
      </c>
      <c r="L5" s="240">
        <f>+K5*(1+'Input Previsionale'!M9)</f>
        <v>1345909.27</v>
      </c>
      <c r="M5" s="240">
        <f>+L5*(1+'Input Previsionale'!N9)</f>
        <v>1345909.27</v>
      </c>
    </row>
    <row r="6" spans="1:13" x14ac:dyDescent="0.3">
      <c r="A6">
        <f t="shared" ref="A6:A44" si="3">+A5+1</f>
        <v>5</v>
      </c>
      <c r="B6" s="239" t="s">
        <v>1173</v>
      </c>
      <c r="C6" s="198">
        <f>HLOOKUP($C$2,'ce mcl'!$C$2:$C$44,A6,FALSE)</f>
        <v>31428.720000000001</v>
      </c>
      <c r="D6" s="240">
        <v>0</v>
      </c>
      <c r="E6" s="240">
        <v>0</v>
      </c>
      <c r="F6" s="240">
        <v>0</v>
      </c>
      <c r="G6" s="240">
        <v>0</v>
      </c>
      <c r="H6" s="240">
        <v>0</v>
      </c>
      <c r="I6" s="240">
        <v>0</v>
      </c>
      <c r="J6" s="240">
        <v>0</v>
      </c>
      <c r="K6" s="240">
        <v>0</v>
      </c>
      <c r="L6" s="240">
        <v>0</v>
      </c>
      <c r="M6" s="240">
        <v>0</v>
      </c>
    </row>
    <row r="7" spans="1:13" x14ac:dyDescent="0.3">
      <c r="A7">
        <f t="shared" si="3"/>
        <v>6</v>
      </c>
      <c r="B7" s="239" t="s">
        <v>1174</v>
      </c>
      <c r="C7" s="198">
        <f>HLOOKUP($C$2,'ce mcl'!$C$2:$C$44,A7,FALSE)</f>
        <v>0</v>
      </c>
      <c r="D7" s="240">
        <f>+'Input Previsionale'!E11</f>
        <v>100000</v>
      </c>
      <c r="E7" s="240">
        <f>+'Input Previsionale'!F11</f>
        <v>120000</v>
      </c>
      <c r="F7" s="240">
        <f>+'Input Previsionale'!G11</f>
        <v>100000</v>
      </c>
      <c r="G7" s="240">
        <f>+'Input Previsionale'!H11</f>
        <v>100000</v>
      </c>
      <c r="H7" s="240">
        <f>+'Input Previsionale'!I11</f>
        <v>100000</v>
      </c>
      <c r="I7" s="240">
        <f>+'Input Previsionale'!J11</f>
        <v>100000</v>
      </c>
      <c r="J7" s="240">
        <f>+'Input Previsionale'!K11</f>
        <v>100000</v>
      </c>
      <c r="K7" s="240">
        <f>+'Input Previsionale'!L11</f>
        <v>100000</v>
      </c>
      <c r="L7" s="240">
        <f>+'Input Previsionale'!M11</f>
        <v>100000</v>
      </c>
      <c r="M7" s="240">
        <f>+'Input Previsionale'!N11</f>
        <v>100000</v>
      </c>
    </row>
    <row r="8" spans="1:13" ht="15" thickBot="1" x14ac:dyDescent="0.35">
      <c r="A8">
        <f t="shared" si="3"/>
        <v>7</v>
      </c>
      <c r="B8" s="63"/>
      <c r="C8" s="62"/>
    </row>
    <row r="9" spans="1:13" ht="15" thickBot="1" x14ac:dyDescent="0.35">
      <c r="A9">
        <f t="shared" si="3"/>
        <v>8</v>
      </c>
      <c r="B9" s="238" t="s">
        <v>903</v>
      </c>
      <c r="C9" s="241">
        <f>+C11-C12+C10</f>
        <v>490184.92999999993</v>
      </c>
      <c r="D9" s="242">
        <f>+D11-D12+D10</f>
        <v>578363.70799999987</v>
      </c>
      <c r="E9" s="242">
        <f t="shared" ref="E9:M9" si="4">+E11-E12+E10</f>
        <v>546363.70799999998</v>
      </c>
      <c r="F9" s="242">
        <f t="shared" si="4"/>
        <v>530363.70799999998</v>
      </c>
      <c r="G9" s="242">
        <f t="shared" si="4"/>
        <v>538363.70799999998</v>
      </c>
      <c r="H9" s="242">
        <f t="shared" si="4"/>
        <v>538363.70799999998</v>
      </c>
      <c r="I9" s="242">
        <f t="shared" si="4"/>
        <v>538363.70799999998</v>
      </c>
      <c r="J9" s="242">
        <f t="shared" si="4"/>
        <v>538363.70799999998</v>
      </c>
      <c r="K9" s="242">
        <f t="shared" si="4"/>
        <v>538363.70799999998</v>
      </c>
      <c r="L9" s="242">
        <f t="shared" si="4"/>
        <v>538363.70799999998</v>
      </c>
      <c r="M9" s="243">
        <f t="shared" si="4"/>
        <v>538363.70799999998</v>
      </c>
    </row>
    <row r="10" spans="1:13" x14ac:dyDescent="0.3">
      <c r="A10">
        <f t="shared" si="3"/>
        <v>9</v>
      </c>
      <c r="B10" s="239" t="s">
        <v>1179</v>
      </c>
      <c r="C10" s="198">
        <f>+SP!G70</f>
        <v>251685.3</v>
      </c>
      <c r="D10" s="240">
        <f>+C12</f>
        <v>207969.09</v>
      </c>
      <c r="E10" s="240">
        <f t="shared" ref="E10:M10" si="5">+D12</f>
        <v>100000</v>
      </c>
      <c r="F10" s="240">
        <f t="shared" si="5"/>
        <v>120000</v>
      </c>
      <c r="G10" s="240">
        <f t="shared" si="5"/>
        <v>100000</v>
      </c>
      <c r="H10" s="240">
        <f t="shared" si="5"/>
        <v>100000</v>
      </c>
      <c r="I10" s="240">
        <f t="shared" si="5"/>
        <v>100000</v>
      </c>
      <c r="J10" s="240">
        <f t="shared" si="5"/>
        <v>100000</v>
      </c>
      <c r="K10" s="240">
        <f t="shared" si="5"/>
        <v>100000</v>
      </c>
      <c r="L10" s="240">
        <f t="shared" si="5"/>
        <v>100000</v>
      </c>
      <c r="M10" s="240">
        <f t="shared" si="5"/>
        <v>100000</v>
      </c>
    </row>
    <row r="11" spans="1:13" x14ac:dyDescent="0.3">
      <c r="A11">
        <f t="shared" si="3"/>
        <v>10</v>
      </c>
      <c r="B11" s="239" t="s">
        <v>1175</v>
      </c>
      <c r="C11" s="198">
        <f>HLOOKUP($C$2,'ce mcl'!$C$2:$C$44,A11,FALSE)</f>
        <v>446468.72</v>
      </c>
      <c r="D11" s="240">
        <f>+D12-D10+D3-('Input Previsionale'!E14*'CE Previsionale'!D3)</f>
        <v>470394.6179999999</v>
      </c>
      <c r="E11" s="240">
        <f>+E12-E10+E3-('Input Previsionale'!F14*'CE Previsionale'!E3)</f>
        <v>566363.70799999998</v>
      </c>
      <c r="F11" s="240">
        <f>+F12-F10+F3-('Input Previsionale'!G14*'CE Previsionale'!F3)</f>
        <v>510363.70799999998</v>
      </c>
      <c r="G11" s="240">
        <f>+G12-G10+G3-('Input Previsionale'!H14*'CE Previsionale'!G3)</f>
        <v>538363.70799999998</v>
      </c>
      <c r="H11" s="240">
        <f>+H12-H10+H3-('Input Previsionale'!I14*'CE Previsionale'!H3)</f>
        <v>538363.70799999998</v>
      </c>
      <c r="I11" s="240">
        <f>+I12-I10+I3-('Input Previsionale'!J14*'CE Previsionale'!I3)</f>
        <v>538363.70799999998</v>
      </c>
      <c r="J11" s="240">
        <f>+J12-J10+J3-('Input Previsionale'!K14*'CE Previsionale'!J3)</f>
        <v>538363.70799999998</v>
      </c>
      <c r="K11" s="240">
        <f>+K12-K10+K3-('Input Previsionale'!L14*'CE Previsionale'!K3)</f>
        <v>538363.70799999998</v>
      </c>
      <c r="L11" s="240">
        <f>+L12-L10+L3-('Input Previsionale'!M14*'CE Previsionale'!L3)</f>
        <v>538363.70799999998</v>
      </c>
      <c r="M11" s="240">
        <f>+M12-M10+M3-('Input Previsionale'!N14*'CE Previsionale'!M3)</f>
        <v>538363.70799999998</v>
      </c>
    </row>
    <row r="12" spans="1:13" x14ac:dyDescent="0.3">
      <c r="A12">
        <f t="shared" si="3"/>
        <v>11</v>
      </c>
      <c r="B12" s="239" t="s">
        <v>1176</v>
      </c>
      <c r="C12" s="198">
        <f>-HLOOKUP($C$2,'ce mcl'!$C$2:$C$44,A12,FALSE)+C10</f>
        <v>207969.09</v>
      </c>
      <c r="D12" s="240">
        <f>+'Input Previsionale'!E16</f>
        <v>100000</v>
      </c>
      <c r="E12" s="240">
        <f>+'Input Previsionale'!F16</f>
        <v>120000</v>
      </c>
      <c r="F12" s="240">
        <f>+'Input Previsionale'!G16</f>
        <v>100000</v>
      </c>
      <c r="G12" s="240">
        <f>+'Input Previsionale'!H16</f>
        <v>100000</v>
      </c>
      <c r="H12" s="240">
        <f>+'Input Previsionale'!I16</f>
        <v>100000</v>
      </c>
      <c r="I12" s="240">
        <f>+'Input Previsionale'!J16</f>
        <v>100000</v>
      </c>
      <c r="J12" s="240">
        <f>+'Input Previsionale'!K16</f>
        <v>100000</v>
      </c>
      <c r="K12" s="240">
        <f>+'Input Previsionale'!L16</f>
        <v>100000</v>
      </c>
      <c r="L12" s="240">
        <f>+'Input Previsionale'!M16</f>
        <v>100000</v>
      </c>
      <c r="M12" s="240">
        <f>+'Input Previsionale'!N16</f>
        <v>100000</v>
      </c>
    </row>
    <row r="13" spans="1:13" ht="15" thickBot="1" x14ac:dyDescent="0.35">
      <c r="A13">
        <f t="shared" si="3"/>
        <v>12</v>
      </c>
      <c r="B13" s="63"/>
      <c r="C13" s="70"/>
    </row>
    <row r="14" spans="1:13" ht="15" thickBot="1" x14ac:dyDescent="0.35">
      <c r="A14">
        <f t="shared" si="3"/>
        <v>13</v>
      </c>
      <c r="B14" s="238" t="s">
        <v>1170</v>
      </c>
      <c r="C14" s="241">
        <f t="shared" ref="C14:M14" si="6">+C3-C9</f>
        <v>887153.06</v>
      </c>
      <c r="D14" s="242">
        <f>+D3-D9</f>
        <v>867545.56200000015</v>
      </c>
      <c r="E14" s="242">
        <f t="shared" si="6"/>
        <v>819545.56200000003</v>
      </c>
      <c r="F14" s="242">
        <f t="shared" si="6"/>
        <v>795545.56200000003</v>
      </c>
      <c r="G14" s="242">
        <f t="shared" si="6"/>
        <v>807545.56200000003</v>
      </c>
      <c r="H14" s="242">
        <f t="shared" si="6"/>
        <v>807545.56200000003</v>
      </c>
      <c r="I14" s="242">
        <f t="shared" si="6"/>
        <v>807545.56200000003</v>
      </c>
      <c r="J14" s="242">
        <f t="shared" si="6"/>
        <v>807545.56200000003</v>
      </c>
      <c r="K14" s="242">
        <f t="shared" si="6"/>
        <v>807545.56200000003</v>
      </c>
      <c r="L14" s="242">
        <f t="shared" si="6"/>
        <v>807545.56200000003</v>
      </c>
      <c r="M14" s="243">
        <f t="shared" si="6"/>
        <v>807545.56200000003</v>
      </c>
    </row>
    <row r="15" spans="1:13" ht="15" thickBot="1" x14ac:dyDescent="0.35">
      <c r="A15">
        <f t="shared" si="3"/>
        <v>14</v>
      </c>
      <c r="B15" s="73"/>
      <c r="C15" s="95">
        <f>+C14/C3</f>
        <v>0.64410701399443726</v>
      </c>
      <c r="D15" s="95">
        <f t="shared" ref="D15:M15" si="7">+D14/D3</f>
        <v>0.60000000000000009</v>
      </c>
      <c r="E15" s="95">
        <f t="shared" si="7"/>
        <v>0.6</v>
      </c>
      <c r="F15" s="95">
        <f t="shared" si="7"/>
        <v>0.6</v>
      </c>
      <c r="G15" s="95">
        <f t="shared" si="7"/>
        <v>0.6</v>
      </c>
      <c r="H15" s="95">
        <f t="shared" si="7"/>
        <v>0.6</v>
      </c>
      <c r="I15" s="95">
        <f t="shared" si="7"/>
        <v>0.6</v>
      </c>
      <c r="J15" s="95">
        <f t="shared" si="7"/>
        <v>0.6</v>
      </c>
      <c r="K15" s="95">
        <f t="shared" si="7"/>
        <v>0.6</v>
      </c>
      <c r="L15" s="95">
        <f t="shared" si="7"/>
        <v>0.6</v>
      </c>
      <c r="M15" s="95">
        <f t="shared" si="7"/>
        <v>0.6</v>
      </c>
    </row>
    <row r="16" spans="1:13" ht="15" thickBot="1" x14ac:dyDescent="0.35">
      <c r="A16">
        <f t="shared" si="3"/>
        <v>15</v>
      </c>
      <c r="B16" s="244" t="s">
        <v>908</v>
      </c>
      <c r="C16" s="241">
        <f t="shared" ref="C16:M16" si="8">+C17+C18</f>
        <v>266324.30000000005</v>
      </c>
      <c r="D16" s="242">
        <f t="shared" si="8"/>
        <v>279640.51500000001</v>
      </c>
      <c r="E16" s="242">
        <f t="shared" si="8"/>
        <v>279640.51500000001</v>
      </c>
      <c r="F16" s="242">
        <f t="shared" si="8"/>
        <v>279640.51500000001</v>
      </c>
      <c r="G16" s="242">
        <f t="shared" si="8"/>
        <v>279640.51500000001</v>
      </c>
      <c r="H16" s="242">
        <f t="shared" si="8"/>
        <v>279640.51500000001</v>
      </c>
      <c r="I16" s="242">
        <f t="shared" si="8"/>
        <v>279640.51500000001</v>
      </c>
      <c r="J16" s="242">
        <f t="shared" si="8"/>
        <v>279640.51500000001</v>
      </c>
      <c r="K16" s="242">
        <f t="shared" si="8"/>
        <v>279640.51500000001</v>
      </c>
      <c r="L16" s="242">
        <f t="shared" si="8"/>
        <v>279640.51500000001</v>
      </c>
      <c r="M16" s="243">
        <f t="shared" si="8"/>
        <v>279640.51500000001</v>
      </c>
    </row>
    <row r="17" spans="1:13" x14ac:dyDescent="0.3">
      <c r="A17">
        <f t="shared" si="3"/>
        <v>16</v>
      </c>
      <c r="B17" s="239" t="s">
        <v>1177</v>
      </c>
      <c r="C17" s="189">
        <f>HLOOKUP($C$2,'ce mcl'!$C$2:$C$44,A17,FALSE)</f>
        <v>189626.98</v>
      </c>
      <c r="D17" s="189">
        <f>+C17*(1+'Input Previsionale'!E18)</f>
        <v>199108.32900000003</v>
      </c>
      <c r="E17" s="189">
        <f>+D17*(1+'Input Previsionale'!F18)</f>
        <v>199108.32900000003</v>
      </c>
      <c r="F17" s="189">
        <f>+E17*(1+'Input Previsionale'!G18)</f>
        <v>199108.32900000003</v>
      </c>
      <c r="G17" s="189">
        <f>+F17*(1+'Input Previsionale'!H18)</f>
        <v>199108.32900000003</v>
      </c>
      <c r="H17" s="189">
        <f>+G17*(1+'Input Previsionale'!I18)</f>
        <v>199108.32900000003</v>
      </c>
      <c r="I17" s="189">
        <f>+H17*(1+'Input Previsionale'!J18)</f>
        <v>199108.32900000003</v>
      </c>
      <c r="J17" s="189">
        <f>+I17*(1+'Input Previsionale'!K18)</f>
        <v>199108.32900000003</v>
      </c>
      <c r="K17" s="189">
        <f>+J17*(1+'Input Previsionale'!L18)</f>
        <v>199108.32900000003</v>
      </c>
      <c r="L17" s="189">
        <f>+K17*(1+'Input Previsionale'!M18)</f>
        <v>199108.32900000003</v>
      </c>
      <c r="M17" s="189">
        <f>+L17*(1+'Input Previsionale'!N18)</f>
        <v>199108.32900000003</v>
      </c>
    </row>
    <row r="18" spans="1:13" x14ac:dyDescent="0.3">
      <c r="A18">
        <f t="shared" si="3"/>
        <v>17</v>
      </c>
      <c r="B18" s="239" t="s">
        <v>1178</v>
      </c>
      <c r="C18" s="189">
        <f>HLOOKUP($C$2,'ce mcl'!$C$2:$C$44,A18,FALSE)</f>
        <v>76697.320000000007</v>
      </c>
      <c r="D18" s="189">
        <f>+C18*(1+'Input Previsionale'!E18)</f>
        <v>80532.186000000016</v>
      </c>
      <c r="E18" s="189">
        <f>+D18*(1+'Input Previsionale'!F18)</f>
        <v>80532.186000000016</v>
      </c>
      <c r="F18" s="189">
        <f>+E18*(1+'Input Previsionale'!G18)</f>
        <v>80532.186000000016</v>
      </c>
      <c r="G18" s="189">
        <f>+F18*(1+'Input Previsionale'!H18)</f>
        <v>80532.186000000016</v>
      </c>
      <c r="H18" s="189">
        <f>+G18*(1+'Input Previsionale'!I18)</f>
        <v>80532.186000000016</v>
      </c>
      <c r="I18" s="189">
        <f>+H18*(1+'Input Previsionale'!J18)</f>
        <v>80532.186000000016</v>
      </c>
      <c r="J18" s="189">
        <f>+I18*(1+'Input Previsionale'!K18)</f>
        <v>80532.186000000016</v>
      </c>
      <c r="K18" s="189">
        <f>+J18*(1+'Input Previsionale'!L18)</f>
        <v>80532.186000000016</v>
      </c>
      <c r="L18" s="189">
        <f>+K18*(1+'Input Previsionale'!M18)</f>
        <v>80532.186000000016</v>
      </c>
      <c r="M18" s="189">
        <f>+L18*(1+'Input Previsionale'!N18)</f>
        <v>80532.186000000016</v>
      </c>
    </row>
    <row r="19" spans="1:13" ht="15" thickBot="1" x14ac:dyDescent="0.35">
      <c r="A19">
        <f t="shared" si="3"/>
        <v>18</v>
      </c>
      <c r="B19" s="63"/>
      <c r="C19" s="71"/>
    </row>
    <row r="20" spans="1:13" ht="15" thickBot="1" x14ac:dyDescent="0.35">
      <c r="A20">
        <f t="shared" si="3"/>
        <v>19</v>
      </c>
      <c r="B20" s="238" t="s">
        <v>911</v>
      </c>
      <c r="C20" s="241">
        <f t="shared" ref="C20:M20" si="9">+C14-C16</f>
        <v>620828.76</v>
      </c>
      <c r="D20" s="242">
        <f t="shared" si="9"/>
        <v>587905.04700000014</v>
      </c>
      <c r="E20" s="242">
        <f t="shared" si="9"/>
        <v>539905.04700000002</v>
      </c>
      <c r="F20" s="242">
        <f t="shared" si="9"/>
        <v>515905.04700000002</v>
      </c>
      <c r="G20" s="242">
        <f t="shared" si="9"/>
        <v>527905.04700000002</v>
      </c>
      <c r="H20" s="242">
        <f t="shared" si="9"/>
        <v>527905.04700000002</v>
      </c>
      <c r="I20" s="242">
        <f t="shared" si="9"/>
        <v>527905.04700000002</v>
      </c>
      <c r="J20" s="242">
        <f t="shared" si="9"/>
        <v>527905.04700000002</v>
      </c>
      <c r="K20" s="242">
        <f t="shared" si="9"/>
        <v>527905.04700000002</v>
      </c>
      <c r="L20" s="242">
        <f t="shared" si="9"/>
        <v>527905.04700000002</v>
      </c>
      <c r="M20" s="243">
        <f t="shared" si="9"/>
        <v>527905.04700000002</v>
      </c>
    </row>
    <row r="21" spans="1:13" ht="15" thickBot="1" x14ac:dyDescent="0.35">
      <c r="A21">
        <f t="shared" si="3"/>
        <v>20</v>
      </c>
      <c r="B21" s="73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1:13" ht="15" thickBot="1" x14ac:dyDescent="0.35">
      <c r="A22">
        <f t="shared" si="3"/>
        <v>21</v>
      </c>
      <c r="B22" s="244" t="s">
        <v>912</v>
      </c>
      <c r="C22" s="241">
        <f t="shared" ref="C22:M22" si="10">+SUM(C23:C28)</f>
        <v>538045.94000000006</v>
      </c>
      <c r="D22" s="242">
        <f t="shared" si="10"/>
        <v>336465.72200000001</v>
      </c>
      <c r="E22" s="242">
        <f t="shared" si="10"/>
        <v>336465.72200000001</v>
      </c>
      <c r="F22" s="242">
        <f t="shared" si="10"/>
        <v>336465.72200000001</v>
      </c>
      <c r="G22" s="242">
        <f t="shared" si="10"/>
        <v>336465.72200000001</v>
      </c>
      <c r="H22" s="242">
        <f t="shared" si="10"/>
        <v>336465.72200000001</v>
      </c>
      <c r="I22" s="242">
        <f t="shared" si="10"/>
        <v>336465.72200000001</v>
      </c>
      <c r="J22" s="242">
        <f t="shared" si="10"/>
        <v>336465.72200000001</v>
      </c>
      <c r="K22" s="242">
        <f t="shared" si="10"/>
        <v>336465.72200000001</v>
      </c>
      <c r="L22" s="242">
        <f t="shared" si="10"/>
        <v>336465.72200000001</v>
      </c>
      <c r="M22" s="243">
        <f t="shared" si="10"/>
        <v>336465.72200000001</v>
      </c>
    </row>
    <row r="23" spans="1:13" x14ac:dyDescent="0.3">
      <c r="A23">
        <f t="shared" si="3"/>
        <v>22</v>
      </c>
      <c r="B23" s="239" t="s">
        <v>913</v>
      </c>
      <c r="C23" s="189">
        <f>HLOOKUP($C$2,'ce mcl'!$C$2:$C$44,A23,FALSE)</f>
        <v>204233.19</v>
      </c>
      <c r="D23" s="189">
        <f>+Calcoli!C8+'Scheda Inv'!D187</f>
        <v>0</v>
      </c>
      <c r="E23" s="189">
        <f>+Calcoli!D8+'Scheda Inv'!E187</f>
        <v>0</v>
      </c>
      <c r="F23" s="189">
        <f>+Calcoli!E8+'Scheda Inv'!F187</f>
        <v>0</v>
      </c>
      <c r="G23" s="189">
        <f>+Calcoli!F8+'Scheda Inv'!G187</f>
        <v>0</v>
      </c>
      <c r="H23" s="189">
        <f>+Calcoli!G8+'Scheda Inv'!H187</f>
        <v>0</v>
      </c>
      <c r="I23" s="189">
        <f>+Calcoli!H8+'Scheda Inv'!I187</f>
        <v>0</v>
      </c>
      <c r="J23" s="189">
        <f>+Calcoli!I8+'Scheda Inv'!J187</f>
        <v>0</v>
      </c>
      <c r="K23" s="189">
        <f>+Calcoli!J8+'Scheda Inv'!K187</f>
        <v>0</v>
      </c>
      <c r="L23" s="189">
        <f>+Calcoli!K8+'Scheda Inv'!L187</f>
        <v>0</v>
      </c>
      <c r="M23" s="189">
        <f>+Calcoli!L8+'Scheda Inv'!M187</f>
        <v>0</v>
      </c>
    </row>
    <row r="24" spans="1:13" x14ac:dyDescent="0.3">
      <c r="A24">
        <f t="shared" si="3"/>
        <v>23</v>
      </c>
      <c r="B24" s="239" t="s">
        <v>914</v>
      </c>
      <c r="C24" s="189">
        <f>HLOOKUP($C$2,'ce mcl'!$C$2:$C$44,A24,FALSE)</f>
        <v>300.12</v>
      </c>
      <c r="D24" s="189">
        <f>+Calcoli!C20+'Scheda Inv'!D193</f>
        <v>0</v>
      </c>
      <c r="E24" s="189">
        <f>+Calcoli!D20+'Scheda Inv'!E193</f>
        <v>0</v>
      </c>
      <c r="F24" s="189">
        <f>+Calcoli!E20+'Scheda Inv'!F193</f>
        <v>0</v>
      </c>
      <c r="G24" s="189">
        <f>+Calcoli!F20+'Scheda Inv'!G193</f>
        <v>0</v>
      </c>
      <c r="H24" s="189">
        <f>+Calcoli!G20+'Scheda Inv'!H193</f>
        <v>0</v>
      </c>
      <c r="I24" s="189">
        <f>+Calcoli!H20+'Scheda Inv'!I193</f>
        <v>0</v>
      </c>
      <c r="J24" s="189">
        <f>+Calcoli!I20+'Scheda Inv'!J193</f>
        <v>0</v>
      </c>
      <c r="K24" s="189">
        <f>+Calcoli!J20+'Scheda Inv'!K193</f>
        <v>0</v>
      </c>
      <c r="L24" s="189">
        <f>+Calcoli!K20+'Scheda Inv'!L193</f>
        <v>0</v>
      </c>
      <c r="M24" s="189">
        <f>+Calcoli!L20+'Scheda Inv'!M193</f>
        <v>0</v>
      </c>
    </row>
    <row r="25" spans="1:13" x14ac:dyDescent="0.3">
      <c r="A25">
        <f t="shared" si="3"/>
        <v>24</v>
      </c>
      <c r="B25" s="239" t="s">
        <v>915</v>
      </c>
      <c r="C25" s="189">
        <f>HLOOKUP($C$2,'ce mcl'!$C$2:$C$44,A25,FALSE)</f>
        <v>59061.84</v>
      </c>
      <c r="D25" s="189">
        <f>+C25*(1+'Input Previsionale'!E18)</f>
        <v>62014.932000000001</v>
      </c>
      <c r="E25" s="189">
        <f>+D25*(1+'Input Previsionale'!F18)</f>
        <v>62014.932000000001</v>
      </c>
      <c r="F25" s="189">
        <f>+E25*(1+'Input Previsionale'!G18)</f>
        <v>62014.932000000001</v>
      </c>
      <c r="G25" s="189">
        <f>+F25*(1+'Input Previsionale'!H18)</f>
        <v>62014.932000000001</v>
      </c>
      <c r="H25" s="189">
        <f>+G25*(1+'Input Previsionale'!I18)</f>
        <v>62014.932000000001</v>
      </c>
      <c r="I25" s="189">
        <f>+H25*(1+'Input Previsionale'!J18)</f>
        <v>62014.932000000001</v>
      </c>
      <c r="J25" s="189">
        <f>+I25*(1+'Input Previsionale'!K18)</f>
        <v>62014.932000000001</v>
      </c>
      <c r="K25" s="189">
        <f>+J25*(1+'Input Previsionale'!L18)</f>
        <v>62014.932000000001</v>
      </c>
      <c r="L25" s="189">
        <f>+K25*(1+'Input Previsionale'!M18)</f>
        <v>62014.932000000001</v>
      </c>
      <c r="M25" s="189">
        <f>+L25*(1+'Input Previsionale'!N18)</f>
        <v>62014.932000000001</v>
      </c>
    </row>
    <row r="26" spans="1:13" x14ac:dyDescent="0.3">
      <c r="A26">
        <f t="shared" si="3"/>
        <v>25</v>
      </c>
      <c r="B26" s="239" t="s">
        <v>916</v>
      </c>
      <c r="C26" s="189">
        <f>HLOOKUP($C$2,'ce mcl'!$C$2:$C$44,A26,FALSE)</f>
        <v>0</v>
      </c>
      <c r="D26" s="189">
        <f>+C26*(1+'Input Previsionale'!E18)</f>
        <v>0</v>
      </c>
      <c r="E26" s="189">
        <f>+D26*(1+'Input Previsionale'!F18)</f>
        <v>0</v>
      </c>
      <c r="F26" s="189">
        <f>+E26*(1+'Input Previsionale'!G18)</f>
        <v>0</v>
      </c>
      <c r="G26" s="189">
        <f>+F26*(1+'Input Previsionale'!H18)</f>
        <v>0</v>
      </c>
      <c r="H26" s="189">
        <f>+G26*(1+'Input Previsionale'!I18)</f>
        <v>0</v>
      </c>
      <c r="I26" s="189">
        <f>+H26*(1+'Input Previsionale'!J18)</f>
        <v>0</v>
      </c>
      <c r="J26" s="189">
        <f>+I26*(1+'Input Previsionale'!K18)</f>
        <v>0</v>
      </c>
      <c r="K26" s="189">
        <f>+J26*(1+'Input Previsionale'!L18)</f>
        <v>0</v>
      </c>
      <c r="L26" s="189">
        <f>+K26*(1+'Input Previsionale'!M18)</f>
        <v>0</v>
      </c>
      <c r="M26" s="189">
        <f>+L26*(1+'Input Previsionale'!N18)</f>
        <v>0</v>
      </c>
    </row>
    <row r="27" spans="1:13" x14ac:dyDescent="0.3">
      <c r="A27">
        <f t="shared" si="3"/>
        <v>26</v>
      </c>
      <c r="B27" s="239" t="s">
        <v>917</v>
      </c>
      <c r="C27" s="189">
        <f>HLOOKUP($C$2,'ce mcl'!$C$2:$C$44,A27,FALSE)</f>
        <v>262058.80000000002</v>
      </c>
      <c r="D27" s="189">
        <f>+C27*(1+'Input Previsionale'!E19)</f>
        <v>262058.80000000002</v>
      </c>
      <c r="E27" s="189">
        <f>+D27*(1+'Input Previsionale'!F19)</f>
        <v>262058.80000000002</v>
      </c>
      <c r="F27" s="189">
        <f>+E27*(1+'Input Previsionale'!G19)</f>
        <v>262058.80000000002</v>
      </c>
      <c r="G27" s="189">
        <f>+F27*(1+'Input Previsionale'!H19)</f>
        <v>262058.80000000002</v>
      </c>
      <c r="H27" s="189">
        <f>+G27*(1+'Input Previsionale'!I19)</f>
        <v>262058.80000000002</v>
      </c>
      <c r="I27" s="189">
        <f>+H27*(1+'Input Previsionale'!J19)</f>
        <v>262058.80000000002</v>
      </c>
      <c r="J27" s="189">
        <f>+I27*(1+'Input Previsionale'!K19)</f>
        <v>262058.80000000002</v>
      </c>
      <c r="K27" s="189">
        <f>+J27*(1+'Input Previsionale'!L19)</f>
        <v>262058.80000000002</v>
      </c>
      <c r="L27" s="189">
        <f>+K27*(1+'Input Previsionale'!M19)</f>
        <v>262058.80000000002</v>
      </c>
      <c r="M27" s="189">
        <f>+L27*(1+'Input Previsionale'!N19)</f>
        <v>262058.80000000002</v>
      </c>
    </row>
    <row r="28" spans="1:13" x14ac:dyDescent="0.3">
      <c r="A28">
        <f t="shared" si="3"/>
        <v>27</v>
      </c>
      <c r="B28" s="239" t="s">
        <v>918</v>
      </c>
      <c r="C28" s="189">
        <f>HLOOKUP($C$2,'ce mcl'!$C$2:$C$44,A28,FALSE)</f>
        <v>12391.99</v>
      </c>
      <c r="D28" s="189">
        <f>+C28*(1+'Input Previsionale'!E19)</f>
        <v>12391.99</v>
      </c>
      <c r="E28" s="189">
        <f>+D28*(1+'Input Previsionale'!F19)</f>
        <v>12391.99</v>
      </c>
      <c r="F28" s="189">
        <f>+E28*(1+'Input Previsionale'!G19)</f>
        <v>12391.99</v>
      </c>
      <c r="G28" s="189">
        <f>+F28*(1+'Input Previsionale'!H19)</f>
        <v>12391.99</v>
      </c>
      <c r="H28" s="189">
        <f>+G28*(1+'Input Previsionale'!I19)</f>
        <v>12391.99</v>
      </c>
      <c r="I28" s="189">
        <f>+H28*(1+'Input Previsionale'!J19)</f>
        <v>12391.99</v>
      </c>
      <c r="J28" s="189">
        <f>+I28*(1+'Input Previsionale'!K19)</f>
        <v>12391.99</v>
      </c>
      <c r="K28" s="189">
        <f>+J28*(1+'Input Previsionale'!L19)</f>
        <v>12391.99</v>
      </c>
      <c r="L28" s="189">
        <f>+K28*(1+'Input Previsionale'!M19)</f>
        <v>12391.99</v>
      </c>
      <c r="M28" s="189">
        <f>+L28*(1+'Input Previsionale'!N19)</f>
        <v>12391.99</v>
      </c>
    </row>
    <row r="29" spans="1:13" ht="15" thickBot="1" x14ac:dyDescent="0.35">
      <c r="A29">
        <f t="shared" si="3"/>
        <v>28</v>
      </c>
      <c r="B29" s="63"/>
      <c r="C29" s="71"/>
    </row>
    <row r="30" spans="1:13" ht="15" thickBot="1" x14ac:dyDescent="0.35">
      <c r="A30">
        <f t="shared" si="3"/>
        <v>29</v>
      </c>
      <c r="B30" s="238" t="s">
        <v>919</v>
      </c>
      <c r="C30" s="241">
        <f t="shared" ref="C30:M30" si="11">+C20-C22</f>
        <v>82782.819999999949</v>
      </c>
      <c r="D30" s="242">
        <f>+D20-D22</f>
        <v>251439.32500000013</v>
      </c>
      <c r="E30" s="242">
        <f t="shared" si="11"/>
        <v>203439.32500000001</v>
      </c>
      <c r="F30" s="242">
        <f t="shared" si="11"/>
        <v>179439.32500000001</v>
      </c>
      <c r="G30" s="242">
        <f t="shared" si="11"/>
        <v>191439.32500000001</v>
      </c>
      <c r="H30" s="242">
        <f t="shared" si="11"/>
        <v>191439.32500000001</v>
      </c>
      <c r="I30" s="242">
        <f t="shared" si="11"/>
        <v>191439.32500000001</v>
      </c>
      <c r="J30" s="242">
        <f t="shared" si="11"/>
        <v>191439.32500000001</v>
      </c>
      <c r="K30" s="242">
        <f t="shared" si="11"/>
        <v>191439.32500000001</v>
      </c>
      <c r="L30" s="242">
        <f t="shared" si="11"/>
        <v>191439.32500000001</v>
      </c>
      <c r="M30" s="243">
        <f t="shared" si="11"/>
        <v>191439.32500000001</v>
      </c>
    </row>
    <row r="31" spans="1:13" ht="15" thickBot="1" x14ac:dyDescent="0.35">
      <c r="A31">
        <f t="shared" si="3"/>
        <v>30</v>
      </c>
      <c r="B31" s="6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</row>
    <row r="32" spans="1:13" ht="15" thickBot="1" x14ac:dyDescent="0.35">
      <c r="A32">
        <f t="shared" si="3"/>
        <v>31</v>
      </c>
      <c r="B32" s="244" t="s">
        <v>920</v>
      </c>
      <c r="C32" s="241">
        <f t="shared" ref="C32:M32" si="12">SUM(C33:C34)</f>
        <v>-1745.25</v>
      </c>
      <c r="D32" s="242">
        <f t="shared" si="12"/>
        <v>0</v>
      </c>
      <c r="E32" s="242">
        <f t="shared" si="12"/>
        <v>0</v>
      </c>
      <c r="F32" s="242">
        <f t="shared" si="12"/>
        <v>0</v>
      </c>
      <c r="G32" s="242">
        <f t="shared" si="12"/>
        <v>0</v>
      </c>
      <c r="H32" s="242">
        <f t="shared" si="12"/>
        <v>0</v>
      </c>
      <c r="I32" s="242">
        <f t="shared" si="12"/>
        <v>0</v>
      </c>
      <c r="J32" s="242">
        <f t="shared" si="12"/>
        <v>0</v>
      </c>
      <c r="K32" s="242">
        <f t="shared" si="12"/>
        <v>0</v>
      </c>
      <c r="L32" s="242">
        <f t="shared" si="12"/>
        <v>0</v>
      </c>
      <c r="M32" s="243">
        <f t="shared" si="12"/>
        <v>0</v>
      </c>
    </row>
    <row r="33" spans="1:13" x14ac:dyDescent="0.3">
      <c r="A33">
        <f t="shared" si="3"/>
        <v>32</v>
      </c>
      <c r="B33" s="239" t="s">
        <v>1180</v>
      </c>
      <c r="C33" s="189">
        <f>HLOOKUP($C$2,'ce mcl'!$C$2:$C$44,A33,FALSE)</f>
        <v>0</v>
      </c>
      <c r="D33" s="189">
        <v>0</v>
      </c>
      <c r="E33" s="189">
        <v>0</v>
      </c>
      <c r="F33" s="189">
        <v>0</v>
      </c>
      <c r="G33" s="189">
        <v>0</v>
      </c>
      <c r="H33" s="189">
        <v>0</v>
      </c>
      <c r="I33" s="189">
        <v>0</v>
      </c>
      <c r="J33" s="189">
        <v>0</v>
      </c>
      <c r="K33" s="189">
        <v>0</v>
      </c>
      <c r="L33" s="189">
        <v>0</v>
      </c>
      <c r="M33" s="189">
        <v>0</v>
      </c>
    </row>
    <row r="34" spans="1:13" x14ac:dyDescent="0.3">
      <c r="A34">
        <f t="shared" si="3"/>
        <v>33</v>
      </c>
      <c r="B34" s="239" t="s">
        <v>1181</v>
      </c>
      <c r="C34" s="189">
        <f>HLOOKUP($C$2,'ce mcl'!$C$2:$C$44,A34,FALSE)</f>
        <v>-1745.25</v>
      </c>
      <c r="D34" s="189">
        <v>0</v>
      </c>
      <c r="E34" s="189">
        <v>0</v>
      </c>
      <c r="F34" s="189">
        <v>0</v>
      </c>
      <c r="G34" s="189">
        <v>0</v>
      </c>
      <c r="H34" s="189">
        <v>0</v>
      </c>
      <c r="I34" s="189">
        <v>0</v>
      </c>
      <c r="J34" s="189">
        <v>0</v>
      </c>
      <c r="K34" s="189">
        <v>0</v>
      </c>
      <c r="L34" s="189">
        <v>0</v>
      </c>
      <c r="M34" s="189">
        <v>0</v>
      </c>
    </row>
    <row r="35" spans="1:13" x14ac:dyDescent="0.3">
      <c r="A35">
        <f t="shared" si="3"/>
        <v>34</v>
      </c>
      <c r="B35" s="63"/>
      <c r="C35" s="71"/>
    </row>
    <row r="36" spans="1:13" ht="15" thickBot="1" x14ac:dyDescent="0.35">
      <c r="A36">
        <f t="shared" si="3"/>
        <v>35</v>
      </c>
      <c r="B36" s="63"/>
      <c r="C36" s="71"/>
    </row>
    <row r="37" spans="1:13" ht="15" thickBot="1" x14ac:dyDescent="0.35">
      <c r="A37">
        <f t="shared" si="3"/>
        <v>36</v>
      </c>
      <c r="B37" s="244" t="s">
        <v>923</v>
      </c>
      <c r="C37" s="241">
        <f t="shared" ref="C37:M37" si="13">+C38</f>
        <v>-51731.060000000005</v>
      </c>
      <c r="D37" s="242">
        <f t="shared" si="13"/>
        <v>0</v>
      </c>
      <c r="E37" s="242">
        <f t="shared" si="13"/>
        <v>0</v>
      </c>
      <c r="F37" s="242">
        <f t="shared" si="13"/>
        <v>0</v>
      </c>
      <c r="G37" s="242">
        <f t="shared" si="13"/>
        <v>0</v>
      </c>
      <c r="H37" s="242">
        <f t="shared" si="13"/>
        <v>0</v>
      </c>
      <c r="I37" s="242">
        <f t="shared" si="13"/>
        <v>0</v>
      </c>
      <c r="J37" s="242">
        <f t="shared" si="13"/>
        <v>0</v>
      </c>
      <c r="K37" s="242">
        <f t="shared" si="13"/>
        <v>0</v>
      </c>
      <c r="L37" s="242">
        <f t="shared" si="13"/>
        <v>0</v>
      </c>
      <c r="M37" s="243">
        <f t="shared" si="13"/>
        <v>0</v>
      </c>
    </row>
    <row r="38" spans="1:13" x14ac:dyDescent="0.3">
      <c r="A38">
        <f t="shared" si="3"/>
        <v>37</v>
      </c>
      <c r="B38" s="239" t="s">
        <v>1182</v>
      </c>
      <c r="C38" s="189">
        <f>HLOOKUP($C$2,'ce mcl'!$C$2:$C$44,A38,FALSE)</f>
        <v>-51731.060000000005</v>
      </c>
      <c r="D38" s="189">
        <f>-'Scheda Debiti'!E6-'Input Previsionale'!E26</f>
        <v>0</v>
      </c>
      <c r="E38" s="189">
        <f>-'Scheda Debiti'!F6-'Input Previsionale'!F26</f>
        <v>0</v>
      </c>
      <c r="F38" s="189">
        <f>-'Scheda Debiti'!G6-'Input Previsionale'!G26</f>
        <v>0</v>
      </c>
      <c r="G38" s="189">
        <f>-'Scheda Debiti'!H6-'Input Previsionale'!H26</f>
        <v>0</v>
      </c>
      <c r="H38" s="189">
        <f>-'Scheda Debiti'!I6-'Input Previsionale'!I26</f>
        <v>0</v>
      </c>
      <c r="I38" s="189">
        <f>-'Scheda Debiti'!J6-'Input Previsionale'!J26</f>
        <v>0</v>
      </c>
      <c r="J38" s="189">
        <f>-'Scheda Debiti'!K6-'Input Previsionale'!K26</f>
        <v>0</v>
      </c>
      <c r="K38" s="189">
        <f>-'Scheda Debiti'!L6-'Input Previsionale'!L26</f>
        <v>0</v>
      </c>
      <c r="L38" s="189">
        <f>-'Scheda Debiti'!M6-'Input Previsionale'!M26</f>
        <v>0</v>
      </c>
      <c r="M38" s="189">
        <f>-'Scheda Debiti'!N6-'Input Previsionale'!N26</f>
        <v>0</v>
      </c>
    </row>
    <row r="39" spans="1:13" ht="15" thickBot="1" x14ac:dyDescent="0.35">
      <c r="A39">
        <f t="shared" si="3"/>
        <v>38</v>
      </c>
      <c r="B39" s="63"/>
      <c r="C39" s="71"/>
    </row>
    <row r="40" spans="1:13" ht="15" thickBot="1" x14ac:dyDescent="0.35">
      <c r="A40">
        <f t="shared" si="3"/>
        <v>39</v>
      </c>
      <c r="B40" s="238" t="s">
        <v>925</v>
      </c>
      <c r="C40" s="241">
        <f t="shared" ref="C40:M40" si="14">+C30+C32+C37</f>
        <v>29306.509999999944</v>
      </c>
      <c r="D40" s="242">
        <f t="shared" si="14"/>
        <v>251439.32500000013</v>
      </c>
      <c r="E40" s="242">
        <f t="shared" si="14"/>
        <v>203439.32500000001</v>
      </c>
      <c r="F40" s="242">
        <f t="shared" si="14"/>
        <v>179439.32500000001</v>
      </c>
      <c r="G40" s="242">
        <f t="shared" si="14"/>
        <v>191439.32500000001</v>
      </c>
      <c r="H40" s="242">
        <f t="shared" si="14"/>
        <v>191439.32500000001</v>
      </c>
      <c r="I40" s="242">
        <f t="shared" si="14"/>
        <v>191439.32500000001</v>
      </c>
      <c r="J40" s="242">
        <f t="shared" si="14"/>
        <v>191439.32500000001</v>
      </c>
      <c r="K40" s="242">
        <f t="shared" si="14"/>
        <v>191439.32500000001</v>
      </c>
      <c r="L40" s="242">
        <f t="shared" si="14"/>
        <v>191439.32500000001</v>
      </c>
      <c r="M40" s="243">
        <f t="shared" si="14"/>
        <v>191439.32500000001</v>
      </c>
    </row>
    <row r="41" spans="1:13" x14ac:dyDescent="0.3">
      <c r="A41">
        <f t="shared" si="3"/>
        <v>40</v>
      </c>
      <c r="B41" s="73"/>
      <c r="C41" s="74"/>
    </row>
    <row r="42" spans="1:13" x14ac:dyDescent="0.3">
      <c r="A42">
        <f t="shared" si="3"/>
        <v>41</v>
      </c>
      <c r="B42" s="239" t="s">
        <v>926</v>
      </c>
      <c r="C42" s="189">
        <f>HLOOKUP($C$2,'ce mcl'!$C$2:$C$44,A42,FALSE)</f>
        <v>15717.7</v>
      </c>
      <c r="D42" s="189">
        <f>+Calcoli!C132+Calcoli!C138</f>
        <v>81381.042600000044</v>
      </c>
      <c r="E42" s="189">
        <f>+Calcoli!D132+Calcoli!D138</f>
        <v>67941.042600000001</v>
      </c>
      <c r="F42" s="189">
        <f>+Calcoli!E132+Calcoli!E138</f>
        <v>61221.042600000001</v>
      </c>
      <c r="G42" s="189">
        <f>+Calcoli!F132+Calcoli!F138</f>
        <v>64581.042600000001</v>
      </c>
      <c r="H42" s="189">
        <f>+Calcoli!G132+Calcoli!G138</f>
        <v>64581.042600000001</v>
      </c>
      <c r="I42" s="189">
        <f>+Calcoli!H132+Calcoli!H138</f>
        <v>64581.042600000001</v>
      </c>
      <c r="J42" s="189">
        <f>+Calcoli!I132+Calcoli!I138</f>
        <v>64581.042600000001</v>
      </c>
      <c r="K42" s="189">
        <f>+Calcoli!J132+Calcoli!J138</f>
        <v>64581.042600000001</v>
      </c>
      <c r="L42" s="189">
        <f>+Calcoli!K132+Calcoli!K138</f>
        <v>64581.042600000001</v>
      </c>
      <c r="M42" s="189">
        <f>+Calcoli!L132+Calcoli!L138</f>
        <v>64581.042600000001</v>
      </c>
    </row>
    <row r="43" spans="1:13" ht="15" thickBot="1" x14ac:dyDescent="0.35">
      <c r="A43">
        <f t="shared" si="3"/>
        <v>42</v>
      </c>
      <c r="B43" s="63"/>
      <c r="C43" s="71"/>
    </row>
    <row r="44" spans="1:13" ht="15" thickBot="1" x14ac:dyDescent="0.35">
      <c r="A44">
        <f t="shared" si="3"/>
        <v>43</v>
      </c>
      <c r="B44" s="238" t="s">
        <v>927</v>
      </c>
      <c r="C44" s="241">
        <f t="shared" ref="C44:M44" si="15">+C40-C42</f>
        <v>13588.809999999943</v>
      </c>
      <c r="D44" s="242">
        <f t="shared" si="15"/>
        <v>170058.28240000008</v>
      </c>
      <c r="E44" s="242">
        <f t="shared" si="15"/>
        <v>135498.28240000003</v>
      </c>
      <c r="F44" s="242">
        <f t="shared" si="15"/>
        <v>118218.28240000001</v>
      </c>
      <c r="G44" s="242">
        <f t="shared" si="15"/>
        <v>126858.28240000001</v>
      </c>
      <c r="H44" s="242">
        <f t="shared" si="15"/>
        <v>126858.28240000001</v>
      </c>
      <c r="I44" s="242">
        <f t="shared" si="15"/>
        <v>126858.28240000001</v>
      </c>
      <c r="J44" s="242">
        <f t="shared" si="15"/>
        <v>126858.28240000001</v>
      </c>
      <c r="K44" s="242">
        <f t="shared" si="15"/>
        <v>126858.28240000001</v>
      </c>
      <c r="L44" s="242">
        <f t="shared" si="15"/>
        <v>126858.28240000001</v>
      </c>
      <c r="M44" s="243">
        <f t="shared" si="15"/>
        <v>126858.28240000001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showGridLines="0" topLeftCell="A49" workbookViewId="0">
      <selection activeCell="C60" sqref="C60"/>
    </sheetView>
  </sheetViews>
  <sheetFormatPr defaultColWidth="8.6640625" defaultRowHeight="14.4" x14ac:dyDescent="0.3"/>
  <cols>
    <col min="3" max="3" width="75.44140625" bestFit="1" customWidth="1"/>
    <col min="4" max="12" width="12.44140625" style="57" customWidth="1"/>
    <col min="13" max="13" width="10.5546875" bestFit="1" customWidth="1"/>
  </cols>
  <sheetData>
    <row r="1" spans="1:14" x14ac:dyDescent="0.3">
      <c r="C1" s="9" t="s">
        <v>78</v>
      </c>
    </row>
    <row r="2" spans="1:14" x14ac:dyDescent="0.3">
      <c r="D2" s="192">
        <f>+Menu!C4</f>
        <v>2016</v>
      </c>
      <c r="E2" s="192">
        <f>+D2+1</f>
        <v>2017</v>
      </c>
      <c r="F2" s="192">
        <f>+E2+1</f>
        <v>2018</v>
      </c>
      <c r="G2" s="192">
        <f>+F2+1</f>
        <v>2019</v>
      </c>
      <c r="H2" s="192">
        <f>+G2+1</f>
        <v>2020</v>
      </c>
      <c r="I2" s="192">
        <f t="shared" ref="I2:M2" si="0">+H2+1</f>
        <v>2021</v>
      </c>
      <c r="J2" s="192">
        <f t="shared" si="0"/>
        <v>2022</v>
      </c>
      <c r="K2" s="192">
        <f t="shared" si="0"/>
        <v>2023</v>
      </c>
      <c r="L2" s="192">
        <f t="shared" si="0"/>
        <v>2024</v>
      </c>
      <c r="M2" s="192">
        <f t="shared" si="0"/>
        <v>2025</v>
      </c>
    </row>
    <row r="3" spans="1:14" x14ac:dyDescent="0.3"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4" x14ac:dyDescent="0.3">
      <c r="M4" s="57"/>
    </row>
    <row r="5" spans="1:14" x14ac:dyDescent="0.3">
      <c r="A5" s="238" t="s">
        <v>965</v>
      </c>
      <c r="B5" s="238"/>
      <c r="C5" s="23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4" ht="14.4" customHeight="1" x14ac:dyDescent="0.3">
      <c r="B6" s="238" t="s">
        <v>966</v>
      </c>
      <c r="C6" s="238"/>
      <c r="M6" s="57"/>
    </row>
    <row r="7" spans="1:14" ht="15" thickBot="1" x14ac:dyDescent="0.35">
      <c r="M7" s="57"/>
    </row>
    <row r="8" spans="1:14" ht="15" thickBot="1" x14ac:dyDescent="0.35">
      <c r="C8" s="238" t="s">
        <v>967</v>
      </c>
      <c r="D8" s="241">
        <f>+CE!G91</f>
        <v>13588.81000000006</v>
      </c>
      <c r="E8" s="242">
        <f>+'CE Previsionale'!D44</f>
        <v>170058.28240000008</v>
      </c>
      <c r="F8" s="242">
        <f>+'CE Previsionale'!E44</f>
        <v>135498.28240000003</v>
      </c>
      <c r="G8" s="242">
        <f>+'CE Previsionale'!F44</f>
        <v>118218.28240000001</v>
      </c>
      <c r="H8" s="242">
        <f>+'CE Previsionale'!G44</f>
        <v>126858.28240000001</v>
      </c>
      <c r="I8" s="242">
        <f>+'CE Previsionale'!H44</f>
        <v>126858.28240000001</v>
      </c>
      <c r="J8" s="242">
        <f>+'CE Previsionale'!I44</f>
        <v>126858.28240000001</v>
      </c>
      <c r="K8" s="242">
        <f>+'CE Previsionale'!J44</f>
        <v>126858.28240000001</v>
      </c>
      <c r="L8" s="242">
        <f>+'CE Previsionale'!K44</f>
        <v>126858.28240000001</v>
      </c>
      <c r="M8" s="242">
        <f>+'CE Previsionale'!L44</f>
        <v>126858.28240000001</v>
      </c>
      <c r="N8" s="243"/>
    </row>
    <row r="9" spans="1:14" x14ac:dyDescent="0.3">
      <c r="C9" s="239" t="s">
        <v>968</v>
      </c>
      <c r="D9" s="189">
        <f>+CE!G90</f>
        <v>15717.7</v>
      </c>
      <c r="E9" s="189">
        <f>+'CE Previsionale'!D42</f>
        <v>81381.042600000044</v>
      </c>
      <c r="F9" s="189">
        <f>+'CE Previsionale'!E42</f>
        <v>67941.042600000001</v>
      </c>
      <c r="G9" s="189">
        <f>+'CE Previsionale'!F42</f>
        <v>61221.042600000001</v>
      </c>
      <c r="H9" s="189">
        <f>+'CE Previsionale'!G42</f>
        <v>64581.042600000001</v>
      </c>
      <c r="I9" s="189">
        <f>+'CE Previsionale'!H42</f>
        <v>64581.042600000001</v>
      </c>
      <c r="J9" s="189">
        <f>+'CE Previsionale'!I42</f>
        <v>64581.042600000001</v>
      </c>
      <c r="K9" s="189">
        <f>+'CE Previsionale'!J42</f>
        <v>64581.042600000001</v>
      </c>
      <c r="L9" s="189">
        <f>+'CE Previsionale'!K42</f>
        <v>64581.042600000001</v>
      </c>
      <c r="M9" s="189">
        <f>+'CE Previsionale'!L42</f>
        <v>64581.042600000001</v>
      </c>
    </row>
    <row r="10" spans="1:14" x14ac:dyDescent="0.3">
      <c r="C10" s="239" t="s">
        <v>969</v>
      </c>
      <c r="D10" s="189">
        <f>-CE!G69</f>
        <v>51731.060000000005</v>
      </c>
      <c r="E10" s="189">
        <f>-'CE Previsionale'!D37</f>
        <v>0</v>
      </c>
      <c r="F10" s="189">
        <f>-'CE Previsionale'!E37</f>
        <v>0</v>
      </c>
      <c r="G10" s="189">
        <f>-'CE Previsionale'!F37</f>
        <v>0</v>
      </c>
      <c r="H10" s="189">
        <f>-'CE Previsionale'!G37</f>
        <v>0</v>
      </c>
      <c r="I10" s="189">
        <f>-'CE Previsionale'!H37</f>
        <v>0</v>
      </c>
      <c r="J10" s="189">
        <f>-'CE Previsionale'!I37</f>
        <v>0</v>
      </c>
      <c r="K10" s="189">
        <f>-'CE Previsionale'!J37</f>
        <v>0</v>
      </c>
      <c r="L10" s="189">
        <f>-'CE Previsionale'!K37</f>
        <v>0</v>
      </c>
      <c r="M10" s="189">
        <f>-'CE Previsionale'!L37</f>
        <v>0</v>
      </c>
    </row>
    <row r="11" spans="1:14" x14ac:dyDescent="0.3">
      <c r="C11" s="239" t="s">
        <v>970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4" ht="15" thickBot="1" x14ac:dyDescent="0.35">
      <c r="C12" s="239" t="s">
        <v>971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spans="1:14" ht="28.8" thickBot="1" x14ac:dyDescent="0.35">
      <c r="C13" s="245" t="s">
        <v>972</v>
      </c>
      <c r="D13" s="241">
        <f>SUM(D8:D12)</f>
        <v>81037.570000000065</v>
      </c>
      <c r="E13" s="241">
        <f t="shared" ref="E13" si="1">SUM(E8:E12)</f>
        <v>251439.32500000013</v>
      </c>
      <c r="F13" s="241">
        <f t="shared" ref="F13:G13" si="2">SUM(F8:F12)</f>
        <v>203439.32500000001</v>
      </c>
      <c r="G13" s="241">
        <f t="shared" si="2"/>
        <v>179439.32500000001</v>
      </c>
      <c r="H13" s="241">
        <f t="shared" ref="H13:L13" si="3">SUM(H8:H12)</f>
        <v>191439.32500000001</v>
      </c>
      <c r="I13" s="241">
        <f t="shared" si="3"/>
        <v>191439.32500000001</v>
      </c>
      <c r="J13" s="241">
        <f t="shared" si="3"/>
        <v>191439.32500000001</v>
      </c>
      <c r="K13" s="241">
        <f t="shared" si="3"/>
        <v>191439.32500000001</v>
      </c>
      <c r="L13" s="241">
        <f t="shared" si="3"/>
        <v>191439.32500000001</v>
      </c>
      <c r="M13" s="241">
        <f t="shared" ref="M13" si="4">SUM(M8:M12)</f>
        <v>191439.32500000001</v>
      </c>
    </row>
    <row r="14" spans="1:14" x14ac:dyDescent="0.3">
      <c r="D14" s="59"/>
      <c r="E14" s="59"/>
      <c r="F14" s="59"/>
      <c r="G14" s="59"/>
      <c r="H14" s="59"/>
      <c r="I14" s="59"/>
      <c r="J14" s="59"/>
      <c r="K14" s="59"/>
      <c r="L14" s="59"/>
      <c r="M14" s="59"/>
    </row>
    <row r="15" spans="1:14" ht="19.8" customHeight="1" x14ac:dyDescent="0.3">
      <c r="A15" s="238" t="s">
        <v>973</v>
      </c>
      <c r="B15" s="238"/>
      <c r="C15" s="246"/>
      <c r="D15" s="59"/>
      <c r="E15" s="59"/>
      <c r="F15" s="59"/>
      <c r="G15" s="59"/>
      <c r="H15" s="59"/>
      <c r="I15" s="59"/>
      <c r="J15" s="59"/>
      <c r="K15" s="59"/>
      <c r="L15" s="59"/>
      <c r="M15" s="59"/>
    </row>
    <row r="16" spans="1:14" x14ac:dyDescent="0.3">
      <c r="C16" s="239" t="s">
        <v>974</v>
      </c>
      <c r="D16" s="189">
        <f>+CE!G36+CE!G35+CE!G25+CE!G24</f>
        <v>12391.99</v>
      </c>
      <c r="E16" s="189">
        <f>+'CE Previsionale'!D28+'CE Previsionale'!D26</f>
        <v>12391.99</v>
      </c>
      <c r="F16" s="189">
        <f>+'CE Previsionale'!E28+'CE Previsionale'!E26</f>
        <v>12391.99</v>
      </c>
      <c r="G16" s="189">
        <f>+'CE Previsionale'!F28+'CE Previsionale'!F26</f>
        <v>12391.99</v>
      </c>
      <c r="H16" s="189">
        <f>+'CE Previsionale'!G28+'CE Previsionale'!G26</f>
        <v>12391.99</v>
      </c>
      <c r="I16" s="189">
        <f>+'CE Previsionale'!H28+'CE Previsionale'!H26</f>
        <v>12391.99</v>
      </c>
      <c r="J16" s="189">
        <f>+'CE Previsionale'!I28+'CE Previsionale'!I26</f>
        <v>12391.99</v>
      </c>
      <c r="K16" s="189">
        <f>+'CE Previsionale'!J28+'CE Previsionale'!J26</f>
        <v>12391.99</v>
      </c>
      <c r="L16" s="189">
        <f>+'CE Previsionale'!K28+'CE Previsionale'!K26</f>
        <v>12391.99</v>
      </c>
      <c r="M16" s="189">
        <f>+'CE Previsionale'!L28+'CE Previsionale'!L26</f>
        <v>12391.99</v>
      </c>
    </row>
    <row r="17" spans="1:13" x14ac:dyDescent="0.3">
      <c r="C17" s="239" t="s">
        <v>975</v>
      </c>
      <c r="D17" s="189">
        <f>+CE!G30+CE!G29</f>
        <v>204533.31</v>
      </c>
      <c r="E17" s="189">
        <f>+'CE Previsionale'!D23+'CE Previsionale'!D24</f>
        <v>0</v>
      </c>
      <c r="F17" s="189">
        <f>+'CE Previsionale'!E23+'CE Previsionale'!E24</f>
        <v>0</v>
      </c>
      <c r="G17" s="189">
        <f>+'CE Previsionale'!F23+'CE Previsionale'!F24</f>
        <v>0</v>
      </c>
      <c r="H17" s="189">
        <f>+'CE Previsionale'!G23+'CE Previsionale'!G24</f>
        <v>0</v>
      </c>
      <c r="I17" s="189">
        <f>+'CE Previsionale'!H23+'CE Previsionale'!H24</f>
        <v>0</v>
      </c>
      <c r="J17" s="189">
        <f>+'CE Previsionale'!I23+'CE Previsionale'!I24</f>
        <v>0</v>
      </c>
      <c r="K17" s="189">
        <f>+'CE Previsionale'!J23+'CE Previsionale'!J24</f>
        <v>0</v>
      </c>
      <c r="L17" s="189">
        <f>+'CE Previsionale'!K23+'CE Previsionale'!K24</f>
        <v>0</v>
      </c>
      <c r="M17" s="189">
        <f>+'CE Previsionale'!L23+'CE Previsionale'!L24</f>
        <v>0</v>
      </c>
    </row>
    <row r="18" spans="1:13" x14ac:dyDescent="0.3">
      <c r="C18" s="239" t="s">
        <v>976</v>
      </c>
      <c r="D18" s="189">
        <f>-CE!G83</f>
        <v>0</v>
      </c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ht="15" thickBot="1" x14ac:dyDescent="0.35">
      <c r="C19" s="239" t="s">
        <v>977</v>
      </c>
      <c r="D19" s="189">
        <f>+CE!G31+CE!G32</f>
        <v>1745.25</v>
      </c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ht="15" thickBot="1" x14ac:dyDescent="0.35">
      <c r="C20" s="245" t="s">
        <v>978</v>
      </c>
      <c r="D20" s="241">
        <f>+SUM(D16:D19)</f>
        <v>218670.55</v>
      </c>
      <c r="E20" s="241">
        <f t="shared" ref="E20" si="5">+SUM(E16:E19)</f>
        <v>12391.99</v>
      </c>
      <c r="F20" s="241">
        <f t="shared" ref="F20:G20" si="6">+SUM(F16:F19)</f>
        <v>12391.99</v>
      </c>
      <c r="G20" s="241">
        <f t="shared" si="6"/>
        <v>12391.99</v>
      </c>
      <c r="H20" s="241">
        <f t="shared" ref="H20:L20" si="7">+SUM(H16:H19)</f>
        <v>12391.99</v>
      </c>
      <c r="I20" s="241">
        <f t="shared" si="7"/>
        <v>12391.99</v>
      </c>
      <c r="J20" s="241">
        <f t="shared" si="7"/>
        <v>12391.99</v>
      </c>
      <c r="K20" s="241">
        <f t="shared" si="7"/>
        <v>12391.99</v>
      </c>
      <c r="L20" s="241">
        <f t="shared" si="7"/>
        <v>12391.99</v>
      </c>
      <c r="M20" s="241">
        <f t="shared" ref="M20" si="8">+SUM(M16:M19)</f>
        <v>12391.99</v>
      </c>
    </row>
    <row r="21" spans="1:13" x14ac:dyDescent="0.3">
      <c r="C21" s="61"/>
      <c r="D21" s="59"/>
      <c r="E21" s="59"/>
      <c r="F21" s="59"/>
      <c r="G21" s="59"/>
      <c r="H21" s="59"/>
      <c r="I21" s="59"/>
      <c r="J21" s="59"/>
      <c r="K21" s="59"/>
      <c r="L21" s="59"/>
      <c r="M21" s="59"/>
    </row>
    <row r="22" spans="1:13" ht="14.4" customHeight="1" x14ac:dyDescent="0.3">
      <c r="A22" s="238"/>
      <c r="B22" s="238" t="s">
        <v>979</v>
      </c>
      <c r="C22" s="246" t="s">
        <v>979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</row>
    <row r="23" spans="1:13" x14ac:dyDescent="0.3">
      <c r="C23" s="239" t="s">
        <v>980</v>
      </c>
      <c r="D23" s="189">
        <f>+SP!G70-SP!H70</f>
        <v>43716.209999999992</v>
      </c>
      <c r="E23" s="189">
        <f>+'SP Previsionale'!D13-'SP Previsionale'!E13</f>
        <v>7969.0899999999965</v>
      </c>
      <c r="F23" s="189">
        <f>+'SP Previsionale'!E13-'SP Previsionale'!F13</f>
        <v>-40000</v>
      </c>
      <c r="G23" s="189">
        <f>+'SP Previsionale'!F13-'SP Previsionale'!G13</f>
        <v>40000</v>
      </c>
      <c r="H23" s="189">
        <f>+'SP Previsionale'!G13-'SP Previsionale'!H13</f>
        <v>0</v>
      </c>
      <c r="I23" s="189">
        <f>+'SP Previsionale'!H13-'SP Previsionale'!I13</f>
        <v>0</v>
      </c>
      <c r="J23" s="189">
        <f>+'SP Previsionale'!I13-'SP Previsionale'!J13</f>
        <v>0</v>
      </c>
      <c r="K23" s="189">
        <f>+'SP Previsionale'!J13-'SP Previsionale'!K13</f>
        <v>0</v>
      </c>
      <c r="L23" s="189">
        <f>+'SP Previsionale'!K13-'SP Previsionale'!L13</f>
        <v>0</v>
      </c>
      <c r="M23" s="189">
        <f>+'SP Previsionale'!L13-'SP Previsionale'!M13</f>
        <v>0</v>
      </c>
    </row>
    <row r="24" spans="1:13" x14ac:dyDescent="0.3">
      <c r="C24" s="239" t="s">
        <v>981</v>
      </c>
      <c r="D24" s="189">
        <f>+SP!G75-SP!H75</f>
        <v>-60848.469999999972</v>
      </c>
      <c r="E24" s="189">
        <f>+'SP Previsionale'!D8-'SP Previsionale'!E8</f>
        <v>-66739.327350000036</v>
      </c>
      <c r="F24" s="189">
        <f>+'SP Previsionale'!E8-'SP Previsionale'!F8</f>
        <v>0</v>
      </c>
      <c r="G24" s="189">
        <f>+'SP Previsionale'!F8-'SP Previsionale'!G8</f>
        <v>0</v>
      </c>
      <c r="H24" s="189">
        <f>+'SP Previsionale'!G8-'SP Previsionale'!H8</f>
        <v>410502.32735000004</v>
      </c>
      <c r="I24" s="189">
        <f>+'SP Previsionale'!H8-'SP Previsionale'!I8</f>
        <v>0</v>
      </c>
      <c r="J24" s="189">
        <f>+'SP Previsionale'!I8-'SP Previsionale'!J8</f>
        <v>0</v>
      </c>
      <c r="K24" s="189">
        <f>+'SP Previsionale'!J8-'SP Previsionale'!K8</f>
        <v>0</v>
      </c>
      <c r="L24" s="189">
        <f>+'SP Previsionale'!K8-'SP Previsionale'!L8</f>
        <v>0</v>
      </c>
      <c r="M24" s="189">
        <f>+'SP Previsionale'!L8-'SP Previsionale'!M8</f>
        <v>0</v>
      </c>
    </row>
    <row r="25" spans="1:13" x14ac:dyDescent="0.3">
      <c r="C25" s="239" t="s">
        <v>982</v>
      </c>
      <c r="D25" s="189">
        <f>+SP!H199+SP!H195-SP!G195-SP!G199</f>
        <v>16961.890000000014</v>
      </c>
      <c r="E25" s="189">
        <f>+'SP Previsionale'!E41-'SP Previsionale'!D41</f>
        <v>-114036.49195950004</v>
      </c>
      <c r="F25" s="189">
        <f>+'SP Previsionale'!F41-'SP Previsionale'!E41</f>
        <v>19513.714966666681</v>
      </c>
      <c r="G25" s="189">
        <f>+'SP Previsionale'!G41-'SP Previsionale'!F41</f>
        <v>-11386.666666666672</v>
      </c>
      <c r="H25" s="189">
        <f>+'SP Previsionale'!H41-'SP Previsionale'!G41</f>
        <v>5693.3333333333576</v>
      </c>
      <c r="I25" s="189">
        <f>+'SP Previsionale'!I41-'SP Previsionale'!H41</f>
        <v>0</v>
      </c>
      <c r="J25" s="189">
        <f>+'SP Previsionale'!J41-'SP Previsionale'!I41</f>
        <v>0</v>
      </c>
      <c r="K25" s="189">
        <f>+'SP Previsionale'!K41-'SP Previsionale'!J41</f>
        <v>0</v>
      </c>
      <c r="L25" s="189">
        <f>+'SP Previsionale'!L41-'SP Previsionale'!K41</f>
        <v>0</v>
      </c>
      <c r="M25" s="189">
        <f>+'SP Previsionale'!M41-'SP Previsionale'!L41</f>
        <v>0</v>
      </c>
    </row>
    <row r="26" spans="1:13" x14ac:dyDescent="0.3">
      <c r="C26" s="239" t="s">
        <v>983</v>
      </c>
      <c r="D26" s="189">
        <f>+SP!G123-SP!H123</f>
        <v>-3037.2799999999988</v>
      </c>
      <c r="E26" s="189">
        <f>+'SP Previsionale'!D10-'SP Previsionale'!E10</f>
        <v>0</v>
      </c>
      <c r="F26" s="189">
        <f>+'SP Previsionale'!E10-'SP Previsionale'!F10</f>
        <v>0</v>
      </c>
      <c r="G26" s="189">
        <f>+'SP Previsionale'!F10-'SP Previsionale'!G10</f>
        <v>0</v>
      </c>
      <c r="H26" s="189">
        <f>+'SP Previsionale'!G10-'SP Previsionale'!H10</f>
        <v>0</v>
      </c>
      <c r="I26" s="189">
        <f>+'SP Previsionale'!H10-'SP Previsionale'!I10</f>
        <v>0</v>
      </c>
      <c r="J26" s="189">
        <f>+'SP Previsionale'!I10-'SP Previsionale'!J10</f>
        <v>0</v>
      </c>
      <c r="K26" s="189">
        <f>+'SP Previsionale'!J10-'SP Previsionale'!K10</f>
        <v>0</v>
      </c>
      <c r="L26" s="189">
        <f>+'SP Previsionale'!K10-'SP Previsionale'!L10</f>
        <v>0</v>
      </c>
      <c r="M26" s="189">
        <f>+'SP Previsionale'!L10-'SP Previsionale'!M10</f>
        <v>0</v>
      </c>
    </row>
    <row r="27" spans="1:13" x14ac:dyDescent="0.3">
      <c r="C27" s="239" t="s">
        <v>984</v>
      </c>
      <c r="D27" s="189">
        <f>+SP!H236-SP!G236</f>
        <v>-66467.98000000001</v>
      </c>
      <c r="E27" s="189">
        <f>+'SP Previsionale'!E45-'SP Previsionale'!D45</f>
        <v>-17907</v>
      </c>
      <c r="F27" s="189">
        <f>+'SP Previsionale'!F45-'SP Previsionale'!E45</f>
        <v>0</v>
      </c>
      <c r="G27" s="189">
        <f>+'SP Previsionale'!G45-'SP Previsionale'!F45</f>
        <v>0</v>
      </c>
      <c r="H27" s="189">
        <f>+'SP Previsionale'!H45-'SP Previsionale'!G45</f>
        <v>0</v>
      </c>
      <c r="I27" s="189">
        <f>+'SP Previsionale'!I45-'SP Previsionale'!H45</f>
        <v>0</v>
      </c>
      <c r="J27" s="189">
        <f>+'SP Previsionale'!J45-'SP Previsionale'!I45</f>
        <v>0</v>
      </c>
      <c r="K27" s="189">
        <f>+'SP Previsionale'!K45-'SP Previsionale'!J45</f>
        <v>0</v>
      </c>
      <c r="L27" s="189">
        <f>+'SP Previsionale'!L45-'SP Previsionale'!K45</f>
        <v>0</v>
      </c>
      <c r="M27" s="189">
        <f>+'SP Previsionale'!M45-'SP Previsionale'!L45</f>
        <v>0</v>
      </c>
    </row>
    <row r="28" spans="1:13" ht="15" thickBot="1" x14ac:dyDescent="0.35">
      <c r="C28" s="239" t="s">
        <v>985</v>
      </c>
      <c r="D28" s="189">
        <f>+SP!G77-SP!H77+SP!G81-SP!H81+SP!G85-SP!H85+SP!G89-SP!H89+SP!G93-SP!H93+SP!G97-SP!H97+SP!G101-SP!H101+SP!H173-SP!G173+SP!H177-SP!G177+SP!H181-SP!G181+SP!H189-SP!G189+SP!H201-SP!G201+SP!H205-SP!G205+SP!H209-SP!G209+SP!H213-SP!G213+SP!H217-SP!G217+SP!H229-SP!G229+SP!H225-SP!G225</f>
        <v>13637.670000000022</v>
      </c>
      <c r="E28" s="189">
        <f>+'SP Previsionale'!D9+'SP Previsionale'!D11-'SP Previsionale'!E9-'SP Previsionale'!E11+'SP Previsionale'!E42+'SP Previsionale'!E44-'SP Previsionale'!D42-'SP Previsionale'!D44</f>
        <v>-149006.95739999996</v>
      </c>
      <c r="F28" s="189">
        <f>+'SP Previsionale'!E9+'SP Previsionale'!E11-'SP Previsionale'!F9-'SP Previsionale'!F11+'SP Previsionale'!F42+'SP Previsionale'!F44-'SP Previsionale'!E42-'SP Previsionale'!E44</f>
        <v>-13440.000000000058</v>
      </c>
      <c r="G28" s="189">
        <f>+'SP Previsionale'!F9+'SP Previsionale'!F11-'SP Previsionale'!G9-'SP Previsionale'!G11+'SP Previsionale'!G42+'SP Previsionale'!G44-'SP Previsionale'!F42-'SP Previsionale'!F44</f>
        <v>-6719.9999999999418</v>
      </c>
      <c r="H28" s="189">
        <f>+'SP Previsionale'!G9+'SP Previsionale'!G11-'SP Previsionale'!H9-'SP Previsionale'!H11+'SP Previsionale'!H42+'SP Previsionale'!H44-'SP Previsionale'!G42-'SP Previsionale'!G44</f>
        <v>3360</v>
      </c>
      <c r="I28" s="189">
        <f>+'SP Previsionale'!H9+'SP Previsionale'!H11-'SP Previsionale'!I9-'SP Previsionale'!I11+'SP Previsionale'!I42+'SP Previsionale'!I44-'SP Previsionale'!H42-'SP Previsionale'!H44</f>
        <v>0</v>
      </c>
      <c r="J28" s="189">
        <f>+'SP Previsionale'!I9+'SP Previsionale'!I11-'SP Previsionale'!J9-'SP Previsionale'!J11+'SP Previsionale'!J42+'SP Previsionale'!J44-'SP Previsionale'!I42-'SP Previsionale'!I44</f>
        <v>0</v>
      </c>
      <c r="K28" s="189">
        <f>+'SP Previsionale'!J9+'SP Previsionale'!J11-'SP Previsionale'!K9-'SP Previsionale'!K11+'SP Previsionale'!K42+'SP Previsionale'!K44-'SP Previsionale'!J42-'SP Previsionale'!J44</f>
        <v>0</v>
      </c>
      <c r="L28" s="189">
        <f>+'SP Previsionale'!K9+'SP Previsionale'!K11-'SP Previsionale'!L9-'SP Previsionale'!L11+'SP Previsionale'!L42+'SP Previsionale'!L44-'SP Previsionale'!K42-'SP Previsionale'!K44</f>
        <v>0</v>
      </c>
      <c r="M28" s="189">
        <f>+'SP Previsionale'!L9+'SP Previsionale'!L11-'SP Previsionale'!M9-'SP Previsionale'!M11+'SP Previsionale'!M42+'SP Previsionale'!M44-'SP Previsionale'!L42-'SP Previsionale'!L44</f>
        <v>0</v>
      </c>
    </row>
    <row r="29" spans="1:13" ht="15" thickBot="1" x14ac:dyDescent="0.35">
      <c r="C29" s="245" t="s">
        <v>986</v>
      </c>
      <c r="D29" s="241">
        <f>+SUM(D23:D28)</f>
        <v>-56037.959999999955</v>
      </c>
      <c r="E29" s="241">
        <f t="shared" ref="E29" si="9">+SUM(E23:E28)</f>
        <v>-339720.68670950003</v>
      </c>
      <c r="F29" s="241">
        <f t="shared" ref="F29:G29" si="10">+SUM(F23:F28)</f>
        <v>-33926.285033333377</v>
      </c>
      <c r="G29" s="241">
        <f t="shared" si="10"/>
        <v>21893.333333333387</v>
      </c>
      <c r="H29" s="241">
        <f t="shared" ref="H29:L29" si="11">+SUM(H23:H28)</f>
        <v>419555.66068333341</v>
      </c>
      <c r="I29" s="241">
        <f t="shared" si="11"/>
        <v>0</v>
      </c>
      <c r="J29" s="241">
        <f t="shared" si="11"/>
        <v>0</v>
      </c>
      <c r="K29" s="241">
        <f t="shared" si="11"/>
        <v>0</v>
      </c>
      <c r="L29" s="241">
        <f t="shared" si="11"/>
        <v>0</v>
      </c>
      <c r="M29" s="241">
        <f t="shared" ref="M29" si="12">+SUM(M23:M28)</f>
        <v>0</v>
      </c>
    </row>
    <row r="30" spans="1:13" x14ac:dyDescent="0.3">
      <c r="C30" s="61"/>
      <c r="D30" s="59"/>
      <c r="E30" s="59"/>
      <c r="F30" s="59"/>
      <c r="G30" s="59"/>
      <c r="H30" s="59"/>
      <c r="I30" s="59"/>
      <c r="J30" s="59"/>
      <c r="K30" s="59"/>
      <c r="L30" s="59"/>
      <c r="M30" s="59"/>
    </row>
    <row r="31" spans="1:13" x14ac:dyDescent="0.3">
      <c r="C31" s="239" t="s">
        <v>987</v>
      </c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x14ac:dyDescent="0.3">
      <c r="C32" s="239" t="s">
        <v>988</v>
      </c>
      <c r="D32" s="189">
        <f>+CE!G69</f>
        <v>-51731.060000000005</v>
      </c>
      <c r="E32" s="189">
        <v>0</v>
      </c>
      <c r="F32" s="189">
        <v>1</v>
      </c>
      <c r="G32" s="189">
        <v>2</v>
      </c>
      <c r="H32" s="189">
        <v>3</v>
      </c>
      <c r="I32" s="189">
        <v>4</v>
      </c>
      <c r="J32" s="189">
        <v>5</v>
      </c>
      <c r="K32" s="189">
        <v>6</v>
      </c>
      <c r="L32" s="189">
        <v>7</v>
      </c>
      <c r="M32" s="189">
        <v>8</v>
      </c>
    </row>
    <row r="33" spans="2:13" x14ac:dyDescent="0.3">
      <c r="C33" s="239" t="s">
        <v>989</v>
      </c>
      <c r="D33" s="189">
        <f>-CE!G90+SP!H223-SP!G223</f>
        <v>74844.26999999999</v>
      </c>
      <c r="E33" s="189">
        <f>-E10</f>
        <v>0</v>
      </c>
      <c r="F33" s="189">
        <f>-F10</f>
        <v>0</v>
      </c>
      <c r="G33" s="189">
        <f t="shared" ref="G33:L33" si="13">-G10</f>
        <v>0</v>
      </c>
      <c r="H33" s="189">
        <f t="shared" si="13"/>
        <v>0</v>
      </c>
      <c r="I33" s="189">
        <f t="shared" si="13"/>
        <v>0</v>
      </c>
      <c r="J33" s="189">
        <f t="shared" si="13"/>
        <v>0</v>
      </c>
      <c r="K33" s="189">
        <f t="shared" si="13"/>
        <v>0</v>
      </c>
      <c r="L33" s="189">
        <f t="shared" si="13"/>
        <v>0</v>
      </c>
      <c r="M33" s="189">
        <f t="shared" ref="M33" si="14">-M10</f>
        <v>0</v>
      </c>
    </row>
    <row r="34" spans="2:13" x14ac:dyDescent="0.3">
      <c r="C34" s="239" t="s">
        <v>990</v>
      </c>
      <c r="D34" s="189"/>
      <c r="E34" s="189">
        <f>-'CE Previsionale'!D42+'SP Previsionale'!E43-'SP Previsionale'!D43</f>
        <v>-235172.04260000004</v>
      </c>
      <c r="F34" s="189">
        <f>-'CE Previsionale'!E42+'SP Previsionale'!F43-'SP Previsionale'!E43</f>
        <v>-67941.042600000001</v>
      </c>
      <c r="G34" s="189">
        <f>-'CE Previsionale'!F42+'SP Previsionale'!G43-'SP Previsionale'!F43</f>
        <v>-61221.042600000001</v>
      </c>
      <c r="H34" s="189">
        <f>-'CE Previsionale'!G42+'SP Previsionale'!H43-'SP Previsionale'!G43</f>
        <v>-64581.042600000001</v>
      </c>
      <c r="I34" s="189">
        <f>-'CE Previsionale'!H42+'SP Previsionale'!I43-'SP Previsionale'!H43</f>
        <v>-64581.042600000001</v>
      </c>
      <c r="J34" s="189">
        <f>-'CE Previsionale'!I42+'SP Previsionale'!J43-'SP Previsionale'!I43</f>
        <v>-64581.042600000001</v>
      </c>
      <c r="K34" s="189">
        <f>-'CE Previsionale'!J42+'SP Previsionale'!K43-'SP Previsionale'!J43</f>
        <v>-64581.042600000001</v>
      </c>
      <c r="L34" s="189">
        <f>-'CE Previsionale'!K42+'SP Previsionale'!L43-'SP Previsionale'!K43</f>
        <v>-64581.042600000001</v>
      </c>
      <c r="M34" s="189">
        <f>-'CE Previsionale'!L42+'SP Previsionale'!M43-'SP Previsionale'!L43</f>
        <v>-64581.042600000001</v>
      </c>
    </row>
    <row r="35" spans="2:13" ht="15" thickBot="1" x14ac:dyDescent="0.35">
      <c r="C35" s="239" t="s">
        <v>991</v>
      </c>
      <c r="D35" s="189">
        <f>-(-SP!H169-SP!H170+CE!G36+CE!G35+CE!G25+CE!G24+SP!G169+SP!G170-CE!G83+CE!G31+CE!G32)</f>
        <v>-76662.2</v>
      </c>
      <c r="E35" s="189">
        <f>+'SP Previsionale'!E51-'SP Previsionale'!D51-'Rendiconto Finanziario'!E16+'SP Previsionale'!E52-'SP Previsionale'!D52</f>
        <v>-1.8189894035458565E-12</v>
      </c>
      <c r="F35" s="189">
        <f>+'SP Previsionale'!F51-'SP Previsionale'!E51-'Rendiconto Finanziario'!F16+'SP Previsionale'!F52-'SP Previsionale'!E52</f>
        <v>-1.8189894035458565E-12</v>
      </c>
      <c r="G35" s="189">
        <f>+'SP Previsionale'!G51-'SP Previsionale'!F51-'Rendiconto Finanziario'!G16+'SP Previsionale'!G52-'SP Previsionale'!F52</f>
        <v>5.4569682106375694E-12</v>
      </c>
      <c r="H35" s="189">
        <f>+'SP Previsionale'!H51-'SP Previsionale'!G51-'Rendiconto Finanziario'!H16+'SP Previsionale'!H52-'SP Previsionale'!G52</f>
        <v>5.4569682106375694E-12</v>
      </c>
      <c r="I35" s="189">
        <f>+'SP Previsionale'!I51-'SP Previsionale'!H51-'Rendiconto Finanziario'!I16+'SP Previsionale'!I52-'SP Previsionale'!H52</f>
        <v>5.4569682106375694E-12</v>
      </c>
      <c r="J35" s="189">
        <f>+'SP Previsionale'!J51-'SP Previsionale'!I51-'Rendiconto Finanziario'!J16+'SP Previsionale'!J52-'SP Previsionale'!I52</f>
        <v>5.4569682106375694E-12</v>
      </c>
      <c r="K35" s="189">
        <f>+'SP Previsionale'!K51-'SP Previsionale'!J51-'Rendiconto Finanziario'!K16+'SP Previsionale'!K52-'SP Previsionale'!J52</f>
        <v>5.4569682106375694E-12</v>
      </c>
      <c r="L35" s="189">
        <f>+'SP Previsionale'!L51-'SP Previsionale'!K51-'Rendiconto Finanziario'!L16+'SP Previsionale'!L52-'SP Previsionale'!K52</f>
        <v>5.4569682106375694E-12</v>
      </c>
      <c r="M35" s="189">
        <f>+'SP Previsionale'!M51-'SP Previsionale'!L51-'Rendiconto Finanziario'!M16+'SP Previsionale'!M52-'SP Previsionale'!L52</f>
        <v>-9.0949470177292824E-12</v>
      </c>
    </row>
    <row r="36" spans="2:13" ht="15" thickBot="1" x14ac:dyDescent="0.35">
      <c r="C36" s="245" t="s">
        <v>992</v>
      </c>
      <c r="D36" s="241">
        <f>+SUM(D32:D35)</f>
        <v>-53548.990000000013</v>
      </c>
      <c r="E36" s="241">
        <f t="shared" ref="E36" si="15">+SUM(E32:E35)</f>
        <v>-235172.04260000004</v>
      </c>
      <c r="F36" s="241">
        <f t="shared" ref="F36:G36" si="16">+SUM(F32:F35)</f>
        <v>-67940.042600000001</v>
      </c>
      <c r="G36" s="241">
        <f t="shared" si="16"/>
        <v>-61219.042599999993</v>
      </c>
      <c r="H36" s="241">
        <f t="shared" ref="H36:L36" si="17">+SUM(H32:H35)</f>
        <v>-64578.042599999993</v>
      </c>
      <c r="I36" s="241">
        <f t="shared" si="17"/>
        <v>-64577.042599999993</v>
      </c>
      <c r="J36" s="241">
        <f t="shared" si="17"/>
        <v>-64576.042599999993</v>
      </c>
      <c r="K36" s="241">
        <f t="shared" si="17"/>
        <v>-64575.042599999993</v>
      </c>
      <c r="L36" s="241">
        <f t="shared" si="17"/>
        <v>-64574.042599999993</v>
      </c>
      <c r="M36" s="241">
        <f t="shared" ref="M36" si="18">+SUM(M32:M35)</f>
        <v>-64573.042600000008</v>
      </c>
    </row>
    <row r="37" spans="2:13" ht="15" thickBot="1" x14ac:dyDescent="0.35">
      <c r="C37" s="58"/>
      <c r="D37" s="59"/>
      <c r="E37" s="59"/>
      <c r="F37" s="59"/>
      <c r="G37" s="59"/>
      <c r="H37" s="59"/>
      <c r="I37" s="59"/>
      <c r="J37" s="59"/>
      <c r="K37" s="59"/>
      <c r="L37" s="59"/>
      <c r="M37" s="59"/>
    </row>
    <row r="38" spans="2:13" ht="15" thickBot="1" x14ac:dyDescent="0.35">
      <c r="C38" s="238" t="s">
        <v>993</v>
      </c>
      <c r="D38" s="241">
        <f>+D13+D20+D29+D36</f>
        <v>190121.17000000007</v>
      </c>
      <c r="E38" s="241">
        <f t="shared" ref="E38" si="19">+E13+E20+E29+E36</f>
        <v>-311061.41430949996</v>
      </c>
      <c r="F38" s="241">
        <f t="shared" ref="F38:G38" si="20">+F13+F20+F29+F36</f>
        <v>113964.98736666662</v>
      </c>
      <c r="G38" s="241">
        <f t="shared" si="20"/>
        <v>152505.60573333339</v>
      </c>
      <c r="H38" s="241">
        <f t="shared" ref="H38:L38" si="21">+H13+H20+H29+H36</f>
        <v>558808.93308333331</v>
      </c>
      <c r="I38" s="241">
        <f t="shared" si="21"/>
        <v>139254.27240000002</v>
      </c>
      <c r="J38" s="241">
        <f t="shared" si="21"/>
        <v>139255.27240000002</v>
      </c>
      <c r="K38" s="241">
        <f t="shared" si="21"/>
        <v>139256.27240000002</v>
      </c>
      <c r="L38" s="241">
        <f t="shared" si="21"/>
        <v>139257.27240000002</v>
      </c>
      <c r="M38" s="241">
        <f t="shared" ref="M38" si="22">+M13+M20+M29+M36</f>
        <v>139258.27239999999</v>
      </c>
    </row>
    <row r="39" spans="2:13" x14ac:dyDescent="0.3">
      <c r="C39" s="58"/>
      <c r="D39" s="59"/>
      <c r="E39" s="59"/>
      <c r="F39" s="59"/>
      <c r="G39" s="59"/>
      <c r="H39" s="59"/>
      <c r="I39" s="59"/>
      <c r="J39" s="59"/>
      <c r="K39" s="59"/>
      <c r="L39" s="59"/>
      <c r="M39" s="59"/>
    </row>
    <row r="40" spans="2:13" ht="14.4" customHeight="1" x14ac:dyDescent="0.3">
      <c r="B40" s="238" t="s">
        <v>994</v>
      </c>
      <c r="C40" s="238" t="s">
        <v>994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</row>
    <row r="41" spans="2:13" ht="15" thickBot="1" x14ac:dyDescent="0.35">
      <c r="B41" s="93"/>
      <c r="C41" s="93"/>
      <c r="D41" s="59"/>
      <c r="E41" s="59"/>
      <c r="F41" s="59"/>
      <c r="G41" s="59"/>
      <c r="H41" s="59"/>
      <c r="I41" s="59"/>
      <c r="J41" s="59"/>
      <c r="K41" s="59"/>
      <c r="L41" s="59"/>
      <c r="M41" s="59"/>
    </row>
    <row r="42" spans="2:13" ht="15" thickBot="1" x14ac:dyDescent="0.35">
      <c r="C42" s="245" t="s">
        <v>995</v>
      </c>
      <c r="D42" s="241">
        <f>-D43+D44</f>
        <v>-41218.869999999646</v>
      </c>
      <c r="E42" s="241">
        <f t="shared" ref="E42" si="23">-E43+E44</f>
        <v>0</v>
      </c>
      <c r="F42" s="241">
        <f t="shared" ref="F42:G42" si="24">-F43+F44</f>
        <v>0</v>
      </c>
      <c r="G42" s="241">
        <f t="shared" si="24"/>
        <v>0</v>
      </c>
      <c r="H42" s="241">
        <f t="shared" ref="H42:L42" si="25">-H43+H44</f>
        <v>0</v>
      </c>
      <c r="I42" s="241">
        <f t="shared" si="25"/>
        <v>0</v>
      </c>
      <c r="J42" s="241">
        <f t="shared" si="25"/>
        <v>0</v>
      </c>
      <c r="K42" s="241">
        <f t="shared" si="25"/>
        <v>0</v>
      </c>
      <c r="L42" s="241">
        <f t="shared" si="25"/>
        <v>0</v>
      </c>
      <c r="M42" s="241">
        <f t="shared" ref="M42" si="26">-M43+M44</f>
        <v>0</v>
      </c>
    </row>
    <row r="43" spans="2:13" x14ac:dyDescent="0.3">
      <c r="C43" s="239" t="s">
        <v>996</v>
      </c>
      <c r="D43" s="189">
        <f>-IF(SP!H28+CE!G30&gt;SP!G28,SP!G28-(SP!H28+CE!G30),0)</f>
        <v>41218.869999999646</v>
      </c>
      <c r="E43" s="189">
        <f>-IF('SP Previsionale'!E17+'CE Previsionale'!D23&gt;'SP Previsionale'!D17,'SP Previsionale'!D17-('SP Previsionale'!E17+'CE Previsionale'!D23),0)</f>
        <v>0</v>
      </c>
      <c r="F43" s="189">
        <f>-IF('SP Previsionale'!F17+'CE Previsionale'!E23&gt;'SP Previsionale'!E17,'SP Previsionale'!E17-('SP Previsionale'!F17+'CE Previsionale'!E23),0)</f>
        <v>0</v>
      </c>
      <c r="G43" s="189">
        <f>-IF('SP Previsionale'!G17+'CE Previsionale'!F23&gt;'SP Previsionale'!F17,'SP Previsionale'!F17-('SP Previsionale'!G17+'CE Previsionale'!F23),0)</f>
        <v>0</v>
      </c>
      <c r="H43" s="189">
        <f>-IF('SP Previsionale'!H17+'CE Previsionale'!G23&gt;'SP Previsionale'!G17,'SP Previsionale'!G17-('SP Previsionale'!H17+'CE Previsionale'!G23),0)</f>
        <v>0</v>
      </c>
      <c r="I43" s="189">
        <f>-IF('SP Previsionale'!I17+'CE Previsionale'!H23&gt;'SP Previsionale'!H17,'SP Previsionale'!H17-('SP Previsionale'!I17+'CE Previsionale'!H23),0)</f>
        <v>0</v>
      </c>
      <c r="J43" s="189">
        <f>-IF('SP Previsionale'!J17+'CE Previsionale'!I23&gt;'SP Previsionale'!I17,'SP Previsionale'!I17-('SP Previsionale'!J17+'CE Previsionale'!I23),0)</f>
        <v>0</v>
      </c>
      <c r="K43" s="189">
        <f>-IF('SP Previsionale'!K17+'CE Previsionale'!J23&gt;'SP Previsionale'!J17,'SP Previsionale'!J17-('SP Previsionale'!K17+'CE Previsionale'!J23),0)</f>
        <v>0</v>
      </c>
      <c r="L43" s="189">
        <f>-IF('SP Previsionale'!L17+'CE Previsionale'!K23&gt;'SP Previsionale'!K17,'SP Previsionale'!K17-('SP Previsionale'!L17+'CE Previsionale'!K23),0)</f>
        <v>0</v>
      </c>
      <c r="M43" s="189">
        <f>-IF('SP Previsionale'!M17+'CE Previsionale'!L23&gt;'SP Previsionale'!L17,'SP Previsionale'!L17-('SP Previsionale'!M17+'CE Previsionale'!L23),0)</f>
        <v>0</v>
      </c>
    </row>
    <row r="44" spans="2:13" x14ac:dyDescent="0.3">
      <c r="C44" s="239" t="s">
        <v>997</v>
      </c>
      <c r="D44" s="189">
        <f>-IF(SP!H28+CE!G30&lt;SP!G28,-(SP!G28-(SP!H28+CE!G30)),0)-D12</f>
        <v>0</v>
      </c>
      <c r="E44" s="189">
        <f>-IF('SP Previsionale'!E17+'CE Previsionale'!D23&lt;'SP Previsionale'!D17,-'SP Previsionale'!D17+('SP Previsionale'!E17+'CE Previsionale'!D23),0)</f>
        <v>0</v>
      </c>
      <c r="F44" s="189">
        <f>-IF('SP Previsionale'!F17+'CE Previsionale'!E23&lt;'SP Previsionale'!E17,-'SP Previsionale'!E17+('SP Previsionale'!F17+'CE Previsionale'!E23),0)</f>
        <v>0</v>
      </c>
      <c r="G44" s="189">
        <f>-IF('SP Previsionale'!G17+'CE Previsionale'!F23&lt;'SP Previsionale'!F17,-'SP Previsionale'!F17+('SP Previsionale'!G17+'CE Previsionale'!F23),0)</f>
        <v>0</v>
      </c>
      <c r="H44" s="189">
        <f>-IF('SP Previsionale'!H17+'CE Previsionale'!G23&lt;'SP Previsionale'!G17,-'SP Previsionale'!G17+('SP Previsionale'!H17+'CE Previsionale'!G23),0)</f>
        <v>0</v>
      </c>
      <c r="I44" s="189">
        <f>-IF('SP Previsionale'!I17+'CE Previsionale'!H23&lt;'SP Previsionale'!H17,-'SP Previsionale'!H17+('SP Previsionale'!I17+'CE Previsionale'!H23),0)</f>
        <v>0</v>
      </c>
      <c r="J44" s="189">
        <f>-IF('SP Previsionale'!J17+'CE Previsionale'!I23&lt;'SP Previsionale'!I17,-'SP Previsionale'!I17+('SP Previsionale'!J17+'CE Previsionale'!I23),0)</f>
        <v>0</v>
      </c>
      <c r="K44" s="189">
        <f>-IF('SP Previsionale'!K17+'CE Previsionale'!J23&lt;'SP Previsionale'!J17,-'SP Previsionale'!J17+('SP Previsionale'!K17+'CE Previsionale'!J23),0)</f>
        <v>0</v>
      </c>
      <c r="L44" s="189">
        <f>-IF('SP Previsionale'!L17+'CE Previsionale'!K23&lt;'SP Previsionale'!K17,-'SP Previsionale'!K17+('SP Previsionale'!L17+'CE Previsionale'!K23),0)</f>
        <v>0</v>
      </c>
      <c r="M44" s="189">
        <f>-IF('SP Previsionale'!M17+'CE Previsionale'!L23&lt;'SP Previsionale'!L17,-'SP Previsionale'!L17+('SP Previsionale'!M17+'CE Previsionale'!L23),0)</f>
        <v>0</v>
      </c>
    </row>
    <row r="45" spans="2:13" ht="15" thickBot="1" x14ac:dyDescent="0.35"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2:13" ht="15" thickBot="1" x14ac:dyDescent="0.35">
      <c r="C46" s="245" t="s">
        <v>869</v>
      </c>
      <c r="D46" s="241">
        <f>-D47+D48</f>
        <v>8.9999999999974989E-2</v>
      </c>
      <c r="E46" s="241">
        <f t="shared" ref="E46" si="27">-E47+E48</f>
        <v>0</v>
      </c>
      <c r="F46" s="241">
        <f t="shared" ref="F46:G46" si="28">-F47+F48</f>
        <v>0</v>
      </c>
      <c r="G46" s="241">
        <f t="shared" si="28"/>
        <v>0</v>
      </c>
      <c r="H46" s="241">
        <f t="shared" ref="H46:L46" si="29">-H47+H48</f>
        <v>0</v>
      </c>
      <c r="I46" s="241">
        <f t="shared" si="29"/>
        <v>0</v>
      </c>
      <c r="J46" s="241">
        <f t="shared" si="29"/>
        <v>0</v>
      </c>
      <c r="K46" s="241">
        <f t="shared" si="29"/>
        <v>0</v>
      </c>
      <c r="L46" s="241">
        <f t="shared" si="29"/>
        <v>0</v>
      </c>
      <c r="M46" s="241">
        <f t="shared" ref="M46" si="30">-M47+M48</f>
        <v>0</v>
      </c>
    </row>
    <row r="47" spans="2:13" x14ac:dyDescent="0.3">
      <c r="C47" s="239" t="s">
        <v>996</v>
      </c>
      <c r="D47" s="189">
        <f>-IF(SP!H21+CE!G29&gt;SP!G21,+SP!G21-(SP!H21+CE!G29),0)</f>
        <v>0</v>
      </c>
      <c r="E47" s="189">
        <f>-IF('SP Previsionale'!E25+'CE Previsionale'!D24&gt;'SP Previsionale'!D25,'SP Previsionale'!D25-('SP Previsionale'!E25+'CE Previsionale'!D24),0)</f>
        <v>0</v>
      </c>
      <c r="F47" s="189">
        <f>-IF('SP Previsionale'!F25+'CE Previsionale'!E24&gt;'SP Previsionale'!E25,'SP Previsionale'!E25-('SP Previsionale'!F25+'CE Previsionale'!E24),0)</f>
        <v>0</v>
      </c>
      <c r="G47" s="189">
        <f>-IF('SP Previsionale'!G25+'CE Previsionale'!F24&gt;'SP Previsionale'!F25,'SP Previsionale'!F25-('SP Previsionale'!G25+'CE Previsionale'!F24),0)</f>
        <v>0</v>
      </c>
      <c r="H47" s="189">
        <f>-IF('SP Previsionale'!H25+'CE Previsionale'!G24&gt;'SP Previsionale'!G25,'SP Previsionale'!G25-('SP Previsionale'!H25+'CE Previsionale'!G24),0)</f>
        <v>0</v>
      </c>
      <c r="I47" s="189">
        <f>-IF('SP Previsionale'!I25+'CE Previsionale'!H24&gt;'SP Previsionale'!H25,'SP Previsionale'!H25-('SP Previsionale'!I25+'CE Previsionale'!H24),0)</f>
        <v>0</v>
      </c>
      <c r="J47" s="189">
        <f>-IF('SP Previsionale'!J25+'CE Previsionale'!I24&gt;'SP Previsionale'!I25,'SP Previsionale'!I25-('SP Previsionale'!J25+'CE Previsionale'!I24),0)</f>
        <v>0</v>
      </c>
      <c r="K47" s="189">
        <f>-IF('SP Previsionale'!K25+'CE Previsionale'!J24&gt;'SP Previsionale'!J25,'SP Previsionale'!J25-('SP Previsionale'!K25+'CE Previsionale'!J24),0)</f>
        <v>0</v>
      </c>
      <c r="L47" s="189">
        <f>-IF('SP Previsionale'!L25+'CE Previsionale'!K24&gt;'SP Previsionale'!K25,'SP Previsionale'!K25-('SP Previsionale'!L25+'CE Previsionale'!K24),0)</f>
        <v>0</v>
      </c>
      <c r="M47" s="189">
        <f>-IF('SP Previsionale'!M25+'CE Previsionale'!L24&gt;'SP Previsionale'!L25,'SP Previsionale'!L25-('SP Previsionale'!M25+'CE Previsionale'!L24),0)</f>
        <v>0</v>
      </c>
    </row>
    <row r="48" spans="2:13" x14ac:dyDescent="0.3">
      <c r="C48" s="239" t="s">
        <v>997</v>
      </c>
      <c r="D48" s="189">
        <f>-IF(SP!H21+CE!G29&lt;SP!G21,-(SP!G21-(SP!H21+CE!G29)),0)</f>
        <v>8.9999999999974989E-2</v>
      </c>
      <c r="E48" s="189">
        <f>-IF('SP Previsionale'!E25+'CE Previsionale'!D24&gt;'SP Previsionale'!D25,'SP Previsionale'!D25-('SP Previsionale'!E25+'CE Previsionale'!D24),0)</f>
        <v>0</v>
      </c>
      <c r="F48" s="189">
        <f>-IF('SP Previsionale'!F25+'CE Previsionale'!E24&gt;'SP Previsionale'!E25,'SP Previsionale'!E25-('SP Previsionale'!F25+'CE Previsionale'!E24),0)</f>
        <v>0</v>
      </c>
      <c r="G48" s="189">
        <f>-IF('SP Previsionale'!G25+'CE Previsionale'!F24&gt;'SP Previsionale'!F25,'SP Previsionale'!F25-('SP Previsionale'!G25+'CE Previsionale'!F24),0)</f>
        <v>0</v>
      </c>
      <c r="H48" s="189">
        <f>-IF('SP Previsionale'!H25+'CE Previsionale'!G24&gt;'SP Previsionale'!G25,'SP Previsionale'!G25-('SP Previsionale'!H25+'CE Previsionale'!G24),0)</f>
        <v>0</v>
      </c>
      <c r="I48" s="189">
        <f>-IF('SP Previsionale'!I25+'CE Previsionale'!H24&gt;'SP Previsionale'!H25,'SP Previsionale'!H25-('SP Previsionale'!I25+'CE Previsionale'!H24),0)</f>
        <v>0</v>
      </c>
      <c r="J48" s="189">
        <f>-IF('SP Previsionale'!J25+'CE Previsionale'!I24&gt;'SP Previsionale'!I25,'SP Previsionale'!I25-('SP Previsionale'!J25+'CE Previsionale'!I24),0)</f>
        <v>0</v>
      </c>
      <c r="K48" s="189">
        <f>-IF('SP Previsionale'!K25+'CE Previsionale'!J24&gt;'SP Previsionale'!J25,'SP Previsionale'!J25-('SP Previsionale'!K25+'CE Previsionale'!J24),0)</f>
        <v>0</v>
      </c>
      <c r="L48" s="189">
        <f>-IF('SP Previsionale'!L25+'CE Previsionale'!K24&gt;'SP Previsionale'!K25,'SP Previsionale'!K25-('SP Previsionale'!L25+'CE Previsionale'!K24),0)</f>
        <v>0</v>
      </c>
      <c r="M48" s="189">
        <f>-IF('SP Previsionale'!M25+'CE Previsionale'!L24&gt;'SP Previsionale'!L25,'SP Previsionale'!L25-('SP Previsionale'!M25+'CE Previsionale'!L24),0)</f>
        <v>0</v>
      </c>
    </row>
    <row r="49" spans="2:13" ht="15" thickBot="1" x14ac:dyDescent="0.35">
      <c r="D49" s="59"/>
      <c r="E49" s="59"/>
      <c r="F49" s="59"/>
      <c r="G49" s="59"/>
      <c r="H49" s="59"/>
      <c r="I49" s="59"/>
      <c r="J49" s="59"/>
      <c r="K49" s="59"/>
      <c r="L49" s="59"/>
      <c r="M49" s="59"/>
    </row>
    <row r="50" spans="2:13" ht="15" thickBot="1" x14ac:dyDescent="0.35">
      <c r="C50" s="245" t="s">
        <v>998</v>
      </c>
      <c r="D50" s="241">
        <f>-D51+D52</f>
        <v>0</v>
      </c>
      <c r="E50" s="241">
        <f t="shared" ref="E50" si="31">-E51+E52</f>
        <v>0</v>
      </c>
      <c r="F50" s="241">
        <f t="shared" ref="F50:G50" si="32">-F51+F52</f>
        <v>0</v>
      </c>
      <c r="G50" s="241">
        <f t="shared" si="32"/>
        <v>0</v>
      </c>
      <c r="H50" s="241">
        <f t="shared" ref="H50:L50" si="33">-H51+H52</f>
        <v>0</v>
      </c>
      <c r="I50" s="241">
        <f t="shared" si="33"/>
        <v>0</v>
      </c>
      <c r="J50" s="241">
        <f t="shared" si="33"/>
        <v>0</v>
      </c>
      <c r="K50" s="241">
        <f t="shared" si="33"/>
        <v>0</v>
      </c>
      <c r="L50" s="241">
        <f t="shared" si="33"/>
        <v>0</v>
      </c>
      <c r="M50" s="241">
        <f t="shared" ref="M50" si="34">-M51+M52</f>
        <v>0</v>
      </c>
    </row>
    <row r="51" spans="2:13" x14ac:dyDescent="0.3">
      <c r="C51" s="239" t="s">
        <v>996</v>
      </c>
      <c r="D51" s="189">
        <f>IF(SP!H61&gt;SP!G61,SP!H61-SP!G61,0)</f>
        <v>0</v>
      </c>
      <c r="E51" s="189">
        <f>+IF('SP Previsionale'!E31&gt;'SP Previsionale'!D31,'SP Previsionale'!E31-'SP Previsionale'!D31,0)</f>
        <v>0</v>
      </c>
      <c r="F51" s="189">
        <f>+IF('SP Previsionale'!F31&gt;'SP Previsionale'!E31,'SP Previsionale'!F31-'SP Previsionale'!E31,0)</f>
        <v>0</v>
      </c>
      <c r="G51" s="189">
        <f>+IF('SP Previsionale'!G31&gt;'SP Previsionale'!F31,'SP Previsionale'!G31-'SP Previsionale'!F31,0)</f>
        <v>0</v>
      </c>
      <c r="H51" s="189">
        <f>+IF('SP Previsionale'!H31&gt;'SP Previsionale'!G31,'SP Previsionale'!H31-'SP Previsionale'!G31,0)</f>
        <v>0</v>
      </c>
      <c r="I51" s="189">
        <f>+IF('SP Previsionale'!I31&gt;'SP Previsionale'!H31,'SP Previsionale'!I31-'SP Previsionale'!H31,0)</f>
        <v>0</v>
      </c>
      <c r="J51" s="189">
        <f>+IF('SP Previsionale'!J31&gt;'SP Previsionale'!I31,'SP Previsionale'!J31-'SP Previsionale'!I31,0)</f>
        <v>0</v>
      </c>
      <c r="K51" s="189">
        <f>+IF('SP Previsionale'!K31&gt;'SP Previsionale'!J31,'SP Previsionale'!K31-'SP Previsionale'!J31,0)</f>
        <v>0</v>
      </c>
      <c r="L51" s="189">
        <f>+IF('SP Previsionale'!L31&gt;'SP Previsionale'!K31,'SP Previsionale'!L31-'SP Previsionale'!K31,0)</f>
        <v>0</v>
      </c>
      <c r="M51" s="189">
        <f>+IF('SP Previsionale'!M31&gt;'SP Previsionale'!L31,'SP Previsionale'!M31-'SP Previsionale'!L31,0)</f>
        <v>0</v>
      </c>
    </row>
    <row r="52" spans="2:13" x14ac:dyDescent="0.3">
      <c r="C52" s="239" t="s">
        <v>997</v>
      </c>
      <c r="D52" s="189">
        <f>-IF(SP!H61&lt;SP!G61,SP!H61-SP!G61,0)</f>
        <v>0</v>
      </c>
      <c r="E52" s="189">
        <f>+IF('SP Previsionale'!D31&gt;'SP Previsionale'!E31,'SP Previsionale'!D31-'SP Previsionale'!E31,0)</f>
        <v>0</v>
      </c>
      <c r="F52" s="189">
        <f>+IF('SP Previsionale'!E31&gt;'SP Previsionale'!F31,'SP Previsionale'!E31-'SP Previsionale'!F31,0)</f>
        <v>0</v>
      </c>
      <c r="G52" s="189">
        <f>+IF('SP Previsionale'!F31&gt;'SP Previsionale'!G31,'SP Previsionale'!F31-'SP Previsionale'!G31,0)</f>
        <v>0</v>
      </c>
      <c r="H52" s="189">
        <f>+IF('SP Previsionale'!G31&gt;'SP Previsionale'!H31,'SP Previsionale'!G31-'SP Previsionale'!H31,0)</f>
        <v>0</v>
      </c>
      <c r="I52" s="189">
        <f>+IF('SP Previsionale'!H31&gt;'SP Previsionale'!I31,'SP Previsionale'!H31-'SP Previsionale'!I31,0)</f>
        <v>0</v>
      </c>
      <c r="J52" s="189">
        <f>+IF('SP Previsionale'!I31&gt;'SP Previsionale'!J31,'SP Previsionale'!I31-'SP Previsionale'!J31,0)</f>
        <v>0</v>
      </c>
      <c r="K52" s="189">
        <f>+IF('SP Previsionale'!J31&gt;'SP Previsionale'!K31,'SP Previsionale'!J31-'SP Previsionale'!K31,0)</f>
        <v>0</v>
      </c>
      <c r="L52" s="189">
        <f>+IF('SP Previsionale'!K31&gt;'SP Previsionale'!L31,'SP Previsionale'!K31-'SP Previsionale'!L31,0)</f>
        <v>0</v>
      </c>
      <c r="M52" s="189">
        <f>+IF('SP Previsionale'!L31&gt;'SP Previsionale'!M31,'SP Previsionale'!L31-'SP Previsionale'!M31,0)</f>
        <v>0</v>
      </c>
    </row>
    <row r="53" spans="2:13" ht="15" thickBot="1" x14ac:dyDescent="0.35">
      <c r="D53" s="59"/>
      <c r="E53" s="59"/>
      <c r="F53" s="59"/>
      <c r="G53" s="59"/>
      <c r="H53" s="59"/>
      <c r="I53" s="59"/>
      <c r="J53" s="59"/>
      <c r="K53" s="59"/>
      <c r="L53" s="59"/>
      <c r="M53" s="59"/>
    </row>
    <row r="54" spans="2:13" ht="15" thickBot="1" x14ac:dyDescent="0.35">
      <c r="C54" s="245" t="s">
        <v>999</v>
      </c>
      <c r="D54" s="241">
        <f>-D55+D56</f>
        <v>0</v>
      </c>
      <c r="E54" s="241">
        <f t="shared" ref="E54" si="35">-E55+E56</f>
        <v>0</v>
      </c>
      <c r="F54" s="241">
        <f t="shared" ref="F54:G54" si="36">-F55+F56</f>
        <v>0</v>
      </c>
      <c r="G54" s="241">
        <f t="shared" si="36"/>
        <v>0</v>
      </c>
      <c r="H54" s="241">
        <f t="shared" ref="H54:L54" si="37">-H55+H56</f>
        <v>0</v>
      </c>
      <c r="I54" s="241">
        <f t="shared" si="37"/>
        <v>0</v>
      </c>
      <c r="J54" s="241">
        <f t="shared" si="37"/>
        <v>0</v>
      </c>
      <c r="K54" s="241">
        <f t="shared" si="37"/>
        <v>0</v>
      </c>
      <c r="L54" s="241">
        <f t="shared" si="37"/>
        <v>0</v>
      </c>
      <c r="M54" s="241">
        <f t="shared" ref="M54" si="38">-M55+M56</f>
        <v>0</v>
      </c>
    </row>
    <row r="55" spans="2:13" x14ac:dyDescent="0.3">
      <c r="C55" s="239" t="s">
        <v>996</v>
      </c>
      <c r="D55" s="189">
        <f>+IF((SP!G78-SP!H78+SP!G82-SP!H82+SP!G86-SP!H86+SP!G90-SP!H90+SP!G94-SP!H94+SP!G98-SP!H98+SP!G102-SP!H102+SP!G113-SP!H113+SP!H174-SP!G174+SP!H178-SP!G178+SP!H182-SP!G182+SP!H190-SP!G190+SP!H202-SP!G202+SP!H206-SP!G206+SP!H210-SP!G210+SP!H214-SP!G214+SP!H218-SP!G218+SP!H226-SP!G226+SP!H230-SP!G230)&lt;0,-(SP!G78-SP!H78+SP!G82-SP!H82+SP!G86-SP!H86+SP!G90-SP!H90+SP!G94-SP!H94+SP!G98-SP!H98+SP!G102-SP!H102+SP!G113-SP!H113+SP!H174-SP!G174+SP!H178-SP!G178+SP!H182-SP!G182+SP!H190-SP!G190+SP!H202-SP!G202+SP!H206-SP!G206+SP!H210-SP!G210+SP!H214-SP!G214+SP!H218-SP!G218+SP!H226-SP!G226+SP!H230-SP!G230),0)</f>
        <v>0</v>
      </c>
      <c r="E55" s="189">
        <v>0</v>
      </c>
      <c r="F55" s="189">
        <v>0</v>
      </c>
      <c r="G55" s="189">
        <v>0</v>
      </c>
      <c r="H55" s="189">
        <v>0</v>
      </c>
      <c r="I55" s="189">
        <v>0</v>
      </c>
      <c r="J55" s="189">
        <v>0</v>
      </c>
      <c r="K55" s="189">
        <v>0</v>
      </c>
      <c r="L55" s="189">
        <v>0</v>
      </c>
      <c r="M55" s="189">
        <v>0</v>
      </c>
    </row>
    <row r="56" spans="2:13" x14ac:dyDescent="0.3">
      <c r="C56" s="239" t="s">
        <v>997</v>
      </c>
      <c r="D56" s="189">
        <f>+IF(((SP!G78-SP!H78+SP!G82-SP!H82+SP!G86-SP!H86+SP!G90-SP!H90+SP!G94-SP!H94+SP!G98-SP!H98+SP!G102-SP!H102+SP!G113-SP!H113+SP!H174-SP!G174+SP!H178-SP!G178+SP!H182-SP!G182+SP!H190-SP!G190+SP!H202-SP!G202+SP!H206-SP!G206+SP!H210-SP!G210+SP!H214-SP!G214+SP!H218-SP!G218+SP!H226-SP!G226+SP!H230-SP!G230))&gt;0,(SP!G78-SP!H78+SP!G82-SP!H82+SP!G86-SP!H86+SP!G90-SP!H90+SP!G94-SP!H94+SP!G98-SP!H98+SP!G102-SP!H102+SP!G113-SP!H113+SP!H174-SP!G174+SP!H178-SP!G178+SP!H182-SP!G182+SP!H190-SP!G190+SP!H202-SP!G202+SP!H206-SP!G206+SP!H210-SP!G210+SP!H214-SP!G214+SP!H218-SP!G218+SP!H226-SP!G226+SP!H230-SP!G230),0)</f>
        <v>0</v>
      </c>
      <c r="E56" s="189">
        <v>0</v>
      </c>
      <c r="F56" s="189">
        <v>0</v>
      </c>
      <c r="G56" s="189">
        <v>0</v>
      </c>
      <c r="H56" s="189">
        <v>0</v>
      </c>
      <c r="I56" s="189">
        <v>0</v>
      </c>
      <c r="J56" s="189">
        <v>0</v>
      </c>
      <c r="K56" s="189">
        <v>0</v>
      </c>
      <c r="L56" s="189">
        <v>0</v>
      </c>
      <c r="M56" s="189">
        <v>0</v>
      </c>
    </row>
    <row r="57" spans="2:13" x14ac:dyDescent="0.3">
      <c r="D57" s="59"/>
      <c r="E57" s="59"/>
      <c r="F57" s="59"/>
      <c r="G57" s="59"/>
      <c r="H57" s="59"/>
      <c r="I57" s="59"/>
      <c r="J57" s="59"/>
      <c r="K57" s="59"/>
      <c r="L57" s="59"/>
      <c r="M57" s="59"/>
    </row>
    <row r="58" spans="2:13" ht="15" thickBot="1" x14ac:dyDescent="0.35">
      <c r="D58" s="59"/>
      <c r="E58" s="59"/>
      <c r="F58" s="59"/>
      <c r="G58" s="59"/>
      <c r="H58" s="59"/>
      <c r="I58" s="59"/>
      <c r="J58" s="59"/>
      <c r="K58" s="59"/>
      <c r="L58" s="59"/>
      <c r="M58" s="59"/>
    </row>
    <row r="59" spans="2:13" ht="15" thickBot="1" x14ac:dyDescent="0.35">
      <c r="C59" s="238" t="s">
        <v>1000</v>
      </c>
      <c r="D59" s="241">
        <f>+D42+D46+D50+D54</f>
        <v>-41218.77999999965</v>
      </c>
      <c r="E59" s="241">
        <f t="shared" ref="E59" si="39">+E42+E46+E50+E54</f>
        <v>0</v>
      </c>
      <c r="F59" s="241">
        <f t="shared" ref="F59:G59" si="40">+F42+F46+F50+F54</f>
        <v>0</v>
      </c>
      <c r="G59" s="241">
        <f t="shared" si="40"/>
        <v>0</v>
      </c>
      <c r="H59" s="241">
        <f t="shared" ref="H59:L59" si="41">+H42+H46+H50+H54</f>
        <v>0</v>
      </c>
      <c r="I59" s="241">
        <f t="shared" si="41"/>
        <v>0</v>
      </c>
      <c r="J59" s="241">
        <f t="shared" si="41"/>
        <v>0</v>
      </c>
      <c r="K59" s="241">
        <f t="shared" si="41"/>
        <v>0</v>
      </c>
      <c r="L59" s="241">
        <f t="shared" si="41"/>
        <v>0</v>
      </c>
      <c r="M59" s="241">
        <f t="shared" ref="M59" si="42">+M42+M46+M50+M54</f>
        <v>0</v>
      </c>
    </row>
    <row r="60" spans="2:13" x14ac:dyDescent="0.3">
      <c r="C60" s="58"/>
      <c r="D60" s="59"/>
      <c r="E60" s="59"/>
      <c r="F60" s="59"/>
      <c r="G60" s="59"/>
      <c r="H60" s="59"/>
      <c r="I60" s="59"/>
      <c r="J60" s="59"/>
      <c r="K60" s="59"/>
      <c r="L60" s="59"/>
      <c r="M60" s="59"/>
    </row>
    <row r="61" spans="2:13" ht="14.4" customHeight="1" x14ac:dyDescent="0.3">
      <c r="C61" s="238" t="s">
        <v>1001</v>
      </c>
      <c r="D61" s="59"/>
      <c r="E61" s="59"/>
      <c r="F61" s="59"/>
      <c r="G61" s="59"/>
      <c r="H61" s="59"/>
      <c r="I61" s="59"/>
      <c r="J61" s="59"/>
      <c r="K61" s="59"/>
      <c r="L61" s="59"/>
      <c r="M61" s="59"/>
    </row>
    <row r="62" spans="2:13" x14ac:dyDescent="0.3">
      <c r="B62" s="93"/>
      <c r="C62" s="93"/>
      <c r="D62" s="59"/>
      <c r="E62" s="59"/>
      <c r="F62" s="59"/>
      <c r="G62" s="59"/>
      <c r="H62" s="59"/>
      <c r="I62" s="59"/>
      <c r="J62" s="59"/>
      <c r="K62" s="59"/>
      <c r="L62" s="59"/>
      <c r="M62" s="59"/>
    </row>
    <row r="63" spans="2:13" x14ac:dyDescent="0.3">
      <c r="B63" s="252" t="s">
        <v>1002</v>
      </c>
      <c r="C63" s="252"/>
      <c r="D63" s="59"/>
      <c r="E63" s="59"/>
      <c r="F63" s="59"/>
      <c r="G63" s="59"/>
      <c r="H63" s="59"/>
      <c r="I63" s="59"/>
      <c r="J63" s="59"/>
      <c r="K63" s="59"/>
      <c r="L63" s="59"/>
      <c r="M63" s="59"/>
    </row>
    <row r="64" spans="2:13" x14ac:dyDescent="0.3">
      <c r="C64" s="239" t="s">
        <v>1003</v>
      </c>
      <c r="D64" s="189">
        <f>+SP!H185-SP!G185</f>
        <v>310171.18</v>
      </c>
      <c r="E64" s="189">
        <f>+'SP Previsionale'!E38-'SP Previsionale'!D38</f>
        <v>172780.2743094998</v>
      </c>
      <c r="F64" s="189">
        <f>+'SP Previsionale'!F38-'SP Previsionale'!E38</f>
        <v>-113963.98736666678</v>
      </c>
      <c r="G64" s="189">
        <f>+'SP Previsionale'!G38-'SP Previsionale'!F38</f>
        <v>-152503.60573333339</v>
      </c>
      <c r="H64" s="189">
        <f>+'SP Previsionale'!H38-'SP Previsionale'!G38</f>
        <v>-109258.53120949963</v>
      </c>
      <c r="I64" s="189">
        <f>+'SP Previsionale'!I38-'SP Previsionale'!H38</f>
        <v>0</v>
      </c>
      <c r="J64" s="189">
        <f>+'SP Previsionale'!J38-'SP Previsionale'!I38</f>
        <v>0</v>
      </c>
      <c r="K64" s="189">
        <f>+'SP Previsionale'!K38-'SP Previsionale'!J38</f>
        <v>0</v>
      </c>
      <c r="L64" s="189">
        <f>+'SP Previsionale'!L38-'SP Previsionale'!K38</f>
        <v>0</v>
      </c>
      <c r="M64" s="189">
        <f>+'SP Previsionale'!M38-'SP Previsionale'!L38</f>
        <v>0</v>
      </c>
    </row>
    <row r="65" spans="2:13" x14ac:dyDescent="0.3">
      <c r="C65" s="239" t="s">
        <v>1004</v>
      </c>
      <c r="D65" s="189">
        <f>+IF(SP!H186&gt;SP!G186,SP!H186-SP!G186,0)</f>
        <v>0</v>
      </c>
      <c r="E65" s="189">
        <f>+IF('SP Previsionale'!E50&gt;'SP Previsionale'!D50,'SP Previsionale'!E50-'SP Previsionale'!D50,0)+IF('SP Previsionale'!E53+'SP Previsionale'!E54+'SP Previsionale'!E47&gt;'SP Previsionale'!D47+'SP Previsionale'!D53+'SP Previsionale'!D54,'SP Previsionale'!E47+'SP Previsionale'!E53+'SP Previsionale'!E54-'SP Previsionale'!D47-'SP Previsionale'!D53-'SP Previsionale'!D54)</f>
        <v>0</v>
      </c>
      <c r="F65" s="189">
        <f>+IF('SP Previsionale'!F50&gt;'SP Previsionale'!E50,'SP Previsionale'!F50-'SP Previsionale'!E50,0)+IF('SP Previsionale'!F53+'SP Previsionale'!F54+'SP Previsionale'!F47&gt;'SP Previsionale'!E47+'SP Previsionale'!E53+'SP Previsionale'!E54,'SP Previsionale'!F47+'SP Previsionale'!F53+'SP Previsionale'!F54-'SP Previsionale'!E47-'SP Previsionale'!E53-'SP Previsionale'!E54)</f>
        <v>0</v>
      </c>
      <c r="G65" s="189">
        <f>+IF('SP Previsionale'!G50&gt;'SP Previsionale'!F50,'SP Previsionale'!G50-'SP Previsionale'!F50,0)+IF('SP Previsionale'!G53+'SP Previsionale'!G54+'SP Previsionale'!G47&gt;'SP Previsionale'!F47+'SP Previsionale'!F53+'SP Previsionale'!F54,'SP Previsionale'!G47+'SP Previsionale'!G53+'SP Previsionale'!G54-'SP Previsionale'!F47-'SP Previsionale'!F53-'SP Previsionale'!F54)</f>
        <v>0</v>
      </c>
      <c r="H65" s="189">
        <f>+IF('SP Previsionale'!H50&gt;'SP Previsionale'!G50,'SP Previsionale'!H50-'SP Previsionale'!G50,0)+IF('SP Previsionale'!H53+'SP Previsionale'!H54+'SP Previsionale'!H47&gt;'SP Previsionale'!G47+'SP Previsionale'!G53+'SP Previsionale'!G54,'SP Previsionale'!H47+'SP Previsionale'!H53+'SP Previsionale'!H54-'SP Previsionale'!G47-'SP Previsionale'!G53-'SP Previsionale'!G54)</f>
        <v>0</v>
      </c>
      <c r="I65" s="189">
        <f>+IF('SP Previsionale'!I50&gt;'SP Previsionale'!H50,'SP Previsionale'!I50-'SP Previsionale'!H50,0)+IF('SP Previsionale'!I53+'SP Previsionale'!I54+'SP Previsionale'!I47&gt;'SP Previsionale'!H47+'SP Previsionale'!H53+'SP Previsionale'!H54,'SP Previsionale'!I47+'SP Previsionale'!I53+'SP Previsionale'!I54-'SP Previsionale'!H47-'SP Previsionale'!H53-'SP Previsionale'!H54)</f>
        <v>0</v>
      </c>
      <c r="J65" s="189">
        <f>+IF('SP Previsionale'!J50&gt;'SP Previsionale'!I50,'SP Previsionale'!J50-'SP Previsionale'!I50,0)+IF('SP Previsionale'!J53+'SP Previsionale'!J54+'SP Previsionale'!J47&gt;'SP Previsionale'!I47+'SP Previsionale'!I53+'SP Previsionale'!I54,'SP Previsionale'!J47+'SP Previsionale'!J53+'SP Previsionale'!J54-'SP Previsionale'!I47-'SP Previsionale'!I53-'SP Previsionale'!I54)</f>
        <v>0</v>
      </c>
      <c r="K65" s="189">
        <f>+IF('SP Previsionale'!K50&gt;'SP Previsionale'!J50,'SP Previsionale'!K50-'SP Previsionale'!J50,0)+IF('SP Previsionale'!K53+'SP Previsionale'!K54+'SP Previsionale'!K47&gt;'SP Previsionale'!J47+'SP Previsionale'!J53+'SP Previsionale'!J54,'SP Previsionale'!K47+'SP Previsionale'!K53+'SP Previsionale'!K54-'SP Previsionale'!J47-'SP Previsionale'!J53-'SP Previsionale'!J54)</f>
        <v>0</v>
      </c>
      <c r="L65" s="189">
        <f>+IF('SP Previsionale'!L50&gt;'SP Previsionale'!K50,'SP Previsionale'!L50-'SP Previsionale'!K50,0)+IF('SP Previsionale'!L53+'SP Previsionale'!L54+'SP Previsionale'!L47&gt;'SP Previsionale'!K47+'SP Previsionale'!K53+'SP Previsionale'!K54,'SP Previsionale'!L47+'SP Previsionale'!L53+'SP Previsionale'!L54-'SP Previsionale'!K47-'SP Previsionale'!K53-'SP Previsionale'!K54)</f>
        <v>0</v>
      </c>
      <c r="M65" s="189">
        <f>+IF('SP Previsionale'!M50&gt;'SP Previsionale'!L50,'SP Previsionale'!M50-'SP Previsionale'!L50,0)+IF('SP Previsionale'!M53+'SP Previsionale'!M54+'SP Previsionale'!M47&gt;'SP Previsionale'!L47+'SP Previsionale'!L53+'SP Previsionale'!L54,'SP Previsionale'!M47+'SP Previsionale'!M53+'SP Previsionale'!M54-'SP Previsionale'!L47-'SP Previsionale'!L53-'SP Previsionale'!L54)</f>
        <v>0</v>
      </c>
    </row>
    <row r="66" spans="2:13" x14ac:dyDescent="0.3">
      <c r="C66" s="239" t="s">
        <v>1005</v>
      </c>
      <c r="D66" s="189">
        <f>+IF(SP!H186&lt;SP!G186,SP!H186-SP!G186,0)</f>
        <v>-423732.83000000007</v>
      </c>
      <c r="E66" s="189">
        <f>+IF('SP Previsionale'!D50&gt;'SP Previsionale'!E50,'SP Previsionale'!E50-'SP Previsionale'!D50,0)+IF('SP Previsionale'!D47+'SP Previsionale'!D53+'SP Previsionale'!D54&gt;'SP Previsionale'!E47+'SP Previsionale'!E53+'SP Previsionale'!E54,'SP Previsionale'!E47+'SP Previsionale'!E53+'SP Previsionale'!E54-'SP Previsionale'!D47-'SP Previsionale'!D53-'SP Previsionale'!D54,0)</f>
        <v>0</v>
      </c>
      <c r="F66" s="189">
        <f>+IF('SP Previsionale'!E50&gt;'SP Previsionale'!F50,'SP Previsionale'!F50-'SP Previsionale'!E50,0)+IF('SP Previsionale'!E47+'SP Previsionale'!E53+'SP Previsionale'!E54&gt;'SP Previsionale'!F47+'SP Previsionale'!F53+'SP Previsionale'!F54,'SP Previsionale'!F47+'SP Previsionale'!F53+'SP Previsionale'!F54-'SP Previsionale'!E47-'SP Previsionale'!E53-'SP Previsionale'!E54,0)</f>
        <v>0</v>
      </c>
      <c r="G66" s="189">
        <f>+IF('SP Previsionale'!F50&gt;'SP Previsionale'!G50,'SP Previsionale'!G50-'SP Previsionale'!F50,0)+IF('SP Previsionale'!F47+'SP Previsionale'!F53+'SP Previsionale'!F54&gt;'SP Previsionale'!G47+'SP Previsionale'!G53+'SP Previsionale'!G54,'SP Previsionale'!G47+'SP Previsionale'!G53+'SP Previsionale'!G54-'SP Previsionale'!F47-'SP Previsionale'!F53-'SP Previsionale'!F54,0)</f>
        <v>0</v>
      </c>
      <c r="H66" s="189">
        <f>+IF('SP Previsionale'!G50&gt;'SP Previsionale'!H50,'SP Previsionale'!H50-'SP Previsionale'!G50,0)+IF('SP Previsionale'!G47+'SP Previsionale'!G53+'SP Previsionale'!G54&gt;'SP Previsionale'!H47+'SP Previsionale'!H53+'SP Previsionale'!H54,'SP Previsionale'!H47+'SP Previsionale'!H53+'SP Previsionale'!H54-'SP Previsionale'!G47-'SP Previsionale'!G53-'SP Previsionale'!G54,0)</f>
        <v>0</v>
      </c>
      <c r="I66" s="189">
        <f>+IF('SP Previsionale'!H50&gt;'SP Previsionale'!I50,'SP Previsionale'!I50-'SP Previsionale'!H50,0)+IF('SP Previsionale'!H47+'SP Previsionale'!H53+'SP Previsionale'!H54&gt;'SP Previsionale'!I47+'SP Previsionale'!I53+'SP Previsionale'!I54,'SP Previsionale'!I47+'SP Previsionale'!I53+'SP Previsionale'!I54-'SP Previsionale'!H47-'SP Previsionale'!H53-'SP Previsionale'!H54,0)</f>
        <v>0</v>
      </c>
      <c r="J66" s="189">
        <f>+IF('SP Previsionale'!I50&gt;'SP Previsionale'!J50,'SP Previsionale'!J50-'SP Previsionale'!I50,0)+IF('SP Previsionale'!I47+'SP Previsionale'!I53+'SP Previsionale'!I54&gt;'SP Previsionale'!J47+'SP Previsionale'!J53+'SP Previsionale'!J54,'SP Previsionale'!J47+'SP Previsionale'!J53+'SP Previsionale'!J54-'SP Previsionale'!I47-'SP Previsionale'!I53-'SP Previsionale'!I54,0)</f>
        <v>0</v>
      </c>
      <c r="K66" s="189">
        <f>+IF('SP Previsionale'!J50&gt;'SP Previsionale'!K50,'SP Previsionale'!K50-'SP Previsionale'!J50,0)+IF('SP Previsionale'!J47+'SP Previsionale'!J53+'SP Previsionale'!J54&gt;'SP Previsionale'!K47+'SP Previsionale'!K53+'SP Previsionale'!K54,'SP Previsionale'!K47+'SP Previsionale'!K53+'SP Previsionale'!K54-'SP Previsionale'!J47-'SP Previsionale'!J53-'SP Previsionale'!J54,0)</f>
        <v>0</v>
      </c>
      <c r="L66" s="189">
        <f>+IF('SP Previsionale'!K50&gt;'SP Previsionale'!L50,'SP Previsionale'!L50-'SP Previsionale'!K50,0)+IF('SP Previsionale'!K47+'SP Previsionale'!K53+'SP Previsionale'!K54&gt;'SP Previsionale'!L47+'SP Previsionale'!L53+'SP Previsionale'!L54,'SP Previsionale'!L47+'SP Previsionale'!L53+'SP Previsionale'!L54-'SP Previsionale'!K47-'SP Previsionale'!K53-'SP Previsionale'!K54,0)</f>
        <v>0</v>
      </c>
      <c r="M66" s="189">
        <f>+IF('SP Previsionale'!L50&gt;'SP Previsionale'!M50,'SP Previsionale'!M50-'SP Previsionale'!L50,0)+IF('SP Previsionale'!L47+'SP Previsionale'!L53+'SP Previsionale'!L54&gt;'SP Previsionale'!M47+'SP Previsionale'!M53+'SP Previsionale'!M54,'SP Previsionale'!M47+'SP Previsionale'!M53+'SP Previsionale'!M54-'SP Previsionale'!L47-'SP Previsionale'!L53-'SP Previsionale'!L54,0)</f>
        <v>0</v>
      </c>
    </row>
    <row r="67" spans="2:13" x14ac:dyDescent="0.3">
      <c r="D67" s="59"/>
      <c r="E67" s="59"/>
      <c r="F67" s="59"/>
      <c r="G67" s="59"/>
      <c r="H67" s="59"/>
      <c r="I67" s="59"/>
      <c r="J67" s="59"/>
      <c r="K67" s="59"/>
      <c r="L67" s="59"/>
      <c r="M67" s="59"/>
    </row>
    <row r="68" spans="2:13" x14ac:dyDescent="0.3">
      <c r="B68" s="252" t="s">
        <v>1006</v>
      </c>
      <c r="C68" s="252" t="s">
        <v>1006</v>
      </c>
      <c r="D68" s="59"/>
      <c r="E68" s="59"/>
      <c r="F68" s="59"/>
      <c r="G68" s="59"/>
      <c r="H68" s="59"/>
      <c r="I68" s="59"/>
      <c r="J68" s="59"/>
      <c r="K68" s="59"/>
      <c r="L68" s="59"/>
      <c r="M68" s="59"/>
    </row>
    <row r="69" spans="2:13" x14ac:dyDescent="0.3">
      <c r="C69" s="239" t="s">
        <v>1007</v>
      </c>
      <c r="D69" s="189">
        <f>+IF(SP!G11-SP!H11+SP!H127-SP!G127&gt;0,SP!H127-SP!G127+SP!G11-SP!H11,0)</f>
        <v>0</v>
      </c>
      <c r="E69" s="189">
        <f>+IF('SP Previsionale'!E57&gt;'SP Previsionale'!D57,'SP Previsionale'!E57-'SP Previsionale'!D57,0)</f>
        <v>0</v>
      </c>
      <c r="F69" s="189">
        <f>+IF('SP Previsionale'!F57&gt;'SP Previsionale'!E57,'SP Previsionale'!F57-'SP Previsionale'!E57,0)</f>
        <v>0</v>
      </c>
      <c r="G69" s="189">
        <f>+IF('SP Previsionale'!G57&gt;'SP Previsionale'!F57,'SP Previsionale'!G57-'SP Previsionale'!F57,0)</f>
        <v>0</v>
      </c>
      <c r="H69" s="189">
        <f>+IF('SP Previsionale'!H57&gt;'SP Previsionale'!G57,'SP Previsionale'!H57-'SP Previsionale'!G57,0)</f>
        <v>0</v>
      </c>
      <c r="I69" s="189">
        <f>+IF('SP Previsionale'!I57&gt;'SP Previsionale'!H57,'SP Previsionale'!I57-'SP Previsionale'!H57,0)</f>
        <v>0</v>
      </c>
      <c r="J69" s="189">
        <f>+IF('SP Previsionale'!J57&gt;'SP Previsionale'!I57,'SP Previsionale'!J57-'SP Previsionale'!I57,0)</f>
        <v>0</v>
      </c>
      <c r="K69" s="189">
        <f>+IF('SP Previsionale'!K57&gt;'SP Previsionale'!J57,'SP Previsionale'!K57-'SP Previsionale'!J57,0)</f>
        <v>0</v>
      </c>
      <c r="L69" s="189">
        <f>+IF('SP Previsionale'!L57&gt;'SP Previsionale'!K57,'SP Previsionale'!L57-'SP Previsionale'!K57,0)</f>
        <v>0</v>
      </c>
      <c r="M69" s="189">
        <f>+IF('SP Previsionale'!M57&gt;'SP Previsionale'!L57,'SP Previsionale'!M57-'SP Previsionale'!L57,0)</f>
        <v>0</v>
      </c>
    </row>
    <row r="70" spans="2:13" x14ac:dyDescent="0.3">
      <c r="C70" s="239" t="s">
        <v>1008</v>
      </c>
      <c r="D70" s="189">
        <f>-IF(SP!G127-SP!H127+SP!H11-SP!G11&gt;0,SP!G127-SP!H127+SP!H11-SP!G11,0)</f>
        <v>0</v>
      </c>
      <c r="E70" s="189">
        <f>+IF('SP Previsionale'!D57&gt;'SP Previsionale'!E57,'SP Previsionale'!E57-'SP Previsionale'!D57,0)</f>
        <v>0</v>
      </c>
      <c r="F70" s="189">
        <f>+IF('SP Previsionale'!E57&gt;'SP Previsionale'!F57,'SP Previsionale'!F57-'SP Previsionale'!E57,0)</f>
        <v>0</v>
      </c>
      <c r="G70" s="189">
        <f>+IF('SP Previsionale'!F57&gt;'SP Previsionale'!G57,'SP Previsionale'!G57-'SP Previsionale'!F57,0)</f>
        <v>0</v>
      </c>
      <c r="H70" s="189">
        <f>+IF('SP Previsionale'!G57&gt;'SP Previsionale'!H57,'SP Previsionale'!H57-'SP Previsionale'!G57,0)</f>
        <v>0</v>
      </c>
      <c r="I70" s="189">
        <f>+IF('SP Previsionale'!H57&gt;'SP Previsionale'!I57,'SP Previsionale'!I57-'SP Previsionale'!H57,0)</f>
        <v>0</v>
      </c>
      <c r="J70" s="189">
        <f>+IF('SP Previsionale'!I57&gt;'SP Previsionale'!J57,'SP Previsionale'!J57-'SP Previsionale'!I57,0)</f>
        <v>0</v>
      </c>
      <c r="K70" s="189">
        <f>+IF('SP Previsionale'!J57&gt;'SP Previsionale'!K57,'SP Previsionale'!K57-'SP Previsionale'!J57,0)</f>
        <v>0</v>
      </c>
      <c r="L70" s="189">
        <f>+IF('SP Previsionale'!K57&gt;'SP Previsionale'!L57,'SP Previsionale'!L57-'SP Previsionale'!K57,0)</f>
        <v>0</v>
      </c>
      <c r="M70" s="189">
        <f>+IF('SP Previsionale'!L57&gt;'SP Previsionale'!M57,'SP Previsionale'!M57-'SP Previsionale'!L57,0)</f>
        <v>0</v>
      </c>
    </row>
    <row r="71" spans="2:13" x14ac:dyDescent="0.3">
      <c r="C71" s="239" t="s">
        <v>1009</v>
      </c>
      <c r="D71" s="189">
        <f>+SP!G162+SP!H160+SP!H159+SP!H156+SP!H155+SP!H131+SP!H130+SP!H129+SP!H128-SP!G128-SP!G129-SP!G130-SP!G131-SP!G155-SP!G156-SP!G158-SP!G159-SP!G160-SP!G162</f>
        <v>3.637978807091713E-12</v>
      </c>
      <c r="E71" s="189">
        <f>+'SP Previsionale'!E58+'SP Previsionale'!E59+'SP Previsionale'!E60-'SP Previsionale'!D58-'SP Previsionale'!D59-'SP Previsionale'!D60-'SP Previsionale'!D61</f>
        <v>0</v>
      </c>
      <c r="F71" s="189">
        <f>+'SP Previsionale'!F58+'SP Previsionale'!F59+'SP Previsionale'!F60-'SP Previsionale'!E58-'SP Previsionale'!E59-'SP Previsionale'!E60-'SP Previsionale'!E61</f>
        <v>0</v>
      </c>
      <c r="G71" s="189">
        <f>+'SP Previsionale'!G58+'SP Previsionale'!G59+'SP Previsionale'!G60-'SP Previsionale'!F58-'SP Previsionale'!F59-'SP Previsionale'!F60-'SP Previsionale'!F61</f>
        <v>0</v>
      </c>
      <c r="H71" s="189">
        <f>+'SP Previsionale'!H58+'SP Previsionale'!H59+'SP Previsionale'!H60-'SP Previsionale'!G58-'SP Previsionale'!G59-'SP Previsionale'!G60-'SP Previsionale'!G61</f>
        <v>0</v>
      </c>
      <c r="I71" s="189">
        <f>+'SP Previsionale'!I58+'SP Previsionale'!I59+'SP Previsionale'!I60-'SP Previsionale'!H58-'SP Previsionale'!H59-'SP Previsionale'!H60-'SP Previsionale'!H61</f>
        <v>0</v>
      </c>
      <c r="J71" s="189">
        <f>+'SP Previsionale'!J58+'SP Previsionale'!J59+'SP Previsionale'!J60-'SP Previsionale'!I58-'SP Previsionale'!I59-'SP Previsionale'!I60-'SP Previsionale'!I61</f>
        <v>0</v>
      </c>
      <c r="K71" s="189">
        <f>+'SP Previsionale'!K58+'SP Previsionale'!K59+'SP Previsionale'!K60-'SP Previsionale'!J58-'SP Previsionale'!J59-'SP Previsionale'!J60-'SP Previsionale'!J61</f>
        <v>0</v>
      </c>
      <c r="L71" s="189">
        <f>+'SP Previsionale'!L58+'SP Previsionale'!L59+'SP Previsionale'!L60-'SP Previsionale'!K58-'SP Previsionale'!K59-'SP Previsionale'!K60-'SP Previsionale'!K61</f>
        <v>1.3096723705530167E-10</v>
      </c>
      <c r="M71" s="189">
        <f>+'SP Previsionale'!M58+'SP Previsionale'!M59+'SP Previsionale'!M60-'SP Previsionale'!L58-'SP Previsionale'!L59-'SP Previsionale'!L60-'SP Previsionale'!L61</f>
        <v>0</v>
      </c>
    </row>
    <row r="72" spans="2:13" x14ac:dyDescent="0.3">
      <c r="C72" s="238" t="s">
        <v>1010</v>
      </c>
      <c r="D72" s="60">
        <f>+SUM(D63:D71)</f>
        <v>-113561.65000000008</v>
      </c>
      <c r="E72" s="60">
        <f t="shared" ref="E72" si="43">+SUM(E63:E71)</f>
        <v>172780.2743094998</v>
      </c>
      <c r="F72" s="60">
        <f t="shared" ref="F72:G72" si="44">+SUM(F63:F71)</f>
        <v>-113963.98736666678</v>
      </c>
      <c r="G72" s="60">
        <f t="shared" si="44"/>
        <v>-152503.60573333339</v>
      </c>
      <c r="H72" s="60">
        <f t="shared" ref="H72:L72" si="45">+SUM(H63:H71)</f>
        <v>-109258.53120949963</v>
      </c>
      <c r="I72" s="60">
        <f t="shared" si="45"/>
        <v>0</v>
      </c>
      <c r="J72" s="60">
        <f t="shared" si="45"/>
        <v>0</v>
      </c>
      <c r="K72" s="60">
        <f t="shared" si="45"/>
        <v>0</v>
      </c>
      <c r="L72" s="60">
        <f t="shared" si="45"/>
        <v>1.3096723705530167E-10</v>
      </c>
      <c r="M72" s="60">
        <f t="shared" ref="M72" si="46">+SUM(M63:M71)</f>
        <v>0</v>
      </c>
    </row>
    <row r="73" spans="2:13" x14ac:dyDescent="0.3">
      <c r="C73" s="58"/>
      <c r="M73" s="57"/>
    </row>
    <row r="74" spans="2:13" x14ac:dyDescent="0.3">
      <c r="B74" s="252" t="s">
        <v>1011</v>
      </c>
      <c r="C74" s="252" t="s">
        <v>1011</v>
      </c>
      <c r="D74" s="60">
        <f>+D72+D59+D38</f>
        <v>35340.74000000034</v>
      </c>
      <c r="E74" s="60">
        <f t="shared" ref="E74" si="47">+E72+E59+E38</f>
        <v>-138281.14000000016</v>
      </c>
      <c r="F74" s="60">
        <f t="shared" ref="F74:G74" si="48">+F72+F59+F38</f>
        <v>0.99999999983992893</v>
      </c>
      <c r="G74" s="60">
        <f t="shared" si="48"/>
        <v>2</v>
      </c>
      <c r="H74" s="60">
        <f t="shared" ref="H74:L74" si="49">+H72+H59+H38</f>
        <v>449550.40187383367</v>
      </c>
      <c r="I74" s="60">
        <f t="shared" si="49"/>
        <v>139254.27240000002</v>
      </c>
      <c r="J74" s="60">
        <f t="shared" si="49"/>
        <v>139255.27240000002</v>
      </c>
      <c r="K74" s="60">
        <f t="shared" si="49"/>
        <v>139256.27240000002</v>
      </c>
      <c r="L74" s="60">
        <f t="shared" si="49"/>
        <v>139257.27240000013</v>
      </c>
      <c r="M74" s="60">
        <f t="shared" ref="M74" si="50">+M72+M59+M38</f>
        <v>139258.27239999999</v>
      </c>
    </row>
    <row r="75" spans="2:13" x14ac:dyDescent="0.3">
      <c r="C75" s="2" t="str">
        <f>+"Disponibilità liquide al 1 gennaio "</f>
        <v xml:space="preserve">Disponibilità liquide al 1 gennaio </v>
      </c>
      <c r="D75" s="60">
        <f>+SP!G118</f>
        <v>102940.49</v>
      </c>
      <c r="E75" s="60">
        <f>+D76</f>
        <v>138281.23000000033</v>
      </c>
      <c r="F75" s="60">
        <f>+E76</f>
        <v>9.0000000171130523E-2</v>
      </c>
      <c r="G75" s="60">
        <f t="shared" ref="G75:M75" si="51">+F76</f>
        <v>1.0900000000110595</v>
      </c>
      <c r="H75" s="60">
        <f t="shared" si="51"/>
        <v>3.0900000000110595</v>
      </c>
      <c r="I75" s="60">
        <f t="shared" si="51"/>
        <v>449553.4918738337</v>
      </c>
      <c r="J75" s="60">
        <f t="shared" si="51"/>
        <v>588807.76427383372</v>
      </c>
      <c r="K75" s="60">
        <f t="shared" si="51"/>
        <v>728063.03667383373</v>
      </c>
      <c r="L75" s="60">
        <f t="shared" si="51"/>
        <v>867319.30907383375</v>
      </c>
      <c r="M75" s="60">
        <f t="shared" si="51"/>
        <v>1006576.5814738339</v>
      </c>
    </row>
    <row r="76" spans="2:13" x14ac:dyDescent="0.3">
      <c r="C76" s="2" t="str">
        <f>+"Disponibilità liquide al 31 dicembre "</f>
        <v xml:space="preserve">Disponibilità liquide al 31 dicembre </v>
      </c>
      <c r="D76" s="60">
        <f>+D75+D74</f>
        <v>138281.23000000033</v>
      </c>
      <c r="E76" s="60">
        <f>+E75+E74</f>
        <v>9.0000000171130523E-2</v>
      </c>
      <c r="F76" s="60">
        <f>+F75+F74</f>
        <v>1.0900000000110595</v>
      </c>
      <c r="G76" s="60">
        <f t="shared" ref="G76:M76" si="52">+G75+G74</f>
        <v>3.0900000000110595</v>
      </c>
      <c r="H76" s="60">
        <f t="shared" si="52"/>
        <v>449553.4918738337</v>
      </c>
      <c r="I76" s="60">
        <f t="shared" si="52"/>
        <v>588807.76427383372</v>
      </c>
      <c r="J76" s="60">
        <f t="shared" si="52"/>
        <v>728063.03667383373</v>
      </c>
      <c r="K76" s="60">
        <f t="shared" si="52"/>
        <v>867319.30907383375</v>
      </c>
      <c r="L76" s="60">
        <f t="shared" si="52"/>
        <v>1006576.5814738339</v>
      </c>
      <c r="M76" s="60">
        <f t="shared" si="52"/>
        <v>1145834.8538738338</v>
      </c>
    </row>
  </sheetData>
  <mergeCells count="3">
    <mergeCell ref="B68:C68"/>
    <mergeCell ref="B74:C74"/>
    <mergeCell ref="B63:C63"/>
  </mergeCells>
  <hyperlinks>
    <hyperlink ref="C1" location="Menu!A1" display="MENU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3"/>
  <sheetViews>
    <sheetView showGridLines="0" workbookViewId="0">
      <selection activeCell="G24" sqref="G24"/>
    </sheetView>
  </sheetViews>
  <sheetFormatPr defaultColWidth="8.6640625" defaultRowHeight="14.4" x14ac:dyDescent="0.3"/>
  <cols>
    <col min="2" max="2" width="62" bestFit="1" customWidth="1"/>
    <col min="3" max="4" width="13.21875" bestFit="1" customWidth="1"/>
  </cols>
  <sheetData>
    <row r="2" spans="2:4" x14ac:dyDescent="0.3">
      <c r="B2" s="73"/>
      <c r="C2" s="92">
        <f>+SP!G4</f>
        <v>2015</v>
      </c>
      <c r="D2" s="92">
        <f>+SP!H4</f>
        <v>2016</v>
      </c>
    </row>
    <row r="3" spans="2:4" x14ac:dyDescent="0.3">
      <c r="B3" s="73" t="s">
        <v>88</v>
      </c>
      <c r="C3" s="63"/>
      <c r="D3" s="63"/>
    </row>
    <row r="4" spans="2:4" x14ac:dyDescent="0.3">
      <c r="B4" s="73"/>
      <c r="C4" s="63"/>
      <c r="D4" s="63"/>
    </row>
    <row r="5" spans="2:4" x14ac:dyDescent="0.3">
      <c r="B5" s="73" t="s">
        <v>858</v>
      </c>
      <c r="C5" s="62">
        <f>+SP!G118</f>
        <v>102940.49</v>
      </c>
      <c r="D5" s="62">
        <f>+SP!H118</f>
        <v>138281.13999999998</v>
      </c>
    </row>
    <row r="6" spans="2:4" x14ac:dyDescent="0.3">
      <c r="B6" s="63"/>
      <c r="C6" s="63"/>
      <c r="D6" s="63"/>
    </row>
    <row r="7" spans="2:4" x14ac:dyDescent="0.3">
      <c r="B7" s="73" t="s">
        <v>859</v>
      </c>
      <c r="C7" s="62">
        <f>+C8+C9+C10+C11</f>
        <v>393215.16</v>
      </c>
      <c r="D7" s="62">
        <f t="shared" ref="D7" si="0">+D8+D9+D10+D11</f>
        <v>482579.51</v>
      </c>
    </row>
    <row r="8" spans="2:4" x14ac:dyDescent="0.3">
      <c r="B8" s="63" t="s">
        <v>33</v>
      </c>
      <c r="C8" s="70">
        <f>+SP!G75</f>
        <v>282914.26</v>
      </c>
      <c r="D8" s="70">
        <f>+SP!H75</f>
        <v>343762.73</v>
      </c>
    </row>
    <row r="9" spans="2:4" x14ac:dyDescent="0.3">
      <c r="B9" s="63" t="s">
        <v>34</v>
      </c>
      <c r="C9" s="70">
        <f>+SP!G95+SP!G99</f>
        <v>-13554.77</v>
      </c>
      <c r="D9" s="70">
        <f>+SP!H95+SP!H99</f>
        <v>20616.28</v>
      </c>
    </row>
    <row r="10" spans="2:4" x14ac:dyDescent="0.3">
      <c r="B10" s="63" t="s">
        <v>35</v>
      </c>
      <c r="C10" s="70">
        <f>+SP!G123</f>
        <v>32927.620000000003</v>
      </c>
      <c r="D10" s="70">
        <f>+SP!H123</f>
        <v>35964.9</v>
      </c>
    </row>
    <row r="11" spans="2:4" x14ac:dyDescent="0.3">
      <c r="B11" s="63" t="s">
        <v>36</v>
      </c>
      <c r="C11" s="70">
        <f>+SP!G79+SP!G83+SP!G87+SP!G91+SP!G103+SP!G113</f>
        <v>90928.05</v>
      </c>
      <c r="D11" s="70">
        <f>+SP!H79+SP!H83+SP!H87+SP!H91+SP!H103+SP!H113</f>
        <v>82235.600000000006</v>
      </c>
    </row>
    <row r="12" spans="2:4" x14ac:dyDescent="0.3">
      <c r="B12" s="63"/>
      <c r="C12" s="63"/>
      <c r="D12" s="63"/>
    </row>
    <row r="13" spans="2:4" x14ac:dyDescent="0.3">
      <c r="B13" s="73" t="s">
        <v>860</v>
      </c>
      <c r="C13" s="62">
        <f>+SUM(C14:C15)</f>
        <v>251685.3</v>
      </c>
      <c r="D13" s="62">
        <f t="shared" ref="D13" si="1">+SUM(D14:D15)</f>
        <v>207969.09</v>
      </c>
    </row>
    <row r="14" spans="2:4" x14ac:dyDescent="0.3">
      <c r="B14" s="63" t="s">
        <v>861</v>
      </c>
      <c r="C14" s="70">
        <f>+SP!G67+SP!G68+SP!G69</f>
        <v>251685.3</v>
      </c>
      <c r="D14" s="70">
        <f>+SP!H67+SP!H68+SP!H69</f>
        <v>207969.09</v>
      </c>
    </row>
    <row r="15" spans="2:4" x14ac:dyDescent="0.3">
      <c r="B15" s="63" t="s">
        <v>862</v>
      </c>
      <c r="C15" s="70">
        <f>+SP!G65+SP!G66</f>
        <v>0</v>
      </c>
      <c r="D15" s="70">
        <f>+SP!H65+SP!H66</f>
        <v>0</v>
      </c>
    </row>
    <row r="16" spans="2:4" x14ac:dyDescent="0.3">
      <c r="B16" s="64"/>
      <c r="C16" s="63"/>
      <c r="D16" s="63"/>
    </row>
    <row r="17" spans="2:4" x14ac:dyDescent="0.3">
      <c r="B17" s="73" t="s">
        <v>37</v>
      </c>
      <c r="C17" s="74">
        <f>+C18+C20</f>
        <v>2506644.13</v>
      </c>
      <c r="D17" s="74">
        <f t="shared" ref="D17" si="2">+D18+D20</f>
        <v>2343629.81</v>
      </c>
    </row>
    <row r="18" spans="2:4" x14ac:dyDescent="0.3">
      <c r="B18" s="64" t="s">
        <v>863</v>
      </c>
      <c r="C18" s="74">
        <f>+SUM(C19:C19)</f>
        <v>2019414.98</v>
      </c>
      <c r="D18" s="74">
        <f t="shared" ref="D18" si="3">+SUM(D19:D19)</f>
        <v>1988414.54</v>
      </c>
    </row>
    <row r="19" spans="2:4" x14ac:dyDescent="0.3">
      <c r="B19" s="63" t="s">
        <v>864</v>
      </c>
      <c r="C19" s="70">
        <f>+SP!G23</f>
        <v>2019414.98</v>
      </c>
      <c r="D19" s="70">
        <f>+SP!H23</f>
        <v>1988414.54</v>
      </c>
    </row>
    <row r="20" spans="2:4" x14ac:dyDescent="0.3">
      <c r="B20" s="64" t="s">
        <v>865</v>
      </c>
      <c r="C20" s="74">
        <f>+SUM(C21:C23)</f>
        <v>487229.15</v>
      </c>
      <c r="D20" s="74">
        <f t="shared" ref="D20" si="4">+SUM(D21:D23)</f>
        <v>355215.26999999996</v>
      </c>
    </row>
    <row r="21" spans="2:4" x14ac:dyDescent="0.3">
      <c r="B21" s="63" t="s">
        <v>866</v>
      </c>
      <c r="C21" s="70">
        <f>+SP!G24</f>
        <v>52082.02</v>
      </c>
      <c r="D21" s="70">
        <f>+SP!H24</f>
        <v>46898.14</v>
      </c>
    </row>
    <row r="22" spans="2:4" x14ac:dyDescent="0.3">
      <c r="B22" s="63" t="s">
        <v>867</v>
      </c>
      <c r="C22" s="70">
        <f>+SP!G25</f>
        <v>239360.34</v>
      </c>
      <c r="D22" s="70">
        <f>+SP!H25</f>
        <v>158998.82999999999</v>
      </c>
    </row>
    <row r="23" spans="2:4" x14ac:dyDescent="0.3">
      <c r="B23" s="63" t="s">
        <v>868</v>
      </c>
      <c r="C23" s="70">
        <f>+SP!G26+SP!G27</f>
        <v>195786.79</v>
      </c>
      <c r="D23" s="70">
        <f>+SP!H26+SP!H27</f>
        <v>149318.29999999999</v>
      </c>
    </row>
    <row r="24" spans="2:4" x14ac:dyDescent="0.3">
      <c r="B24" s="64"/>
      <c r="C24" s="63"/>
      <c r="D24" s="63"/>
    </row>
    <row r="25" spans="2:4" x14ac:dyDescent="0.3">
      <c r="B25" s="73" t="s">
        <v>869</v>
      </c>
      <c r="C25" s="74">
        <f>+C26</f>
        <v>300.20999999999998</v>
      </c>
      <c r="D25" s="74">
        <f t="shared" ref="D25" si="5">+D26</f>
        <v>0</v>
      </c>
    </row>
    <row r="26" spans="2:4" x14ac:dyDescent="0.3">
      <c r="B26" s="64" t="s">
        <v>870</v>
      </c>
      <c r="C26" s="74">
        <f>+SUM(C27:C29)</f>
        <v>300.20999999999998</v>
      </c>
      <c r="D26" s="74">
        <f t="shared" ref="D26" si="6">+SUM(D27:D29)</f>
        <v>0</v>
      </c>
    </row>
    <row r="27" spans="2:4" x14ac:dyDescent="0.3">
      <c r="B27" s="63" t="s">
        <v>871</v>
      </c>
      <c r="C27" s="70">
        <f>+SP!G14</f>
        <v>0</v>
      </c>
      <c r="D27" s="70">
        <f>+SP!H14</f>
        <v>0</v>
      </c>
    </row>
    <row r="28" spans="2:4" x14ac:dyDescent="0.3">
      <c r="B28" s="63" t="s">
        <v>872</v>
      </c>
      <c r="C28" s="70">
        <f>+SP!G15</f>
        <v>0</v>
      </c>
      <c r="D28" s="70">
        <f>+SP!H15</f>
        <v>0</v>
      </c>
    </row>
    <row r="29" spans="2:4" x14ac:dyDescent="0.3">
      <c r="B29" s="63" t="s">
        <v>1012</v>
      </c>
      <c r="C29" s="70">
        <f>+SP!G16+SP!G17+SP!G18+SP!G19+SP!G20</f>
        <v>300.20999999999998</v>
      </c>
      <c r="D29" s="70">
        <f>+SP!H16+SP!H17+SP!H18+SP!H19+SP!H20</f>
        <v>0</v>
      </c>
    </row>
    <row r="30" spans="2:4" x14ac:dyDescent="0.3">
      <c r="B30" s="63"/>
      <c r="C30" s="70"/>
      <c r="D30" s="70"/>
    </row>
    <row r="31" spans="2:4" x14ac:dyDescent="0.3">
      <c r="B31" s="73" t="s">
        <v>48</v>
      </c>
      <c r="C31" s="74">
        <f>+SP!G61+SP!G11</f>
        <v>559.4</v>
      </c>
      <c r="D31" s="74">
        <f>+SP!H61+SP!H11</f>
        <v>559.4</v>
      </c>
    </row>
    <row r="32" spans="2:4" x14ac:dyDescent="0.3">
      <c r="B32" s="63"/>
      <c r="C32" s="63"/>
      <c r="D32" s="63"/>
    </row>
    <row r="33" spans="2:4" x14ac:dyDescent="0.3">
      <c r="B33" s="73" t="s">
        <v>874</v>
      </c>
      <c r="C33" s="62">
        <f t="shared" ref="C33:D33" si="7">+C25+C17+C13+C7+C5+C31</f>
        <v>3255344.69</v>
      </c>
      <c r="D33" s="62">
        <f t="shared" si="7"/>
        <v>3173018.95</v>
      </c>
    </row>
    <row r="34" spans="2:4" x14ac:dyDescent="0.3">
      <c r="B34" s="63"/>
      <c r="C34" s="63"/>
      <c r="D34" s="63"/>
    </row>
    <row r="35" spans="2:4" x14ac:dyDescent="0.3">
      <c r="B35" s="73" t="s">
        <v>361</v>
      </c>
      <c r="C35" s="63"/>
      <c r="D35" s="63"/>
    </row>
    <row r="36" spans="2:4" x14ac:dyDescent="0.3">
      <c r="B36" s="63"/>
      <c r="C36" s="63"/>
      <c r="D36" s="63"/>
    </row>
    <row r="37" spans="2:4" x14ac:dyDescent="0.3">
      <c r="B37" s="73" t="s">
        <v>875</v>
      </c>
      <c r="C37" s="74">
        <f>+C38</f>
        <v>-107225.33</v>
      </c>
      <c r="D37" s="74">
        <f>+D38</f>
        <v>202945.85</v>
      </c>
    </row>
    <row r="38" spans="2:4" x14ac:dyDescent="0.3">
      <c r="B38" s="64" t="s">
        <v>876</v>
      </c>
      <c r="C38" s="70">
        <f>+SP!G185</f>
        <v>-107225.33</v>
      </c>
      <c r="D38" s="70">
        <f>+SP!H185</f>
        <v>202945.85</v>
      </c>
    </row>
    <row r="39" spans="2:4" x14ac:dyDescent="0.3">
      <c r="B39" s="64"/>
      <c r="C39" s="63"/>
      <c r="D39" s="63"/>
    </row>
    <row r="40" spans="2:4" x14ac:dyDescent="0.3">
      <c r="B40" s="73" t="s">
        <v>877</v>
      </c>
      <c r="C40" s="62">
        <f>+C41+C42+C43+C44+C45</f>
        <v>378374.28999999992</v>
      </c>
      <c r="D40" s="62">
        <f>+D41+D42+D43+D44+D45</f>
        <v>458546.44</v>
      </c>
    </row>
    <row r="41" spans="2:4" x14ac:dyDescent="0.3">
      <c r="B41" s="64" t="s">
        <v>878</v>
      </c>
      <c r="C41" s="74">
        <f>+SP!G199</f>
        <v>194092.79999999999</v>
      </c>
      <c r="D41" s="74">
        <f>+SP!H199</f>
        <v>210252.16</v>
      </c>
    </row>
    <row r="42" spans="2:4" x14ac:dyDescent="0.3">
      <c r="B42" s="64" t="s">
        <v>879</v>
      </c>
      <c r="C42" s="74">
        <f>+SP!G227</f>
        <v>11615.99</v>
      </c>
      <c r="D42" s="74">
        <f>+SP!H227</f>
        <v>5958</v>
      </c>
    </row>
    <row r="43" spans="2:4" x14ac:dyDescent="0.3">
      <c r="B43" s="64" t="s">
        <v>880</v>
      </c>
      <c r="C43" s="74">
        <f>+SP!G223</f>
        <v>63228.68</v>
      </c>
      <c r="D43" s="74">
        <f>+SP!H223</f>
        <v>153790.65</v>
      </c>
    </row>
    <row r="44" spans="2:4" x14ac:dyDescent="0.3">
      <c r="B44" s="64" t="s">
        <v>881</v>
      </c>
      <c r="C44" s="74">
        <f>+SP!G191+SP!G195+SP!G203+SP!G215+SP!G219+SP!G231</f>
        <v>25062.16</v>
      </c>
      <c r="D44" s="74">
        <f>+SP!H191+SP!H195+SP!H203+SP!H215+SP!H219+SP!H231</f>
        <v>70638.95</v>
      </c>
    </row>
    <row r="45" spans="2:4" x14ac:dyDescent="0.3">
      <c r="B45" s="64" t="s">
        <v>882</v>
      </c>
      <c r="C45" s="74">
        <f>+SP!G236</f>
        <v>84374.66</v>
      </c>
      <c r="D45" s="74">
        <f>+SP!H236</f>
        <v>17906.68</v>
      </c>
    </row>
    <row r="46" spans="2:4" x14ac:dyDescent="0.3">
      <c r="B46" s="63"/>
      <c r="C46" s="63"/>
      <c r="D46" s="63"/>
    </row>
    <row r="47" spans="2:4" x14ac:dyDescent="0.3">
      <c r="B47" s="73" t="s">
        <v>883</v>
      </c>
      <c r="C47" s="74">
        <f>+SP!G183</f>
        <v>850000</v>
      </c>
      <c r="D47" s="74">
        <f>+SP!H183</f>
        <v>850000</v>
      </c>
    </row>
    <row r="48" spans="2:4" x14ac:dyDescent="0.3">
      <c r="B48" s="73"/>
      <c r="C48" s="74"/>
      <c r="D48" s="74"/>
    </row>
    <row r="49" spans="2:4" x14ac:dyDescent="0.3">
      <c r="B49" s="73" t="s">
        <v>884</v>
      </c>
      <c r="C49" s="74">
        <f>+SUM(C50:C54)</f>
        <v>1864961.75</v>
      </c>
      <c r="D49" s="74">
        <f>+SUM(D50:D54)</f>
        <v>1378703.96</v>
      </c>
    </row>
    <row r="50" spans="2:4" x14ac:dyDescent="0.3">
      <c r="B50" s="73" t="s">
        <v>885</v>
      </c>
      <c r="C50" s="70">
        <f>+SP!G186</f>
        <v>1766585.59</v>
      </c>
      <c r="D50" s="70">
        <f>+SP!H186</f>
        <v>1342852.76</v>
      </c>
    </row>
    <row r="51" spans="2:4" x14ac:dyDescent="0.3">
      <c r="B51" s="73" t="s">
        <v>886</v>
      </c>
      <c r="C51" s="70">
        <f>+SP!G170</f>
        <v>90003.75</v>
      </c>
      <c r="D51" s="70">
        <f>+SP!H170</f>
        <v>35851.199999999997</v>
      </c>
    </row>
    <row r="52" spans="2:4" x14ac:dyDescent="0.3">
      <c r="B52" s="73" t="s">
        <v>887</v>
      </c>
      <c r="C52" s="70">
        <f>+SP!G169</f>
        <v>8372.41</v>
      </c>
      <c r="D52" s="70">
        <f>+SP!H169</f>
        <v>0</v>
      </c>
    </row>
    <row r="53" spans="2:4" x14ac:dyDescent="0.3">
      <c r="B53" s="73" t="s">
        <v>888</v>
      </c>
      <c r="C53" s="70">
        <f>+SP!G211+SP!G207</f>
        <v>0</v>
      </c>
      <c r="D53" s="70">
        <f>+SP!H211+SP!H207</f>
        <v>0</v>
      </c>
    </row>
    <row r="54" spans="2:4" x14ac:dyDescent="0.3">
      <c r="B54" s="73" t="s">
        <v>889</v>
      </c>
      <c r="C54" s="70">
        <f>+SP!G175+SP!G179</f>
        <v>0</v>
      </c>
      <c r="D54" s="70">
        <f>+SP!H175+SP!H179</f>
        <v>0</v>
      </c>
    </row>
    <row r="55" spans="2:4" x14ac:dyDescent="0.3">
      <c r="B55" s="64"/>
      <c r="C55" s="63"/>
      <c r="D55" s="63"/>
    </row>
    <row r="56" spans="2:4" x14ac:dyDescent="0.3">
      <c r="B56" s="73" t="s">
        <v>890</v>
      </c>
      <c r="C56" s="62">
        <f>+C57+C58+C59+C60+C61</f>
        <v>269233.98</v>
      </c>
      <c r="D56" s="62">
        <f>+D57+D58+D59+D60+D61</f>
        <v>282822.78999999998</v>
      </c>
    </row>
    <row r="57" spans="2:4" x14ac:dyDescent="0.3">
      <c r="B57" s="73" t="s">
        <v>891</v>
      </c>
      <c r="C57" s="74">
        <f>+SP!G127</f>
        <v>116000</v>
      </c>
      <c r="D57" s="74">
        <f>+SP!H127</f>
        <v>116000</v>
      </c>
    </row>
    <row r="58" spans="2:4" x14ac:dyDescent="0.3">
      <c r="B58" s="73" t="s">
        <v>892</v>
      </c>
      <c r="C58" s="74">
        <f>+SP!G130</f>
        <v>3119.63</v>
      </c>
      <c r="D58" s="74">
        <f>+SP!H130</f>
        <v>4534.1499999999996</v>
      </c>
    </row>
    <row r="59" spans="2:4" x14ac:dyDescent="0.3">
      <c r="B59" s="73" t="s">
        <v>893</v>
      </c>
      <c r="C59" s="74">
        <f>+SP!G128+SP!G129+SP!G131+SP!G132+SP!G153+SP!G154+SP!G162</f>
        <v>121823.97</v>
      </c>
      <c r="D59" s="74">
        <f>+SP!H128+SP!H129+SP!H131+SP!H132+SP!H153+SP!H154+SP!H162</f>
        <v>148699.83000000002</v>
      </c>
    </row>
    <row r="60" spans="2:4" x14ac:dyDescent="0.3">
      <c r="B60" s="73" t="s">
        <v>894</v>
      </c>
      <c r="C60" s="62">
        <f>+SP!G156+SP!G159+SP!G160</f>
        <v>0</v>
      </c>
      <c r="D60" s="62">
        <f>+SP!H156+SP!H159+SP!H160</f>
        <v>0</v>
      </c>
    </row>
    <row r="61" spans="2:4" x14ac:dyDescent="0.3">
      <c r="B61" s="73" t="s">
        <v>895</v>
      </c>
      <c r="C61" s="62">
        <f>+SP!G158</f>
        <v>28290.38</v>
      </c>
      <c r="D61" s="62">
        <f>+SP!H158</f>
        <v>13588.81</v>
      </c>
    </row>
    <row r="62" spans="2:4" x14ac:dyDescent="0.3">
      <c r="B62" s="63"/>
      <c r="C62" s="63"/>
      <c r="D62" s="63"/>
    </row>
    <row r="63" spans="2:4" x14ac:dyDescent="0.3">
      <c r="B63" s="73" t="s">
        <v>896</v>
      </c>
      <c r="C63" s="62">
        <f t="shared" ref="C63:D63" si="8">+C56+C49+C47+C40+C37</f>
        <v>3255344.69</v>
      </c>
      <c r="D63" s="62">
        <f t="shared" si="8"/>
        <v>3173019.04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4"/>
  <sheetViews>
    <sheetView workbookViewId="0">
      <selection activeCell="D22" sqref="D22"/>
    </sheetView>
  </sheetViews>
  <sheetFormatPr defaultColWidth="8.6640625" defaultRowHeight="14.4" x14ac:dyDescent="0.3"/>
  <cols>
    <col min="2" max="2" width="68.109375" bestFit="1" customWidth="1"/>
    <col min="3" max="3" width="11.44140625" bestFit="1" customWidth="1"/>
  </cols>
  <sheetData>
    <row r="2" spans="2:3" x14ac:dyDescent="0.3">
      <c r="B2" s="63" t="s">
        <v>897</v>
      </c>
      <c r="C2" s="92">
        <f>+CE!G4</f>
        <v>2016</v>
      </c>
    </row>
    <row r="3" spans="2:3" x14ac:dyDescent="0.3">
      <c r="B3" s="73" t="s">
        <v>898</v>
      </c>
      <c r="C3" s="62">
        <f>+SUM(C5:C6)-C4+C7</f>
        <v>1377337.99</v>
      </c>
    </row>
    <row r="4" spans="2:3" x14ac:dyDescent="0.3">
      <c r="B4" s="72" t="s">
        <v>899</v>
      </c>
      <c r="C4" s="70">
        <v>0</v>
      </c>
    </row>
    <row r="5" spans="2:3" x14ac:dyDescent="0.3">
      <c r="B5" s="72" t="s">
        <v>900</v>
      </c>
      <c r="C5" s="70">
        <f>+CE!G8</f>
        <v>1345909.27</v>
      </c>
    </row>
    <row r="6" spans="2:3" x14ac:dyDescent="0.3">
      <c r="B6" s="72" t="s">
        <v>901</v>
      </c>
      <c r="C6" s="70">
        <f>+CE!G15+CE!G11</f>
        <v>31428.720000000001</v>
      </c>
    </row>
    <row r="7" spans="2:3" x14ac:dyDescent="0.3">
      <c r="B7" s="72" t="s">
        <v>902</v>
      </c>
      <c r="C7" s="70">
        <f>+CE!G9+CE!G10</f>
        <v>0</v>
      </c>
    </row>
    <row r="8" spans="2:3" x14ac:dyDescent="0.3">
      <c r="B8" s="63"/>
      <c r="C8" s="71"/>
    </row>
    <row r="9" spans="2:3" x14ac:dyDescent="0.3">
      <c r="B9" s="73" t="s">
        <v>903</v>
      </c>
      <c r="C9" s="62">
        <f>+C11+C12-C10</f>
        <v>490184.93</v>
      </c>
    </row>
    <row r="10" spans="2:3" x14ac:dyDescent="0.3">
      <c r="B10" s="72" t="s">
        <v>904</v>
      </c>
      <c r="C10" s="70">
        <v>0</v>
      </c>
    </row>
    <row r="11" spans="2:3" x14ac:dyDescent="0.3">
      <c r="B11" s="72" t="s">
        <v>905</v>
      </c>
      <c r="C11" s="70">
        <f>+CE!G18</f>
        <v>446468.72</v>
      </c>
    </row>
    <row r="12" spans="2:3" x14ac:dyDescent="0.3">
      <c r="B12" s="72" t="s">
        <v>906</v>
      </c>
      <c r="C12" s="70">
        <f>+CE!G34</f>
        <v>43716.21</v>
      </c>
    </row>
    <row r="13" spans="2:3" x14ac:dyDescent="0.3">
      <c r="B13" s="63"/>
      <c r="C13" s="71"/>
    </row>
    <row r="14" spans="2:3" x14ac:dyDescent="0.3">
      <c r="B14" s="73" t="s">
        <v>907</v>
      </c>
      <c r="C14" s="62">
        <f t="shared" ref="C14" si="0">+C3-C9</f>
        <v>887153.06</v>
      </c>
    </row>
    <row r="15" spans="2:3" x14ac:dyDescent="0.3">
      <c r="B15" s="73"/>
      <c r="C15" s="74"/>
    </row>
    <row r="16" spans="2:3" x14ac:dyDescent="0.3">
      <c r="B16" s="73" t="s">
        <v>908</v>
      </c>
      <c r="C16" s="62">
        <f>+C17+C18</f>
        <v>266324.30000000005</v>
      </c>
    </row>
    <row r="17" spans="2:4" x14ac:dyDescent="0.3">
      <c r="B17" s="72" t="s">
        <v>909</v>
      </c>
      <c r="C17" s="70">
        <f>+CE!G19</f>
        <v>189626.98</v>
      </c>
    </row>
    <row r="18" spans="2:4" x14ac:dyDescent="0.3">
      <c r="B18" s="72" t="s">
        <v>910</v>
      </c>
      <c r="C18" s="70">
        <f>+CE!G20</f>
        <v>76697.320000000007</v>
      </c>
    </row>
    <row r="19" spans="2:4" x14ac:dyDescent="0.3">
      <c r="B19" s="63"/>
      <c r="C19" s="71"/>
    </row>
    <row r="20" spans="2:4" x14ac:dyDescent="0.3">
      <c r="B20" s="73" t="s">
        <v>911</v>
      </c>
      <c r="C20" s="62">
        <f t="shared" ref="C20" si="1">+C14-C16</f>
        <v>620828.76</v>
      </c>
    </row>
    <row r="21" spans="2:4" x14ac:dyDescent="0.3">
      <c r="B21" s="73"/>
      <c r="C21" s="74"/>
    </row>
    <row r="22" spans="2:4" x14ac:dyDescent="0.3">
      <c r="B22" s="72" t="s">
        <v>912</v>
      </c>
      <c r="C22" s="62">
        <f>+SUM(C23:C28)</f>
        <v>538045.94000000006</v>
      </c>
      <c r="D22" s="62"/>
    </row>
    <row r="23" spans="2:4" x14ac:dyDescent="0.3">
      <c r="B23" s="63" t="s">
        <v>913</v>
      </c>
      <c r="C23" s="70">
        <f>+CE!G30</f>
        <v>204233.19</v>
      </c>
    </row>
    <row r="24" spans="2:4" x14ac:dyDescent="0.3">
      <c r="B24" s="63" t="s">
        <v>914</v>
      </c>
      <c r="C24" s="70">
        <f>+CE!G29</f>
        <v>300.12</v>
      </c>
    </row>
    <row r="25" spans="2:4" x14ac:dyDescent="0.3">
      <c r="B25" s="63" t="s">
        <v>915</v>
      </c>
      <c r="C25" s="70">
        <f>+CE!G37</f>
        <v>59061.84</v>
      </c>
    </row>
    <row r="26" spans="2:4" x14ac:dyDescent="0.3">
      <c r="B26" s="63" t="s">
        <v>916</v>
      </c>
      <c r="C26" s="70">
        <f>+CE!G36+CE!G35</f>
        <v>0</v>
      </c>
    </row>
    <row r="27" spans="2:4" x14ac:dyDescent="0.3">
      <c r="B27" s="63" t="s">
        <v>917</v>
      </c>
      <c r="C27" s="70">
        <f>+CE!G22+CE!G23+CE!G25+CE!G26</f>
        <v>262058.80000000002</v>
      </c>
    </row>
    <row r="28" spans="2:4" x14ac:dyDescent="0.3">
      <c r="B28" s="63" t="s">
        <v>918</v>
      </c>
      <c r="C28" s="70">
        <f>+CE!G24</f>
        <v>12391.99</v>
      </c>
    </row>
    <row r="29" spans="2:4" x14ac:dyDescent="0.3">
      <c r="B29" s="63"/>
      <c r="C29" s="71"/>
    </row>
    <row r="30" spans="2:4" x14ac:dyDescent="0.3">
      <c r="B30" s="73" t="s">
        <v>919</v>
      </c>
      <c r="C30" s="62">
        <f>+C20-C22</f>
        <v>82782.819999999949</v>
      </c>
    </row>
    <row r="31" spans="2:4" x14ac:dyDescent="0.3">
      <c r="B31" s="63"/>
      <c r="C31" s="71"/>
    </row>
    <row r="32" spans="2:4" x14ac:dyDescent="0.3">
      <c r="B32" s="73" t="s">
        <v>920</v>
      </c>
      <c r="C32" s="62">
        <f>SUM(C33:C34)</f>
        <v>-1745.25</v>
      </c>
    </row>
    <row r="33" spans="2:3" x14ac:dyDescent="0.3">
      <c r="B33" s="63" t="s">
        <v>921</v>
      </c>
      <c r="C33" s="71"/>
    </row>
    <row r="34" spans="2:3" x14ac:dyDescent="0.3">
      <c r="B34" s="63" t="s">
        <v>922</v>
      </c>
      <c r="C34" s="71">
        <f>-CE!G31-CE!G32+CE!G83</f>
        <v>-1745.25</v>
      </c>
    </row>
    <row r="35" spans="2:3" x14ac:dyDescent="0.3">
      <c r="B35" s="63"/>
      <c r="C35" s="71"/>
    </row>
    <row r="36" spans="2:3" x14ac:dyDescent="0.3">
      <c r="B36" s="63"/>
      <c r="C36" s="71"/>
    </row>
    <row r="37" spans="2:3" x14ac:dyDescent="0.3">
      <c r="B37" s="73" t="s">
        <v>923</v>
      </c>
      <c r="C37" s="62">
        <f>+C38</f>
        <v>-51731.060000000005</v>
      </c>
    </row>
    <row r="38" spans="2:3" x14ac:dyDescent="0.3">
      <c r="B38" s="63" t="s">
        <v>924</v>
      </c>
      <c r="C38" s="71">
        <f>+CE!G69</f>
        <v>-51731.060000000005</v>
      </c>
    </row>
    <row r="39" spans="2:3" x14ac:dyDescent="0.3">
      <c r="B39" s="63"/>
      <c r="C39" s="71"/>
    </row>
    <row r="40" spans="2:3" x14ac:dyDescent="0.3">
      <c r="B40" s="73" t="s">
        <v>925</v>
      </c>
      <c r="C40" s="62">
        <f>+C30+C32+C37</f>
        <v>29306.509999999944</v>
      </c>
    </row>
    <row r="41" spans="2:3" x14ac:dyDescent="0.3">
      <c r="B41" s="73"/>
      <c r="C41" s="74"/>
    </row>
    <row r="42" spans="2:3" x14ac:dyDescent="0.3">
      <c r="B42" s="63" t="s">
        <v>926</v>
      </c>
      <c r="C42" s="71">
        <f>+CE!G90</f>
        <v>15717.7</v>
      </c>
    </row>
    <row r="43" spans="2:3" x14ac:dyDescent="0.3">
      <c r="B43" s="63"/>
      <c r="C43" s="71"/>
    </row>
    <row r="44" spans="2:3" x14ac:dyDescent="0.3">
      <c r="B44" s="73" t="s">
        <v>927</v>
      </c>
      <c r="C44" s="62">
        <f>+C40-C42</f>
        <v>13588.809999999943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opLeftCell="A3" workbookViewId="0">
      <selection activeCell="B24" sqref="B24:K24"/>
    </sheetView>
  </sheetViews>
  <sheetFormatPr defaultColWidth="8.6640625" defaultRowHeight="14.4" x14ac:dyDescent="0.3"/>
  <cols>
    <col min="1" max="1" width="61.109375" bestFit="1" customWidth="1"/>
  </cols>
  <sheetData>
    <row r="2" spans="1:11" x14ac:dyDescent="0.3">
      <c r="A2" s="63" t="s">
        <v>897</v>
      </c>
      <c r="B2" s="76">
        <f>+CE!G4</f>
        <v>2016</v>
      </c>
      <c r="C2" s="76" t="e">
        <f>+CE!#REF!</f>
        <v>#REF!</v>
      </c>
      <c r="D2" s="76" t="e">
        <f>+CE!#REF!</f>
        <v>#REF!</v>
      </c>
      <c r="E2" s="76" t="e">
        <f>+CE!#REF!</f>
        <v>#REF!</v>
      </c>
      <c r="F2" s="76" t="e">
        <f>+CE!#REF!</f>
        <v>#REF!</v>
      </c>
      <c r="G2" s="76" t="e">
        <f>+CE!#REF!</f>
        <v>#REF!</v>
      </c>
      <c r="H2" s="76" t="e">
        <f>+CE!#REF!</f>
        <v>#REF!</v>
      </c>
      <c r="I2" s="76" t="e">
        <f>+CE!#REF!</f>
        <v>#REF!</v>
      </c>
      <c r="J2" s="76" t="e">
        <f>+CE!#REF!</f>
        <v>#REF!</v>
      </c>
      <c r="K2" s="76" t="e">
        <f>+CE!#REF!</f>
        <v>#REF!</v>
      </c>
    </row>
    <row r="3" spans="1:11" x14ac:dyDescent="0.3">
      <c r="A3" s="63" t="s">
        <v>1013</v>
      </c>
      <c r="B3" s="70">
        <f>+CE!G8</f>
        <v>1345909.27</v>
      </c>
      <c r="C3" s="70" t="e">
        <f>+CE!#REF!</f>
        <v>#REF!</v>
      </c>
      <c r="D3" s="70" t="e">
        <f>+CE!#REF!</f>
        <v>#REF!</v>
      </c>
      <c r="E3" s="70" t="e">
        <f>+CE!#REF!</f>
        <v>#REF!</v>
      </c>
      <c r="F3" s="70" t="e">
        <f>+CE!#REF!</f>
        <v>#REF!</v>
      </c>
      <c r="G3" s="70" t="e">
        <f>+CE!#REF!</f>
        <v>#REF!</v>
      </c>
      <c r="H3" s="70" t="e">
        <f>+CE!#REF!</f>
        <v>#REF!</v>
      </c>
      <c r="I3" s="70" t="e">
        <f>+CE!#REF!</f>
        <v>#REF!</v>
      </c>
      <c r="J3" s="70" t="e">
        <f>+CE!#REF!</f>
        <v>#REF!</v>
      </c>
      <c r="K3" s="70" t="e">
        <f>+CE!#REF!</f>
        <v>#REF!</v>
      </c>
    </row>
    <row r="4" spans="1:11" x14ac:dyDescent="0.3">
      <c r="A4" s="63" t="s">
        <v>1014</v>
      </c>
      <c r="B4" s="70">
        <f>+CE!G9</f>
        <v>0</v>
      </c>
      <c r="C4" s="70" t="e">
        <f>+CE!#REF!</f>
        <v>#REF!</v>
      </c>
      <c r="D4" s="70" t="e">
        <f>+CE!#REF!</f>
        <v>#REF!</v>
      </c>
      <c r="E4" s="70" t="e">
        <f>+CE!#REF!</f>
        <v>#REF!</v>
      </c>
      <c r="F4" s="70" t="e">
        <f>+CE!#REF!</f>
        <v>#REF!</v>
      </c>
      <c r="G4" s="70" t="e">
        <f>+CE!#REF!</f>
        <v>#REF!</v>
      </c>
      <c r="H4" s="70" t="e">
        <f>+CE!#REF!</f>
        <v>#REF!</v>
      </c>
      <c r="I4" s="70" t="e">
        <f>+CE!#REF!</f>
        <v>#REF!</v>
      </c>
      <c r="J4" s="70" t="e">
        <f>+CE!#REF!</f>
        <v>#REF!</v>
      </c>
      <c r="K4" s="70" t="e">
        <f>+CE!#REF!</f>
        <v>#REF!</v>
      </c>
    </row>
    <row r="5" spans="1:11" x14ac:dyDescent="0.3">
      <c r="A5" s="63" t="s">
        <v>1015</v>
      </c>
      <c r="B5" s="70">
        <f>+CE!G10</f>
        <v>0</v>
      </c>
      <c r="C5" s="70" t="e">
        <f>+CE!#REF!</f>
        <v>#REF!</v>
      </c>
      <c r="D5" s="70" t="e">
        <f>+CE!#REF!</f>
        <v>#REF!</v>
      </c>
      <c r="E5" s="70" t="e">
        <f>+CE!#REF!</f>
        <v>#REF!</v>
      </c>
      <c r="F5" s="70" t="e">
        <f>+CE!#REF!</f>
        <v>#REF!</v>
      </c>
      <c r="G5" s="70" t="e">
        <f>+CE!#REF!</f>
        <v>#REF!</v>
      </c>
      <c r="H5" s="70" t="e">
        <f>+CE!#REF!</f>
        <v>#REF!</v>
      </c>
      <c r="I5" s="70" t="e">
        <f>+CE!#REF!</f>
        <v>#REF!</v>
      </c>
      <c r="J5" s="70" t="e">
        <f>+CE!#REF!</f>
        <v>#REF!</v>
      </c>
      <c r="K5" s="70" t="e">
        <f>+CE!#REF!</f>
        <v>#REF!</v>
      </c>
    </row>
    <row r="6" spans="1:11" x14ac:dyDescent="0.3">
      <c r="A6" s="63" t="s">
        <v>1016</v>
      </c>
      <c r="B6" s="70">
        <f>+CE!G11</f>
        <v>0</v>
      </c>
      <c r="C6" s="70" t="e">
        <f>+CE!#REF!</f>
        <v>#REF!</v>
      </c>
      <c r="D6" s="70" t="e">
        <f>+CE!#REF!</f>
        <v>#REF!</v>
      </c>
      <c r="E6" s="70" t="e">
        <f>+CE!#REF!</f>
        <v>#REF!</v>
      </c>
      <c r="F6" s="70" t="e">
        <f>+CE!#REF!</f>
        <v>#REF!</v>
      </c>
      <c r="G6" s="70" t="e">
        <f>+CE!#REF!</f>
        <v>#REF!</v>
      </c>
      <c r="H6" s="70" t="e">
        <f>+CE!#REF!</f>
        <v>#REF!</v>
      </c>
      <c r="I6" s="70" t="e">
        <f>+CE!#REF!</f>
        <v>#REF!</v>
      </c>
      <c r="J6" s="70" t="e">
        <f>+CE!#REF!</f>
        <v>#REF!</v>
      </c>
      <c r="K6" s="70" t="e">
        <f>+CE!#REF!</f>
        <v>#REF!</v>
      </c>
    </row>
    <row r="7" spans="1:11" x14ac:dyDescent="0.3">
      <c r="A7" s="63" t="s">
        <v>1017</v>
      </c>
      <c r="B7" s="70">
        <f>+CE!G15</f>
        <v>31428.720000000001</v>
      </c>
      <c r="C7" s="70" t="e">
        <f>+CE!#REF!</f>
        <v>#REF!</v>
      </c>
      <c r="D7" s="70" t="e">
        <f>+CE!#REF!</f>
        <v>#REF!</v>
      </c>
      <c r="E7" s="70" t="e">
        <f>+CE!#REF!</f>
        <v>#REF!</v>
      </c>
      <c r="F7" s="70" t="e">
        <f>+CE!#REF!</f>
        <v>#REF!</v>
      </c>
      <c r="G7" s="70" t="e">
        <f>+CE!#REF!</f>
        <v>#REF!</v>
      </c>
      <c r="H7" s="70" t="e">
        <f>+CE!#REF!</f>
        <v>#REF!</v>
      </c>
      <c r="I7" s="70" t="e">
        <f>+CE!#REF!</f>
        <v>#REF!</v>
      </c>
      <c r="J7" s="70" t="e">
        <f>+CE!#REF!</f>
        <v>#REF!</v>
      </c>
      <c r="K7" s="70" t="e">
        <f>+CE!#REF!</f>
        <v>#REF!</v>
      </c>
    </row>
    <row r="8" spans="1:11" x14ac:dyDescent="0.3">
      <c r="A8" s="73" t="s">
        <v>1018</v>
      </c>
      <c r="B8" s="62">
        <f>SUM(B3:B7)</f>
        <v>1377337.99</v>
      </c>
      <c r="C8" s="62" t="e">
        <f t="shared" ref="C8:K8" si="0">SUM(C3:C7)</f>
        <v>#REF!</v>
      </c>
      <c r="D8" s="62" t="e">
        <f t="shared" si="0"/>
        <v>#REF!</v>
      </c>
      <c r="E8" s="62" t="e">
        <f t="shared" si="0"/>
        <v>#REF!</v>
      </c>
      <c r="F8" s="62" t="e">
        <f t="shared" si="0"/>
        <v>#REF!</v>
      </c>
      <c r="G8" s="62" t="e">
        <f t="shared" si="0"/>
        <v>#REF!</v>
      </c>
      <c r="H8" s="62" t="e">
        <f t="shared" si="0"/>
        <v>#REF!</v>
      </c>
      <c r="I8" s="62" t="e">
        <f t="shared" si="0"/>
        <v>#REF!</v>
      </c>
      <c r="J8" s="62" t="e">
        <f t="shared" si="0"/>
        <v>#REF!</v>
      </c>
      <c r="K8" s="62" t="e">
        <f t="shared" si="0"/>
        <v>#REF!</v>
      </c>
    </row>
    <row r="9" spans="1:11" x14ac:dyDescent="0.3">
      <c r="A9" s="73" t="s">
        <v>1019</v>
      </c>
      <c r="B9" s="62">
        <f>SUM(B10:B14)</f>
        <v>815571.07</v>
      </c>
      <c r="C9" s="62" t="e">
        <f t="shared" ref="C9:K9" si="1">SUM(C10:C14)</f>
        <v>#REF!</v>
      </c>
      <c r="D9" s="62" t="e">
        <f t="shared" si="1"/>
        <v>#REF!</v>
      </c>
      <c r="E9" s="62" t="e">
        <f t="shared" si="1"/>
        <v>#REF!</v>
      </c>
      <c r="F9" s="62" t="e">
        <f t="shared" si="1"/>
        <v>#REF!</v>
      </c>
      <c r="G9" s="62" t="e">
        <f t="shared" si="1"/>
        <v>#REF!</v>
      </c>
      <c r="H9" s="62" t="e">
        <f t="shared" si="1"/>
        <v>#REF!</v>
      </c>
      <c r="I9" s="62" t="e">
        <f t="shared" si="1"/>
        <v>#REF!</v>
      </c>
      <c r="J9" s="62" t="e">
        <f t="shared" si="1"/>
        <v>#REF!</v>
      </c>
      <c r="K9" s="62" t="e">
        <f t="shared" si="1"/>
        <v>#REF!</v>
      </c>
    </row>
    <row r="10" spans="1:11" x14ac:dyDescent="0.3">
      <c r="A10" s="63" t="s">
        <v>1020</v>
      </c>
      <c r="B10" s="70">
        <f>+CE!G18</f>
        <v>446468.72</v>
      </c>
      <c r="C10" s="70" t="e">
        <f>+CE!#REF!</f>
        <v>#REF!</v>
      </c>
      <c r="D10" s="70" t="e">
        <f>+CE!#REF!</f>
        <v>#REF!</v>
      </c>
      <c r="E10" s="70" t="e">
        <f>+CE!#REF!</f>
        <v>#REF!</v>
      </c>
      <c r="F10" s="70" t="e">
        <f>+CE!#REF!</f>
        <v>#REF!</v>
      </c>
      <c r="G10" s="70" t="e">
        <f>+CE!#REF!</f>
        <v>#REF!</v>
      </c>
      <c r="H10" s="70" t="e">
        <f>+CE!#REF!</f>
        <v>#REF!</v>
      </c>
      <c r="I10" s="70" t="e">
        <f>+CE!#REF!</f>
        <v>#REF!</v>
      </c>
      <c r="J10" s="70" t="e">
        <f>+CE!#REF!</f>
        <v>#REF!</v>
      </c>
      <c r="K10" s="70" t="e">
        <f>+CE!#REF!</f>
        <v>#REF!</v>
      </c>
    </row>
    <row r="11" spans="1:11" x14ac:dyDescent="0.3">
      <c r="A11" s="63" t="s">
        <v>1021</v>
      </c>
      <c r="B11" s="70">
        <f>+CE!G19</f>
        <v>189626.98</v>
      </c>
      <c r="C11" s="70" t="e">
        <f>+CE!#REF!</f>
        <v>#REF!</v>
      </c>
      <c r="D11" s="70" t="e">
        <f>+CE!#REF!</f>
        <v>#REF!</v>
      </c>
      <c r="E11" s="70" t="e">
        <f>+CE!#REF!</f>
        <v>#REF!</v>
      </c>
      <c r="F11" s="70" t="e">
        <f>+CE!#REF!</f>
        <v>#REF!</v>
      </c>
      <c r="G11" s="70" t="e">
        <f>+CE!#REF!</f>
        <v>#REF!</v>
      </c>
      <c r="H11" s="70" t="e">
        <f>+CE!#REF!</f>
        <v>#REF!</v>
      </c>
      <c r="I11" s="70" t="e">
        <f>+CE!#REF!</f>
        <v>#REF!</v>
      </c>
      <c r="J11" s="70" t="e">
        <f>+CE!#REF!</f>
        <v>#REF!</v>
      </c>
      <c r="K11" s="70" t="e">
        <f>+CE!#REF!</f>
        <v>#REF!</v>
      </c>
    </row>
    <row r="12" spans="1:11" x14ac:dyDescent="0.3">
      <c r="A12" s="63" t="s">
        <v>1022</v>
      </c>
      <c r="B12" s="70">
        <f>+CE!G20</f>
        <v>76697.320000000007</v>
      </c>
      <c r="C12" s="70" t="e">
        <f>+CE!#REF!</f>
        <v>#REF!</v>
      </c>
      <c r="D12" s="70" t="e">
        <f>+CE!#REF!</f>
        <v>#REF!</v>
      </c>
      <c r="E12" s="70" t="e">
        <f>+CE!#REF!</f>
        <v>#REF!</v>
      </c>
      <c r="F12" s="70" t="e">
        <f>+CE!#REF!</f>
        <v>#REF!</v>
      </c>
      <c r="G12" s="70" t="e">
        <f>+CE!#REF!</f>
        <v>#REF!</v>
      </c>
      <c r="H12" s="70" t="e">
        <f>+CE!#REF!</f>
        <v>#REF!</v>
      </c>
      <c r="I12" s="70" t="e">
        <f>+CE!#REF!</f>
        <v>#REF!</v>
      </c>
      <c r="J12" s="70" t="e">
        <f>+CE!#REF!</f>
        <v>#REF!</v>
      </c>
      <c r="K12" s="70" t="e">
        <f>+CE!#REF!</f>
        <v>#REF!</v>
      </c>
    </row>
    <row r="13" spans="1:11" x14ac:dyDescent="0.3">
      <c r="A13" s="63" t="s">
        <v>1023</v>
      </c>
      <c r="B13" s="70">
        <f>+CE!G34</f>
        <v>43716.21</v>
      </c>
      <c r="C13" s="70" t="e">
        <f>+CE!#REF!</f>
        <v>#REF!</v>
      </c>
      <c r="D13" s="70" t="e">
        <f>+CE!#REF!</f>
        <v>#REF!</v>
      </c>
      <c r="E13" s="70" t="e">
        <f>+CE!#REF!</f>
        <v>#REF!</v>
      </c>
      <c r="F13" s="70" t="e">
        <f>+CE!#REF!</f>
        <v>#REF!</v>
      </c>
      <c r="G13" s="70" t="e">
        <f>+CE!#REF!</f>
        <v>#REF!</v>
      </c>
      <c r="H13" s="70" t="e">
        <f>+CE!#REF!</f>
        <v>#REF!</v>
      </c>
      <c r="I13" s="70" t="e">
        <f>+CE!#REF!</f>
        <v>#REF!</v>
      </c>
      <c r="J13" s="70" t="e">
        <f>+CE!#REF!</f>
        <v>#REF!</v>
      </c>
      <c r="K13" s="70" t="e">
        <f>+CE!#REF!</f>
        <v>#REF!</v>
      </c>
    </row>
    <row r="14" spans="1:11" x14ac:dyDescent="0.3">
      <c r="A14" s="63" t="s">
        <v>1024</v>
      </c>
      <c r="B14" s="70">
        <f>+CE!G37</f>
        <v>59061.84</v>
      </c>
      <c r="C14" s="70" t="e">
        <f>+CE!#REF!</f>
        <v>#REF!</v>
      </c>
      <c r="D14" s="70" t="e">
        <f>+CE!#REF!</f>
        <v>#REF!</v>
      </c>
      <c r="E14" s="70" t="e">
        <f>+CE!#REF!</f>
        <v>#REF!</v>
      </c>
      <c r="F14" s="70" t="e">
        <f>+CE!#REF!</f>
        <v>#REF!</v>
      </c>
      <c r="G14" s="70" t="e">
        <f>+CE!#REF!</f>
        <v>#REF!</v>
      </c>
      <c r="H14" s="70" t="e">
        <f>+CE!#REF!</f>
        <v>#REF!</v>
      </c>
      <c r="I14" s="70" t="e">
        <f>+CE!#REF!</f>
        <v>#REF!</v>
      </c>
      <c r="J14" s="70" t="e">
        <f>+CE!#REF!</f>
        <v>#REF!</v>
      </c>
      <c r="K14" s="70" t="e">
        <f>+CE!#REF!</f>
        <v>#REF!</v>
      </c>
    </row>
    <row r="15" spans="1:11" x14ac:dyDescent="0.3">
      <c r="A15" s="73" t="s">
        <v>1025</v>
      </c>
      <c r="B15" s="62">
        <f>+B8-B9</f>
        <v>561766.92000000004</v>
      </c>
      <c r="C15" s="62" t="e">
        <f t="shared" ref="C15:K15" si="2">+C8-C9</f>
        <v>#REF!</v>
      </c>
      <c r="D15" s="62" t="e">
        <f t="shared" si="2"/>
        <v>#REF!</v>
      </c>
      <c r="E15" s="62" t="e">
        <f t="shared" si="2"/>
        <v>#REF!</v>
      </c>
      <c r="F15" s="62" t="e">
        <f t="shared" si="2"/>
        <v>#REF!</v>
      </c>
      <c r="G15" s="62" t="e">
        <f t="shared" si="2"/>
        <v>#REF!</v>
      </c>
      <c r="H15" s="62" t="e">
        <f t="shared" si="2"/>
        <v>#REF!</v>
      </c>
      <c r="I15" s="62" t="e">
        <f t="shared" si="2"/>
        <v>#REF!</v>
      </c>
      <c r="J15" s="62" t="e">
        <f t="shared" si="2"/>
        <v>#REF!</v>
      </c>
      <c r="K15" s="62" t="e">
        <f t="shared" si="2"/>
        <v>#REF!</v>
      </c>
    </row>
    <row r="16" spans="1:11" x14ac:dyDescent="0.3">
      <c r="A16" s="63" t="s">
        <v>1026</v>
      </c>
      <c r="B16" s="70">
        <f>+CE!G27</f>
        <v>274450.79000000004</v>
      </c>
      <c r="C16" s="70" t="e">
        <f>+CE!#REF!</f>
        <v>#REF!</v>
      </c>
      <c r="D16" s="70" t="e">
        <f>+CE!#REF!</f>
        <v>#REF!</v>
      </c>
      <c r="E16" s="70" t="e">
        <f>+CE!#REF!</f>
        <v>#REF!</v>
      </c>
      <c r="F16" s="70" t="e">
        <f>+CE!#REF!</f>
        <v>#REF!</v>
      </c>
      <c r="G16" s="70" t="e">
        <f>+CE!#REF!</f>
        <v>#REF!</v>
      </c>
      <c r="H16" s="70" t="e">
        <f>+CE!#REF!</f>
        <v>#REF!</v>
      </c>
      <c r="I16" s="70" t="e">
        <f>+CE!#REF!</f>
        <v>#REF!</v>
      </c>
      <c r="J16" s="70" t="e">
        <f>+CE!#REF!</f>
        <v>#REF!</v>
      </c>
      <c r="K16" s="70" t="e">
        <f>+CE!#REF!</f>
        <v>#REF!</v>
      </c>
    </row>
    <row r="17" spans="1:11" x14ac:dyDescent="0.3">
      <c r="A17" s="73" t="s">
        <v>1027</v>
      </c>
      <c r="B17" s="62">
        <f>+B15-B16</f>
        <v>287316.13</v>
      </c>
      <c r="C17" s="62" t="e">
        <f t="shared" ref="C17:K17" si="3">+C15-C16</f>
        <v>#REF!</v>
      </c>
      <c r="D17" s="62" t="e">
        <f t="shared" si="3"/>
        <v>#REF!</v>
      </c>
      <c r="E17" s="62" t="e">
        <f t="shared" si="3"/>
        <v>#REF!</v>
      </c>
      <c r="F17" s="62" t="e">
        <f t="shared" si="3"/>
        <v>#REF!</v>
      </c>
      <c r="G17" s="62" t="e">
        <f t="shared" si="3"/>
        <v>#REF!</v>
      </c>
      <c r="H17" s="62" t="e">
        <f t="shared" si="3"/>
        <v>#REF!</v>
      </c>
      <c r="I17" s="62" t="e">
        <f t="shared" si="3"/>
        <v>#REF!</v>
      </c>
      <c r="J17" s="62" t="e">
        <f t="shared" si="3"/>
        <v>#REF!</v>
      </c>
      <c r="K17" s="62" t="e">
        <f t="shared" si="3"/>
        <v>#REF!</v>
      </c>
    </row>
    <row r="18" spans="1:11" x14ac:dyDescent="0.3">
      <c r="A18" s="63" t="s">
        <v>1028</v>
      </c>
      <c r="B18" s="70">
        <f>+CE!G33+CE!G35+CE!G36</f>
        <v>206278.56</v>
      </c>
      <c r="C18" s="70" t="e">
        <f>+CE!#REF!+CE!#REF!+CE!#REF!</f>
        <v>#REF!</v>
      </c>
      <c r="D18" s="70" t="e">
        <f>+CE!#REF!+CE!#REF!+CE!#REF!</f>
        <v>#REF!</v>
      </c>
      <c r="E18" s="70" t="e">
        <f>+CE!#REF!+CE!#REF!+CE!#REF!</f>
        <v>#REF!</v>
      </c>
      <c r="F18" s="70" t="e">
        <f>+CE!#REF!+CE!#REF!+CE!#REF!</f>
        <v>#REF!</v>
      </c>
      <c r="G18" s="70" t="e">
        <f>+CE!#REF!+CE!#REF!+CE!#REF!</f>
        <v>#REF!</v>
      </c>
      <c r="H18" s="70" t="e">
        <f>+CE!#REF!+CE!#REF!+CE!#REF!</f>
        <v>#REF!</v>
      </c>
      <c r="I18" s="70" t="e">
        <f>+CE!#REF!+CE!#REF!+CE!#REF!</f>
        <v>#REF!</v>
      </c>
      <c r="J18" s="70" t="e">
        <f>+CE!#REF!+CE!#REF!+CE!#REF!</f>
        <v>#REF!</v>
      </c>
      <c r="K18" s="70" t="e">
        <f>+CE!#REF!+CE!#REF!+CE!#REF!</f>
        <v>#REF!</v>
      </c>
    </row>
    <row r="19" spans="1:11" x14ac:dyDescent="0.3">
      <c r="A19" s="73" t="s">
        <v>1029</v>
      </c>
      <c r="B19" s="62">
        <f>+B17-B18</f>
        <v>81037.570000000007</v>
      </c>
      <c r="C19" s="62" t="e">
        <f t="shared" ref="C19:K19" si="4">+C17-C18</f>
        <v>#REF!</v>
      </c>
      <c r="D19" s="62" t="e">
        <f t="shared" si="4"/>
        <v>#REF!</v>
      </c>
      <c r="E19" s="62" t="e">
        <f t="shared" si="4"/>
        <v>#REF!</v>
      </c>
      <c r="F19" s="62" t="e">
        <f t="shared" si="4"/>
        <v>#REF!</v>
      </c>
      <c r="G19" s="62" t="e">
        <f t="shared" si="4"/>
        <v>#REF!</v>
      </c>
      <c r="H19" s="62" t="e">
        <f t="shared" si="4"/>
        <v>#REF!</v>
      </c>
      <c r="I19" s="62" t="e">
        <f t="shared" si="4"/>
        <v>#REF!</v>
      </c>
      <c r="J19" s="62" t="e">
        <f t="shared" si="4"/>
        <v>#REF!</v>
      </c>
      <c r="K19" s="62" t="e">
        <f t="shared" si="4"/>
        <v>#REF!</v>
      </c>
    </row>
    <row r="20" spans="1:11" x14ac:dyDescent="0.3">
      <c r="A20" s="63" t="s">
        <v>1030</v>
      </c>
      <c r="B20" s="70">
        <f>+CE!G83</f>
        <v>0</v>
      </c>
      <c r="C20" s="70" t="e">
        <f>+CE!#REF!</f>
        <v>#REF!</v>
      </c>
      <c r="D20" s="70" t="e">
        <f>+CE!#REF!</f>
        <v>#REF!</v>
      </c>
      <c r="E20" s="70" t="e">
        <f>+CE!#REF!</f>
        <v>#REF!</v>
      </c>
      <c r="F20" s="70" t="e">
        <f>+CE!#REF!</f>
        <v>#REF!</v>
      </c>
      <c r="G20" s="70" t="e">
        <f>+CE!#REF!</f>
        <v>#REF!</v>
      </c>
      <c r="H20" s="70" t="e">
        <f>+CE!#REF!</f>
        <v>#REF!</v>
      </c>
      <c r="I20" s="70" t="e">
        <f>+CE!#REF!</f>
        <v>#REF!</v>
      </c>
      <c r="J20" s="70" t="e">
        <f>+CE!#REF!</f>
        <v>#REF!</v>
      </c>
      <c r="K20" s="70" t="e">
        <f>+CE!#REF!</f>
        <v>#REF!</v>
      </c>
    </row>
    <row r="21" spans="1:11" x14ac:dyDescent="0.3">
      <c r="A21" s="73" t="s">
        <v>919</v>
      </c>
      <c r="B21" s="62">
        <f>+B19+B20</f>
        <v>81037.570000000007</v>
      </c>
      <c r="C21" s="62" t="e">
        <f t="shared" ref="C21:K21" si="5">+C19+C20</f>
        <v>#REF!</v>
      </c>
      <c r="D21" s="62" t="e">
        <f t="shared" si="5"/>
        <v>#REF!</v>
      </c>
      <c r="E21" s="62" t="e">
        <f t="shared" si="5"/>
        <v>#REF!</v>
      </c>
      <c r="F21" s="62" t="e">
        <f t="shared" si="5"/>
        <v>#REF!</v>
      </c>
      <c r="G21" s="62" t="e">
        <f t="shared" si="5"/>
        <v>#REF!</v>
      </c>
      <c r="H21" s="62" t="e">
        <f t="shared" si="5"/>
        <v>#REF!</v>
      </c>
      <c r="I21" s="62" t="e">
        <f t="shared" si="5"/>
        <v>#REF!</v>
      </c>
      <c r="J21" s="62" t="e">
        <f t="shared" si="5"/>
        <v>#REF!</v>
      </c>
      <c r="K21" s="62" t="e">
        <f t="shared" si="5"/>
        <v>#REF!</v>
      </c>
    </row>
    <row r="22" spans="1:11" x14ac:dyDescent="0.3">
      <c r="A22" s="63" t="s">
        <v>1031</v>
      </c>
      <c r="B22" s="70">
        <f>+CE!G69</f>
        <v>-51731.060000000005</v>
      </c>
      <c r="C22" s="70" t="e">
        <f>+CE!#REF!</f>
        <v>#REF!</v>
      </c>
      <c r="D22" s="70" t="e">
        <f>+CE!#REF!</f>
        <v>#REF!</v>
      </c>
      <c r="E22" s="70" t="e">
        <f>+CE!#REF!</f>
        <v>#REF!</v>
      </c>
      <c r="F22" s="70" t="e">
        <f>+CE!#REF!</f>
        <v>#REF!</v>
      </c>
      <c r="G22" s="70" t="e">
        <f>+CE!#REF!</f>
        <v>#REF!</v>
      </c>
      <c r="H22" s="70" t="e">
        <f>+CE!#REF!</f>
        <v>#REF!</v>
      </c>
      <c r="I22" s="70" t="e">
        <f>+CE!#REF!</f>
        <v>#REF!</v>
      </c>
      <c r="J22" s="70" t="e">
        <f>+CE!#REF!</f>
        <v>#REF!</v>
      </c>
      <c r="K22" s="70" t="e">
        <f>+CE!#REF!</f>
        <v>#REF!</v>
      </c>
    </row>
    <row r="23" spans="1:11" x14ac:dyDescent="0.3">
      <c r="A23" s="73" t="s">
        <v>1032</v>
      </c>
      <c r="B23" s="62">
        <f>+B21+B22</f>
        <v>29306.510000000002</v>
      </c>
      <c r="C23" s="62" t="e">
        <f t="shared" ref="C23:K23" si="6">+C21+C22</f>
        <v>#REF!</v>
      </c>
      <c r="D23" s="62" t="e">
        <f t="shared" si="6"/>
        <v>#REF!</v>
      </c>
      <c r="E23" s="62" t="e">
        <f t="shared" si="6"/>
        <v>#REF!</v>
      </c>
      <c r="F23" s="62" t="e">
        <f t="shared" si="6"/>
        <v>#REF!</v>
      </c>
      <c r="G23" s="62" t="e">
        <f t="shared" si="6"/>
        <v>#REF!</v>
      </c>
      <c r="H23" s="62" t="e">
        <f t="shared" si="6"/>
        <v>#REF!</v>
      </c>
      <c r="I23" s="62" t="e">
        <f t="shared" si="6"/>
        <v>#REF!</v>
      </c>
      <c r="J23" s="62" t="e">
        <f t="shared" si="6"/>
        <v>#REF!</v>
      </c>
      <c r="K23" s="62" t="e">
        <f t="shared" si="6"/>
        <v>#REF!</v>
      </c>
    </row>
    <row r="24" spans="1:11" x14ac:dyDescent="0.3">
      <c r="A24" s="63" t="s">
        <v>1033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</row>
    <row r="25" spans="1:11" x14ac:dyDescent="0.3">
      <c r="A25" s="73" t="s">
        <v>1034</v>
      </c>
      <c r="B25" s="62">
        <f>+B23+B24</f>
        <v>29306.510000000002</v>
      </c>
      <c r="C25" s="62" t="e">
        <f t="shared" ref="C25:K25" si="7">+C23+C24</f>
        <v>#REF!</v>
      </c>
      <c r="D25" s="62" t="e">
        <f t="shared" si="7"/>
        <v>#REF!</v>
      </c>
      <c r="E25" s="62" t="e">
        <f t="shared" si="7"/>
        <v>#REF!</v>
      </c>
      <c r="F25" s="62" t="e">
        <f t="shared" si="7"/>
        <v>#REF!</v>
      </c>
      <c r="G25" s="62" t="e">
        <f t="shared" si="7"/>
        <v>#REF!</v>
      </c>
      <c r="H25" s="62" t="e">
        <f t="shared" si="7"/>
        <v>#REF!</v>
      </c>
      <c r="I25" s="62" t="e">
        <f t="shared" si="7"/>
        <v>#REF!</v>
      </c>
      <c r="J25" s="62" t="e">
        <f t="shared" si="7"/>
        <v>#REF!</v>
      </c>
      <c r="K25" s="62" t="e">
        <f t="shared" si="7"/>
        <v>#REF!</v>
      </c>
    </row>
    <row r="26" spans="1:11" x14ac:dyDescent="0.3">
      <c r="A26" s="63" t="s">
        <v>1035</v>
      </c>
      <c r="B26" s="70">
        <f>+CE!G90</f>
        <v>15717.7</v>
      </c>
      <c r="C26" s="70" t="e">
        <f>+CE!#REF!</f>
        <v>#REF!</v>
      </c>
      <c r="D26" s="70" t="e">
        <f>+CE!#REF!</f>
        <v>#REF!</v>
      </c>
      <c r="E26" s="70" t="e">
        <f>+CE!#REF!</f>
        <v>#REF!</v>
      </c>
      <c r="F26" s="70" t="e">
        <f>+CE!#REF!</f>
        <v>#REF!</v>
      </c>
      <c r="G26" s="70" t="e">
        <f>+CE!#REF!</f>
        <v>#REF!</v>
      </c>
      <c r="H26" s="70" t="e">
        <f>+CE!#REF!</f>
        <v>#REF!</v>
      </c>
      <c r="I26" s="70" t="e">
        <f>+CE!#REF!</f>
        <v>#REF!</v>
      </c>
      <c r="J26" s="70" t="e">
        <f>+CE!#REF!</f>
        <v>#REF!</v>
      </c>
      <c r="K26" s="70" t="e">
        <f>+CE!#REF!</f>
        <v>#REF!</v>
      </c>
    </row>
    <row r="27" spans="1:11" x14ac:dyDescent="0.3">
      <c r="A27" s="73" t="s">
        <v>1036</v>
      </c>
      <c r="B27" s="62">
        <f>+B25-B26</f>
        <v>13588.810000000001</v>
      </c>
      <c r="C27" s="62" t="e">
        <f t="shared" ref="C27:K27" si="8">+C25-C26</f>
        <v>#REF!</v>
      </c>
      <c r="D27" s="62" t="e">
        <f t="shared" si="8"/>
        <v>#REF!</v>
      </c>
      <c r="E27" s="62" t="e">
        <f t="shared" si="8"/>
        <v>#REF!</v>
      </c>
      <c r="F27" s="62" t="e">
        <f t="shared" si="8"/>
        <v>#REF!</v>
      </c>
      <c r="G27" s="62" t="e">
        <f t="shared" si="8"/>
        <v>#REF!</v>
      </c>
      <c r="H27" s="62" t="e">
        <f t="shared" si="8"/>
        <v>#REF!</v>
      </c>
      <c r="I27" s="62" t="e">
        <f t="shared" si="8"/>
        <v>#REF!</v>
      </c>
      <c r="J27" s="62" t="e">
        <f t="shared" si="8"/>
        <v>#REF!</v>
      </c>
      <c r="K27" s="62" t="e">
        <f t="shared" si="8"/>
        <v>#REF!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4"/>
  <sheetViews>
    <sheetView tabSelected="1" workbookViewId="0">
      <selection activeCell="G5" sqref="G5:H5"/>
    </sheetView>
  </sheetViews>
  <sheetFormatPr defaultColWidth="8.77734375" defaultRowHeight="13.2" x14ac:dyDescent="0.25"/>
  <cols>
    <col min="1" max="1" width="4.44140625" style="96" customWidth="1"/>
    <col min="2" max="2" width="47.44140625" style="97" customWidth="1"/>
    <col min="3" max="3" width="11.33203125" style="97" bestFit="1" customWidth="1"/>
    <col min="4" max="4" width="13.33203125" style="97" bestFit="1" customWidth="1"/>
    <col min="5" max="5" width="11.33203125" style="97" bestFit="1" customWidth="1"/>
    <col min="6" max="6" width="9.77734375" style="97" bestFit="1" customWidth="1"/>
    <col min="7" max="7" width="11.33203125" style="97" bestFit="1" customWidth="1"/>
    <col min="8" max="8" width="9.77734375" style="97" bestFit="1" customWidth="1"/>
    <col min="9" max="26" width="8.77734375" style="96"/>
    <col min="27" max="16384" width="8.77734375" style="97"/>
  </cols>
  <sheetData>
    <row r="1" spans="1:10" ht="15.6" x14ac:dyDescent="0.3">
      <c r="B1" s="259" t="s">
        <v>1080</v>
      </c>
      <c r="C1" s="260"/>
      <c r="D1" s="260"/>
      <c r="E1" s="260"/>
      <c r="F1" s="260"/>
      <c r="G1" s="260"/>
      <c r="H1" s="260"/>
    </row>
    <row r="2" spans="1:10" s="96" customFormat="1" x14ac:dyDescent="0.25"/>
    <row r="3" spans="1:10" s="96" customFormat="1" ht="30" customHeight="1" x14ac:dyDescent="0.25">
      <c r="A3" s="98"/>
      <c r="B3" s="261" t="s">
        <v>1081</v>
      </c>
      <c r="C3" s="261"/>
      <c r="D3" s="261"/>
      <c r="E3" s="261"/>
      <c r="F3" s="261"/>
      <c r="G3" s="261"/>
      <c r="H3" s="261"/>
    </row>
    <row r="4" spans="1:10" s="96" customFormat="1" ht="14.4" x14ac:dyDescent="0.3">
      <c r="A4" s="98"/>
      <c r="B4" s="98"/>
      <c r="C4" s="262" t="s">
        <v>1183</v>
      </c>
      <c r="D4" s="263"/>
      <c r="E4" s="262" t="s">
        <v>1184</v>
      </c>
      <c r="F4" s="263"/>
      <c r="G4" s="262" t="s">
        <v>1184</v>
      </c>
      <c r="H4" s="263"/>
    </row>
    <row r="5" spans="1:10" s="96" customFormat="1" ht="14.4" x14ac:dyDescent="0.3">
      <c r="A5" s="98"/>
      <c r="B5" s="99" t="s">
        <v>1082</v>
      </c>
      <c r="C5" s="255">
        <f>+'SP Previsionale'!D3</f>
        <v>2016</v>
      </c>
      <c r="D5" s="256"/>
      <c r="E5" s="255">
        <f>+C5+1</f>
        <v>2017</v>
      </c>
      <c r="F5" s="256"/>
      <c r="G5" s="255">
        <f>+E5+1</f>
        <v>2018</v>
      </c>
      <c r="H5" s="256"/>
    </row>
    <row r="6" spans="1:10" s="96" customFormat="1" x14ac:dyDescent="0.25">
      <c r="A6" s="98"/>
      <c r="B6" s="100"/>
      <c r="C6" s="101" t="s">
        <v>1083</v>
      </c>
      <c r="D6" s="101" t="s">
        <v>1084</v>
      </c>
      <c r="E6" s="101" t="s">
        <v>1083</v>
      </c>
      <c r="F6" s="101" t="s">
        <v>1084</v>
      </c>
      <c r="G6" s="101" t="s">
        <v>1083</v>
      </c>
      <c r="H6" s="101" t="s">
        <v>1084</v>
      </c>
    </row>
    <row r="7" spans="1:10" s="96" customFormat="1" x14ac:dyDescent="0.25">
      <c r="A7" s="98"/>
      <c r="B7" s="191" t="s">
        <v>1085</v>
      </c>
      <c r="C7" s="101"/>
      <c r="D7" s="101"/>
      <c r="E7" s="102"/>
      <c r="F7" s="103"/>
      <c r="G7" s="102"/>
      <c r="H7" s="104"/>
    </row>
    <row r="8" spans="1:10" s="96" customFormat="1" ht="13.8" x14ac:dyDescent="0.25">
      <c r="A8" s="98"/>
      <c r="B8" s="175" t="s">
        <v>231</v>
      </c>
      <c r="C8" s="106">
        <f>+'SP Previsionale'!D13</f>
        <v>207969.09</v>
      </c>
      <c r="D8" s="103">
        <f>+C8/$C$11</f>
        <v>6.5542971308129125E-2</v>
      </c>
      <c r="E8" s="106">
        <f>+'SP Previsionale'!E13</f>
        <v>200000</v>
      </c>
      <c r="F8" s="103">
        <f>+E8/$E$11</f>
        <v>6.3172830029056048E-2</v>
      </c>
      <c r="G8" s="106">
        <f>+'SP Previsionale'!F7</f>
        <v>635168.79475</v>
      </c>
      <c r="H8" s="103">
        <f>+G8/$G$11</f>
        <v>0.17572668013911624</v>
      </c>
    </row>
    <row r="9" spans="1:10" s="96" customFormat="1" x14ac:dyDescent="0.25">
      <c r="A9" s="98"/>
      <c r="B9" s="105" t="s">
        <v>1086</v>
      </c>
      <c r="C9" s="106">
        <f>+'SP Previsionale'!D7+'SP Previsionale'!D5</f>
        <v>620860.65</v>
      </c>
      <c r="D9" s="103">
        <f t="shared" ref="D9:D11" si="0">+C9/$C$11</f>
        <v>0.19566874947280097</v>
      </c>
      <c r="E9" s="106">
        <f>+'SP Previsionale'!E7+'SP Previsionale'!E5</f>
        <v>621728.79475</v>
      </c>
      <c r="F9" s="103">
        <f t="shared" ref="F9:F11" si="1">+E9/$E$11</f>
        <v>0.19638183737455811</v>
      </c>
      <c r="G9" s="106">
        <f>+'SP Previsionale'!F7+'SP Previsionale'!F5</f>
        <v>635168.79475</v>
      </c>
      <c r="H9" s="103">
        <f t="shared" ref="H9:H10" si="2">+G9/$G$11</f>
        <v>0.17572668013911624</v>
      </c>
    </row>
    <row r="10" spans="1:10" s="96" customFormat="1" x14ac:dyDescent="0.25">
      <c r="A10" s="98"/>
      <c r="B10" s="105" t="s">
        <v>104</v>
      </c>
      <c r="C10" s="106">
        <f>+'SP Previsionale'!D17+'SP Previsionale'!D25+'SP Previsionale'!D31</f>
        <v>2344189.21</v>
      </c>
      <c r="D10" s="103">
        <f t="shared" si="0"/>
        <v>0.73878827921906987</v>
      </c>
      <c r="E10" s="106">
        <f>+'SP Previsionale'!E17+'SP Previsionale'!E25+'SP Previsionale'!E31</f>
        <v>2344189.21</v>
      </c>
      <c r="F10" s="103">
        <f t="shared" si="1"/>
        <v>0.7404453325963859</v>
      </c>
      <c r="G10" s="106">
        <f>+'SP Previsionale'!F17+'SP Previsionale'!F25+'SP Previsionale'!F31</f>
        <v>2344189.21</v>
      </c>
      <c r="H10" s="103">
        <f t="shared" si="2"/>
        <v>0.64854663972176763</v>
      </c>
    </row>
    <row r="11" spans="1:10" s="96" customFormat="1" x14ac:dyDescent="0.25">
      <c r="A11" s="98"/>
      <c r="B11" s="191" t="s">
        <v>358</v>
      </c>
      <c r="C11" s="107">
        <f>SUM(C8:C10)</f>
        <v>3173018.95</v>
      </c>
      <c r="D11" s="163">
        <f t="shared" si="0"/>
        <v>1</v>
      </c>
      <c r="E11" s="107">
        <f>SUM(E8:E10)</f>
        <v>3165918.0047499998</v>
      </c>
      <c r="F11" s="163">
        <f t="shared" si="1"/>
        <v>1</v>
      </c>
      <c r="G11" s="107">
        <f>SUM(G8:G10)</f>
        <v>3614526.7994999997</v>
      </c>
      <c r="H11" s="163">
        <f>+G11/$G$11</f>
        <v>1</v>
      </c>
    </row>
    <row r="12" spans="1:10" s="96" customFormat="1" x14ac:dyDescent="0.25">
      <c r="A12" s="98"/>
      <c r="B12" s="105" t="s">
        <v>1087</v>
      </c>
      <c r="C12" s="106">
        <f>+'SP Previsionale'!D37+'SP Previsionale'!D40</f>
        <v>661492.29</v>
      </c>
      <c r="D12" s="103">
        <f>+C12/$C$15</f>
        <v>0.20847410042645065</v>
      </c>
      <c r="E12" s="106">
        <f>+'SP Previsionale'!E37+'SP Previsionale'!E40</f>
        <v>471941.0723499998</v>
      </c>
      <c r="F12" s="103">
        <f>+E12/$E$15</f>
        <v>0.14906926149877769</v>
      </c>
      <c r="G12" s="106">
        <f>+'SP Previsionale'!F37+'SP Previsionale'!F40</f>
        <v>377490.79994999967</v>
      </c>
      <c r="H12" s="103">
        <f>+G12/$G$15</f>
        <v>0.11725654271439906</v>
      </c>
    </row>
    <row r="13" spans="1:10" s="96" customFormat="1" x14ac:dyDescent="0.25">
      <c r="A13" s="98"/>
      <c r="B13" s="105" t="s">
        <v>1088</v>
      </c>
      <c r="C13" s="106">
        <f>+'SP Previsionale'!D47+'SP Previsionale'!D49</f>
        <v>2228703.96</v>
      </c>
      <c r="D13" s="103">
        <f t="shared" ref="D13:D14" si="3">+C13/$C$15</f>
        <v>0.70239224281490598</v>
      </c>
      <c r="E13" s="106">
        <f>+'SP Previsionale'!E47+'SP Previsionale'!E49</f>
        <v>2241095.9500000002</v>
      </c>
      <c r="F13" s="103">
        <f t="shared" ref="F13:F15" si="4">+E13/$E$15</f>
        <v>0.70788184751727457</v>
      </c>
      <c r="G13" s="106">
        <f>+'SP Previsionale'!F47+'SP Previsionale'!F49</f>
        <v>2253487.94</v>
      </c>
      <c r="H13" s="103">
        <f t="shared" ref="H13:H14" si="5">+G13/$G$15</f>
        <v>0.69998051589069832</v>
      </c>
    </row>
    <row r="14" spans="1:10" s="96" customFormat="1" x14ac:dyDescent="0.25">
      <c r="A14" s="98"/>
      <c r="B14" s="105" t="s">
        <v>1089</v>
      </c>
      <c r="C14" s="106">
        <f>+'SP Previsionale'!D56</f>
        <v>282822.78999999998</v>
      </c>
      <c r="D14" s="103">
        <f t="shared" si="3"/>
        <v>8.9133656758643334E-2</v>
      </c>
      <c r="E14" s="106">
        <f>+'SP Previsionale'!E56</f>
        <v>452881.07240000006</v>
      </c>
      <c r="F14" s="103">
        <f t="shared" si="4"/>
        <v>0.14304889098394766</v>
      </c>
      <c r="G14" s="106">
        <f>+'SP Previsionale'!F56</f>
        <v>588379.35480000009</v>
      </c>
      <c r="H14" s="103">
        <f t="shared" si="5"/>
        <v>0.18276294139490282</v>
      </c>
    </row>
    <row r="15" spans="1:10" s="96" customFormat="1" x14ac:dyDescent="0.25">
      <c r="A15" s="98"/>
      <c r="B15" s="191" t="s">
        <v>620</v>
      </c>
      <c r="C15" s="107">
        <f>SUM(C12:C14)</f>
        <v>3173019.04</v>
      </c>
      <c r="D15" s="163">
        <f>+C15/$C$15</f>
        <v>1</v>
      </c>
      <c r="E15" s="107">
        <f>SUM(E12:E14)</f>
        <v>3165918.0947500002</v>
      </c>
      <c r="F15" s="163">
        <f t="shared" si="4"/>
        <v>1</v>
      </c>
      <c r="G15" s="107">
        <f>SUM(G12:G14)</f>
        <v>3219358.0947499992</v>
      </c>
      <c r="H15" s="163">
        <f>+G15/$G$15</f>
        <v>1</v>
      </c>
      <c r="J15" s="96" t="s">
        <v>1090</v>
      </c>
    </row>
    <row r="16" spans="1:10" s="96" customFormat="1" x14ac:dyDescent="0.25">
      <c r="A16" s="98"/>
      <c r="B16" s="108"/>
      <c r="C16" s="109"/>
      <c r="D16" s="110"/>
      <c r="E16" s="109"/>
      <c r="F16" s="111"/>
      <c r="G16" s="109"/>
      <c r="H16" s="112"/>
    </row>
    <row r="17" spans="1:8" s="96" customFormat="1" x14ac:dyDescent="0.25">
      <c r="A17" s="98"/>
      <c r="B17" s="113"/>
      <c r="C17" s="100"/>
      <c r="D17" s="114"/>
      <c r="E17" s="100"/>
      <c r="F17" s="114"/>
      <c r="G17" s="100"/>
      <c r="H17" s="114"/>
    </row>
    <row r="18" spans="1:8" s="96" customFormat="1" ht="14.4" x14ac:dyDescent="0.3">
      <c r="A18" s="98"/>
      <c r="B18" s="191" t="s">
        <v>1091</v>
      </c>
      <c r="C18" s="255">
        <f>+C5</f>
        <v>2016</v>
      </c>
      <c r="D18" s="256"/>
      <c r="E18" s="255">
        <f>+E5</f>
        <v>2017</v>
      </c>
      <c r="F18" s="256"/>
      <c r="G18" s="255">
        <f>+G5</f>
        <v>2018</v>
      </c>
      <c r="H18" s="256"/>
    </row>
    <row r="19" spans="1:8" s="96" customFormat="1" x14ac:dyDescent="0.25">
      <c r="A19" s="98"/>
      <c r="B19" s="116" t="s">
        <v>933</v>
      </c>
      <c r="C19" s="257">
        <f>+'CE Previsionale'!C5+'CE Previsionale'!C6</f>
        <v>1377337.99</v>
      </c>
      <c r="D19" s="258"/>
      <c r="E19" s="257">
        <f>+'CE Previsionale'!D5+'CE Previsionale'!D6</f>
        <v>1345909.27</v>
      </c>
      <c r="F19" s="258"/>
      <c r="G19" s="257">
        <f>+'CE Previsionale'!E5+'CE Previsionale'!E6</f>
        <v>1345909.27</v>
      </c>
      <c r="H19" s="258"/>
    </row>
    <row r="20" spans="1:8" s="96" customFormat="1" x14ac:dyDescent="0.25">
      <c r="A20" s="98"/>
      <c r="B20" s="116" t="s">
        <v>1092</v>
      </c>
      <c r="C20" s="257">
        <f>+'CE Previsionale'!C23+'CE Previsionale'!C24</f>
        <v>204533.31</v>
      </c>
      <c r="D20" s="258"/>
      <c r="E20" s="257">
        <f>+'CE Previsionale'!D23+'CE Previsionale'!D24</f>
        <v>0</v>
      </c>
      <c r="F20" s="258"/>
      <c r="G20" s="257">
        <f>+'CE Previsionale'!E23+'CE Previsionale'!E24</f>
        <v>0</v>
      </c>
      <c r="H20" s="258"/>
    </row>
    <row r="21" spans="1:8" s="96" customFormat="1" x14ac:dyDescent="0.25">
      <c r="A21" s="98"/>
      <c r="B21" s="116" t="s">
        <v>1093</v>
      </c>
      <c r="C21" s="257">
        <f>+'CE Previsionale'!C30+'CE Previsionale'!C23+'CE Previsionale'!C24</f>
        <v>287316.12999999995</v>
      </c>
      <c r="D21" s="258"/>
      <c r="E21" s="257">
        <f>+'CE Previsionale'!D30+'CE Previsionale'!D23+'CE Previsionale'!D24</f>
        <v>251439.32500000013</v>
      </c>
      <c r="F21" s="258"/>
      <c r="G21" s="257">
        <f>+'CE Previsionale'!E30+'CE Previsionale'!E23+'CE Previsionale'!E24</f>
        <v>203439.32500000001</v>
      </c>
      <c r="H21" s="258"/>
    </row>
    <row r="22" spans="1:8" s="96" customFormat="1" x14ac:dyDescent="0.25">
      <c r="A22" s="98"/>
      <c r="B22" s="116" t="s">
        <v>1094</v>
      </c>
      <c r="C22" s="257">
        <f>-'CE Previsionale'!C37</f>
        <v>51731.060000000005</v>
      </c>
      <c r="D22" s="258"/>
      <c r="E22" s="257">
        <f>-'CE Previsionale'!D37</f>
        <v>0</v>
      </c>
      <c r="F22" s="258"/>
      <c r="G22" s="257">
        <f>-'CE Previsionale'!E37</f>
        <v>0</v>
      </c>
      <c r="H22" s="258"/>
    </row>
    <row r="23" spans="1:8" s="96" customFormat="1" x14ac:dyDescent="0.25">
      <c r="A23" s="98"/>
      <c r="B23" s="116" t="s">
        <v>1095</v>
      </c>
      <c r="C23" s="257">
        <f>+'CE Previsionale'!C44</f>
        <v>13588.809999999943</v>
      </c>
      <c r="D23" s="258"/>
      <c r="E23" s="257">
        <f>+'CE Previsionale'!D44</f>
        <v>170058.28240000008</v>
      </c>
      <c r="F23" s="258"/>
      <c r="G23" s="257">
        <f>+'CE Previsionale'!E44</f>
        <v>135498.28240000003</v>
      </c>
      <c r="H23" s="258"/>
    </row>
    <row r="24" spans="1:8" s="96" customFormat="1" x14ac:dyDescent="0.25">
      <c r="A24" s="98"/>
      <c r="B24" s="117"/>
      <c r="C24" s="115"/>
      <c r="D24" s="115"/>
      <c r="E24" s="115"/>
      <c r="F24" s="118"/>
      <c r="G24" s="115"/>
      <c r="H24" s="119"/>
    </row>
    <row r="25" spans="1:8" s="96" customFormat="1" x14ac:dyDescent="0.25">
      <c r="A25" s="98"/>
      <c r="B25" s="191" t="s">
        <v>1096</v>
      </c>
      <c r="C25" s="101" t="s">
        <v>1097</v>
      </c>
      <c r="D25" s="103" t="s">
        <v>1098</v>
      </c>
      <c r="E25" s="101" t="s">
        <v>1097</v>
      </c>
      <c r="F25" s="103" t="s">
        <v>1098</v>
      </c>
      <c r="G25" s="101" t="s">
        <v>1097</v>
      </c>
      <c r="H25" s="103" t="s">
        <v>1098</v>
      </c>
    </row>
    <row r="26" spans="1:8" s="96" customFormat="1" x14ac:dyDescent="0.25">
      <c r="A26" s="98"/>
      <c r="B26" s="120" t="s">
        <v>1099</v>
      </c>
      <c r="C26" s="121">
        <f>+(C14+C13)/C10</f>
        <v>1.071383973309902</v>
      </c>
      <c r="D26" s="122">
        <f>IF(C26&gt;0,IF((C26&gt;=1),3,IF((C26&lt;=0.75),1,2)),"0")</f>
        <v>3</v>
      </c>
      <c r="E26" s="121">
        <f>+(E14+E13)/E10</f>
        <v>1.1492148376538258</v>
      </c>
      <c r="F26" s="122">
        <f>IF(E26&gt;0,IF((E26&gt;=1),3,IF((E26&lt;=0.75),1,2)),"0")</f>
        <v>3</v>
      </c>
      <c r="G26" s="121">
        <f>+(G14+G13)/G10</f>
        <v>1.2123028647504099</v>
      </c>
      <c r="H26" s="122">
        <f>IF(G26&gt;0,IF((G26&gt;=1),3,IF((G26&lt;=0.75),1,2)),"0")</f>
        <v>3</v>
      </c>
    </row>
    <row r="27" spans="1:8" s="96" customFormat="1" x14ac:dyDescent="0.25">
      <c r="A27" s="98"/>
      <c r="B27" s="120" t="s">
        <v>1100</v>
      </c>
      <c r="C27" s="123">
        <f>+C14/C15</f>
        <v>8.9133656758643334E-2</v>
      </c>
      <c r="D27" s="122">
        <f>IF(C27&gt;0,IF((C27&gt;=10%),3,IF((C27&lt;=6%),1,2)),"0")</f>
        <v>2</v>
      </c>
      <c r="E27" s="123">
        <f>+E14/E15</f>
        <v>0.14304889098394766</v>
      </c>
      <c r="F27" s="122">
        <f>IF(E27&gt;0,IF((E27&gt;=10%),3,IF((E27&lt;=6%),1,2)),"0")</f>
        <v>3</v>
      </c>
      <c r="G27" s="123">
        <f>+G14/G15</f>
        <v>0.18276294139490282</v>
      </c>
      <c r="H27" s="122">
        <f>IF(G27&gt;0,IF((G27&gt;=10%),3,IF((G27&lt;=6%),1,2)),"0")</f>
        <v>3</v>
      </c>
    </row>
    <row r="28" spans="1:8" s="96" customFormat="1" x14ac:dyDescent="0.25">
      <c r="A28" s="98"/>
      <c r="B28" s="120" t="s">
        <v>1101</v>
      </c>
      <c r="C28" s="121">
        <f>+IF(C22=0,"na",C21/C22)</f>
        <v>5.5540352353112405</v>
      </c>
      <c r="D28" s="124">
        <f>IF(C28="","",IF(C28&lt;1,0,IF(C28&lt;1.5,1,IF(C28&gt;=2,3,2))))</f>
        <v>3</v>
      </c>
      <c r="E28" s="121" t="str">
        <f>+IF(E22=0,"na",E21/E22)</f>
        <v>na</v>
      </c>
      <c r="F28" s="124">
        <f>IF(E28="","",IF(E28&lt;1,0,IF(E28&lt;1.5,1,IF(E28&gt;=2,3,2))))</f>
        <v>3</v>
      </c>
      <c r="G28" s="121" t="str">
        <f>+IF(G22=0,"na",G21/G22)</f>
        <v>na</v>
      </c>
      <c r="H28" s="124">
        <f>IF(G28="","",IF(G28&lt;1,0,IF(G28&lt;1.5,1,IF(G28&gt;=2,3,2))))</f>
        <v>3</v>
      </c>
    </row>
    <row r="29" spans="1:8" s="96" customFormat="1" x14ac:dyDescent="0.25">
      <c r="A29" s="98"/>
      <c r="B29" s="120" t="s">
        <v>1102</v>
      </c>
      <c r="C29" s="125">
        <f>+C21/C19</f>
        <v>0.2086024868884942</v>
      </c>
      <c r="D29" s="126">
        <f>IF(C29="","",IF(C29&gt;=0.08,3,IF(C29&lt;0.03,0,IF(C29&gt;=0.05,2,1))))</f>
        <v>3</v>
      </c>
      <c r="E29" s="125">
        <f>+E21/E19</f>
        <v>0.18681744052479862</v>
      </c>
      <c r="F29" s="126">
        <f>IF(E29="","",IF(E29&gt;=0.08,3,IF(E29&lt;0.03,0,IF(E29&gt;=0.05,2,1))))</f>
        <v>3</v>
      </c>
      <c r="G29" s="125">
        <f>+G21/G19</f>
        <v>0.15115381811732376</v>
      </c>
      <c r="H29" s="126">
        <f>IF(G29="","",IF(G29&gt;=0.08,3,IF(G29&lt;0.03,0,IF(G29&gt;=0.05,2,1))))</f>
        <v>3</v>
      </c>
    </row>
    <row r="30" spans="1:8" s="96" customFormat="1" x14ac:dyDescent="0.25">
      <c r="A30" s="98"/>
      <c r="B30" s="127" t="s">
        <v>1103</v>
      </c>
      <c r="C30" s="128"/>
      <c r="D30" s="129">
        <f>SUM(D26:D29)</f>
        <v>11</v>
      </c>
      <c r="E30" s="130"/>
      <c r="F30" s="129">
        <f>SUM(F26:F29)</f>
        <v>12</v>
      </c>
      <c r="G30" s="131"/>
      <c r="H30" s="129">
        <f>SUM(H26:H29)</f>
        <v>12</v>
      </c>
    </row>
    <row r="31" spans="1:8" s="96" customFormat="1" x14ac:dyDescent="0.25">
      <c r="A31" s="98"/>
      <c r="B31" s="127" t="s">
        <v>1104</v>
      </c>
      <c r="C31" s="128"/>
      <c r="D31" s="132"/>
      <c r="E31" s="130"/>
      <c r="F31" s="133"/>
      <c r="G31" s="130"/>
      <c r="H31" s="134"/>
    </row>
    <row r="32" spans="1:8" s="96" customFormat="1" x14ac:dyDescent="0.25">
      <c r="A32" s="98"/>
      <c r="B32" s="127" t="s">
        <v>1105</v>
      </c>
      <c r="C32" s="135"/>
      <c r="D32" s="136"/>
      <c r="E32" s="130"/>
      <c r="F32" s="136"/>
      <c r="G32" s="130"/>
      <c r="H32" s="137"/>
    </row>
    <row r="33" spans="1:8" s="96" customFormat="1" x14ac:dyDescent="0.25">
      <c r="A33" s="98"/>
      <c r="B33" s="127" t="s">
        <v>1106</v>
      </c>
      <c r="C33" s="138"/>
      <c r="D33" s="139"/>
      <c r="E33" s="140"/>
      <c r="F33" s="141"/>
      <c r="G33" s="140"/>
      <c r="H33" s="142"/>
    </row>
    <row r="34" spans="1:8" s="96" customFormat="1" x14ac:dyDescent="0.25"/>
    <row r="35" spans="1:8" s="96" customFormat="1" x14ac:dyDescent="0.25"/>
    <row r="36" spans="1:8" s="96" customFormat="1" x14ac:dyDescent="0.25"/>
    <row r="37" spans="1:8" x14ac:dyDescent="0.25">
      <c r="B37" s="143" t="s">
        <v>1107</v>
      </c>
      <c r="C37" s="144" t="s">
        <v>1108</v>
      </c>
      <c r="D37" s="143" t="s">
        <v>1109</v>
      </c>
      <c r="E37" s="143" t="s">
        <v>1110</v>
      </c>
      <c r="F37" s="96"/>
      <c r="G37" s="96"/>
      <c r="H37" s="96"/>
    </row>
    <row r="38" spans="1:8" x14ac:dyDescent="0.25">
      <c r="B38" s="253" t="s">
        <v>1111</v>
      </c>
      <c r="C38" s="254" t="s">
        <v>1112</v>
      </c>
      <c r="D38" s="145" t="s">
        <v>1113</v>
      </c>
      <c r="E38" s="146">
        <v>3</v>
      </c>
      <c r="F38" s="96"/>
      <c r="G38" s="96"/>
      <c r="H38" s="96"/>
    </row>
    <row r="39" spans="1:8" x14ac:dyDescent="0.25">
      <c r="B39" s="253"/>
      <c r="C39" s="254"/>
      <c r="D39" s="147" t="s">
        <v>1114</v>
      </c>
      <c r="E39" s="146">
        <v>2</v>
      </c>
      <c r="F39" s="96"/>
      <c r="G39" s="96"/>
      <c r="H39" s="96"/>
    </row>
    <row r="40" spans="1:8" x14ac:dyDescent="0.25">
      <c r="B40" s="253"/>
      <c r="C40" s="254"/>
      <c r="D40" s="148" t="s">
        <v>1115</v>
      </c>
      <c r="E40" s="146">
        <v>1</v>
      </c>
      <c r="F40" s="96"/>
      <c r="G40" s="96"/>
      <c r="H40" s="96"/>
    </row>
    <row r="41" spans="1:8" x14ac:dyDescent="0.25">
      <c r="B41" s="253"/>
      <c r="C41" s="254"/>
      <c r="D41" s="145" t="s">
        <v>1116</v>
      </c>
      <c r="E41" s="146" t="s">
        <v>1117</v>
      </c>
      <c r="F41" s="96"/>
      <c r="G41" s="96"/>
      <c r="H41" s="96"/>
    </row>
    <row r="42" spans="1:8" x14ac:dyDescent="0.25">
      <c r="B42" s="253" t="s">
        <v>1118</v>
      </c>
      <c r="C42" s="254" t="s">
        <v>1119</v>
      </c>
      <c r="D42" s="149" t="s">
        <v>1120</v>
      </c>
      <c r="E42" s="150">
        <v>3</v>
      </c>
      <c r="F42" s="96"/>
      <c r="G42" s="96"/>
      <c r="H42" s="96"/>
    </row>
    <row r="43" spans="1:8" x14ac:dyDescent="0.25">
      <c r="B43" s="253"/>
      <c r="C43" s="254"/>
      <c r="D43" s="151" t="s">
        <v>1121</v>
      </c>
      <c r="E43" s="150">
        <v>2</v>
      </c>
      <c r="F43" s="96"/>
      <c r="G43" s="96"/>
      <c r="H43" s="96"/>
    </row>
    <row r="44" spans="1:8" x14ac:dyDescent="0.25">
      <c r="B44" s="253"/>
      <c r="C44" s="254"/>
      <c r="D44" s="152" t="s">
        <v>1122</v>
      </c>
      <c r="E44" s="150">
        <v>1</v>
      </c>
      <c r="F44" s="96"/>
      <c r="G44" s="96"/>
      <c r="H44" s="96"/>
    </row>
    <row r="45" spans="1:8" x14ac:dyDescent="0.25">
      <c r="B45" s="253"/>
      <c r="C45" s="254"/>
      <c r="D45" s="149" t="s">
        <v>1116</v>
      </c>
      <c r="E45" s="150" t="s">
        <v>1117</v>
      </c>
      <c r="F45" s="96"/>
      <c r="G45" s="153" t="s">
        <v>1123</v>
      </c>
      <c r="H45" s="96"/>
    </row>
    <row r="46" spans="1:8" x14ac:dyDescent="0.25">
      <c r="B46" s="253" t="s">
        <v>1124</v>
      </c>
      <c r="C46" s="254" t="s">
        <v>1125</v>
      </c>
      <c r="D46" s="154" t="s">
        <v>1126</v>
      </c>
      <c r="E46" s="155">
        <v>3</v>
      </c>
      <c r="F46" s="96"/>
      <c r="G46" s="96"/>
      <c r="H46" s="96"/>
    </row>
    <row r="47" spans="1:8" x14ac:dyDescent="0.25">
      <c r="B47" s="253"/>
      <c r="C47" s="254"/>
      <c r="D47" s="156" t="s">
        <v>1127</v>
      </c>
      <c r="E47" s="155">
        <v>2</v>
      </c>
      <c r="F47" s="96"/>
      <c r="G47" s="96"/>
      <c r="H47" s="96"/>
    </row>
    <row r="48" spans="1:8" x14ac:dyDescent="0.25">
      <c r="B48" s="253"/>
      <c r="C48" s="254"/>
      <c r="D48" s="157" t="s">
        <v>1128</v>
      </c>
      <c r="E48" s="155">
        <v>1</v>
      </c>
      <c r="F48" s="96"/>
      <c r="G48" s="96"/>
      <c r="H48" s="96"/>
    </row>
    <row r="49" spans="2:8" x14ac:dyDescent="0.25">
      <c r="B49" s="253"/>
      <c r="C49" s="254"/>
      <c r="D49" s="158" t="s">
        <v>1129</v>
      </c>
      <c r="E49" s="155" t="s">
        <v>1117</v>
      </c>
      <c r="F49" s="96"/>
      <c r="G49" s="96"/>
      <c r="H49" s="96"/>
    </row>
    <row r="50" spans="2:8" x14ac:dyDescent="0.25">
      <c r="B50" s="253" t="s">
        <v>1130</v>
      </c>
      <c r="C50" s="254" t="s">
        <v>1131</v>
      </c>
      <c r="D50" s="159" t="s">
        <v>1132</v>
      </c>
      <c r="E50" s="160">
        <v>3</v>
      </c>
      <c r="F50" s="96"/>
      <c r="G50" s="96"/>
      <c r="H50" s="96"/>
    </row>
    <row r="51" spans="2:8" x14ac:dyDescent="0.25">
      <c r="B51" s="253"/>
      <c r="C51" s="254"/>
      <c r="D51" s="161" t="s">
        <v>1133</v>
      </c>
      <c r="E51" s="160">
        <v>2</v>
      </c>
      <c r="F51" s="96"/>
      <c r="G51" s="96"/>
      <c r="H51" s="96"/>
    </row>
    <row r="52" spans="2:8" x14ac:dyDescent="0.25">
      <c r="B52" s="253"/>
      <c r="C52" s="254"/>
      <c r="D52" s="162" t="s">
        <v>1134</v>
      </c>
      <c r="E52" s="160">
        <v>1</v>
      </c>
      <c r="F52" s="96"/>
      <c r="G52" s="96"/>
      <c r="H52" s="96"/>
    </row>
    <row r="53" spans="2:8" x14ac:dyDescent="0.25">
      <c r="B53" s="253"/>
      <c r="C53" s="254"/>
      <c r="D53" s="162" t="s">
        <v>1135</v>
      </c>
      <c r="E53" s="160" t="s">
        <v>1117</v>
      </c>
      <c r="F53" s="96"/>
      <c r="G53" s="96"/>
      <c r="H53" s="96"/>
    </row>
    <row r="54" spans="2:8" s="96" customFormat="1" x14ac:dyDescent="0.25"/>
    <row r="55" spans="2:8" s="96" customFormat="1" x14ac:dyDescent="0.25"/>
    <row r="56" spans="2:8" s="96" customFormat="1" x14ac:dyDescent="0.25"/>
    <row r="57" spans="2:8" s="96" customFormat="1" x14ac:dyDescent="0.25"/>
    <row r="58" spans="2:8" s="96" customFormat="1" x14ac:dyDescent="0.25"/>
    <row r="59" spans="2:8" s="96" customFormat="1" x14ac:dyDescent="0.25"/>
    <row r="60" spans="2:8" s="96" customFormat="1" x14ac:dyDescent="0.25"/>
    <row r="61" spans="2:8" s="96" customFormat="1" x14ac:dyDescent="0.25"/>
    <row r="62" spans="2:8" s="96" customFormat="1" x14ac:dyDescent="0.25"/>
    <row r="63" spans="2:8" s="96" customFormat="1" x14ac:dyDescent="0.25"/>
    <row r="64" spans="2:8" s="96" customFormat="1" x14ac:dyDescent="0.25"/>
    <row r="65" s="96" customFormat="1" x14ac:dyDescent="0.25"/>
    <row r="66" s="96" customFormat="1" x14ac:dyDescent="0.25"/>
    <row r="67" s="96" customFormat="1" x14ac:dyDescent="0.25"/>
    <row r="68" s="96" customFormat="1" x14ac:dyDescent="0.25"/>
    <row r="69" s="96" customFormat="1" x14ac:dyDescent="0.25"/>
    <row r="70" s="96" customFormat="1" x14ac:dyDescent="0.25"/>
    <row r="71" s="96" customFormat="1" x14ac:dyDescent="0.25"/>
    <row r="72" s="96" customFormat="1" x14ac:dyDescent="0.25"/>
    <row r="73" s="96" customFormat="1" x14ac:dyDescent="0.25"/>
    <row r="74" s="96" customFormat="1" x14ac:dyDescent="0.25"/>
  </sheetData>
  <mergeCells count="34">
    <mergeCell ref="G20:H20"/>
    <mergeCell ref="B1:H1"/>
    <mergeCell ref="B3:H3"/>
    <mergeCell ref="C5:D5"/>
    <mergeCell ref="E5:F5"/>
    <mergeCell ref="G5:H5"/>
    <mergeCell ref="C18:D18"/>
    <mergeCell ref="C4:D4"/>
    <mergeCell ref="E4:F4"/>
    <mergeCell ref="G4:H4"/>
    <mergeCell ref="G18:H18"/>
    <mergeCell ref="C23:D23"/>
    <mergeCell ref="E23:F23"/>
    <mergeCell ref="G23:H23"/>
    <mergeCell ref="B38:B41"/>
    <mergeCell ref="C38:C41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B46:B49"/>
    <mergeCell ref="C46:C49"/>
    <mergeCell ref="B50:B53"/>
    <mergeCell ref="C50:C53"/>
    <mergeCell ref="E18:F18"/>
    <mergeCell ref="B42:B45"/>
    <mergeCell ref="C42:C45"/>
    <mergeCell ref="E20:F20"/>
  </mergeCells>
  <conditionalFormatting sqref="F28">
    <cfRule type="expression" dxfId="5" priority="5">
      <formula>+$C$19+$C$20+$C$21+$C$22+$C$23=0</formula>
    </cfRule>
  </conditionalFormatting>
  <conditionalFormatting sqref="D28">
    <cfRule type="expression" dxfId="4" priority="6">
      <formula>+$C$19+$C$20+$C$21+$C$22+$C$23=0</formula>
    </cfRule>
  </conditionalFormatting>
  <conditionalFormatting sqref="H28">
    <cfRule type="expression" dxfId="3" priority="4">
      <formula>+$C$19+$C$20+$C$21+$C$22+$C$23=0</formula>
    </cfRule>
  </conditionalFormatting>
  <conditionalFormatting sqref="D29">
    <cfRule type="expression" dxfId="2" priority="3">
      <formula>+$C$19+$C$20+$C$21+$C$22+$C$23=0</formula>
    </cfRule>
  </conditionalFormatting>
  <conditionalFormatting sqref="F29">
    <cfRule type="expression" dxfId="1" priority="2">
      <formula>+$C$19+$C$20+$C$21+$C$22+$C$23=0</formula>
    </cfRule>
  </conditionalFormatting>
  <conditionalFormatting sqref="H29">
    <cfRule type="expression" dxfId="0" priority="1">
      <formula>+$C$19+$C$20+$C$21+$C$22+$C$23=0</formula>
    </cfRule>
  </conditionalFormatting>
  <pageMargins left="0.7" right="0.7" top="0.75" bottom="0.75" header="0.3" footer="0.3"/>
  <pageSetup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57"/>
  <sheetViews>
    <sheetView showGridLines="0" topLeftCell="A43" workbookViewId="0">
      <selection activeCell="H59" sqref="H59"/>
    </sheetView>
  </sheetViews>
  <sheetFormatPr defaultColWidth="8.6640625" defaultRowHeight="14.4" x14ac:dyDescent="0.3"/>
  <cols>
    <col min="2" max="2" width="68.44140625" customWidth="1"/>
    <col min="3" max="8" width="12.5546875" style="177" bestFit="1" customWidth="1"/>
    <col min="9" max="12" width="14.33203125" style="177" bestFit="1" customWidth="1"/>
  </cols>
  <sheetData>
    <row r="2" spans="2:13" ht="15.6" x14ac:dyDescent="0.3">
      <c r="B2" s="164" t="s">
        <v>1037</v>
      </c>
      <c r="C2" s="176">
        <f>+SP!H4</f>
        <v>2016</v>
      </c>
      <c r="D2" s="176">
        <f>+C2+1</f>
        <v>2017</v>
      </c>
      <c r="E2" s="176">
        <f t="shared" ref="E2:L2" si="0">+D2+1</f>
        <v>2018</v>
      </c>
      <c r="F2" s="176">
        <f t="shared" si="0"/>
        <v>2019</v>
      </c>
      <c r="G2" s="176">
        <f t="shared" si="0"/>
        <v>2020</v>
      </c>
      <c r="H2" s="176">
        <f t="shared" si="0"/>
        <v>2021</v>
      </c>
      <c r="I2" s="176">
        <f t="shared" si="0"/>
        <v>2022</v>
      </c>
      <c r="J2" s="176">
        <f t="shared" si="0"/>
        <v>2023</v>
      </c>
      <c r="K2" s="176">
        <f t="shared" si="0"/>
        <v>2024</v>
      </c>
      <c r="L2" s="176">
        <f t="shared" si="0"/>
        <v>2025</v>
      </c>
      <c r="M2" s="65"/>
    </row>
    <row r="3" spans="2:13" x14ac:dyDescent="0.3">
      <c r="B3" s="2" t="s">
        <v>1038</v>
      </c>
    </row>
    <row r="4" spans="2:13" x14ac:dyDescent="0.3">
      <c r="B4" s="175" t="s">
        <v>1039</v>
      </c>
      <c r="C4" s="189">
        <f>+'SP Previsionale'!D17+'SP Previsionale'!D25+'SP Previsionale'!D31</f>
        <v>2344189.21</v>
      </c>
      <c r="D4" s="189">
        <f>+'SP Previsionale'!E17+'SP Previsionale'!E25+'SP Previsionale'!E31</f>
        <v>2344189.21</v>
      </c>
      <c r="E4" s="189">
        <f>+'SP Previsionale'!F17+'SP Previsionale'!F25+'SP Previsionale'!F31</f>
        <v>2344189.21</v>
      </c>
      <c r="F4" s="189">
        <f>+'SP Previsionale'!G17+'SP Previsionale'!G25+'SP Previsionale'!G31</f>
        <v>2344189.21</v>
      </c>
      <c r="G4" s="189">
        <f>+'SP Previsionale'!H17+'SP Previsionale'!H25+'SP Previsionale'!H31</f>
        <v>2344189.21</v>
      </c>
      <c r="H4" s="189">
        <f>+'SP Previsionale'!I17+'SP Previsionale'!I25+'SP Previsionale'!I31</f>
        <v>2344189.21</v>
      </c>
      <c r="I4" s="189">
        <f>+'SP Previsionale'!J17+'SP Previsionale'!J25+'SP Previsionale'!J31</f>
        <v>2344189.21</v>
      </c>
      <c r="J4" s="189">
        <f>+'SP Previsionale'!K17+'SP Previsionale'!K25+'SP Previsionale'!K31</f>
        <v>2344189.21</v>
      </c>
      <c r="K4" s="189">
        <f>+'SP Previsionale'!L17+'SP Previsionale'!L25+'SP Previsionale'!L31</f>
        <v>2344189.21</v>
      </c>
      <c r="L4" s="190">
        <f>+'SP Previsionale'!M17+'SP Previsionale'!M25+'SP Previsionale'!M31</f>
        <v>2344189.21</v>
      </c>
    </row>
    <row r="5" spans="2:13" x14ac:dyDescent="0.3">
      <c r="B5" s="175" t="s">
        <v>1040</v>
      </c>
      <c r="C5" s="189">
        <f>+'SP Previsionale'!D5+'SP Previsionale'!D7+'SP Previsionale'!D13</f>
        <v>828829.74</v>
      </c>
      <c r="D5" s="189">
        <f>+'SP Previsionale'!E5+'SP Previsionale'!E7+'SP Previsionale'!E13</f>
        <v>821728.79475</v>
      </c>
      <c r="E5" s="189">
        <f>+'SP Previsionale'!F5+'SP Previsionale'!F7+'SP Previsionale'!F13</f>
        <v>875168.79475</v>
      </c>
      <c r="F5" s="189">
        <f>+'SP Previsionale'!G5+'SP Previsionale'!G7+'SP Previsionale'!G13</f>
        <v>841888.79475</v>
      </c>
      <c r="G5" s="189">
        <f>+'SP Previsionale'!H5+'SP Previsionale'!H7+'SP Previsionale'!H13</f>
        <v>877573.86927383358</v>
      </c>
      <c r="H5" s="189">
        <f>+'SP Previsionale'!I5+'SP Previsionale'!I7+'SP Previsionale'!I13</f>
        <v>1016824.1416738336</v>
      </c>
      <c r="I5" s="189">
        <f>+'SP Previsionale'!J5+'SP Previsionale'!J7+'SP Previsionale'!J13</f>
        <v>1156074.4140738335</v>
      </c>
      <c r="J5" s="189">
        <f>+'SP Previsionale'!K5+'SP Previsionale'!K7+'SP Previsionale'!K13</f>
        <v>1295324.6864738334</v>
      </c>
      <c r="K5" s="189">
        <f>+'SP Previsionale'!L5+'SP Previsionale'!L7+'SP Previsionale'!L13</f>
        <v>1434574.9588738333</v>
      </c>
      <c r="L5" s="190">
        <f>+'SP Previsionale'!M5+'SP Previsionale'!M7+'SP Previsionale'!M13</f>
        <v>1573825.2312738332</v>
      </c>
    </row>
    <row r="6" spans="2:13" x14ac:dyDescent="0.3">
      <c r="B6" s="2" t="s">
        <v>1041</v>
      </c>
      <c r="C6" s="178">
        <f>SUM(C3:C5)</f>
        <v>3173018.95</v>
      </c>
      <c r="D6" s="178">
        <f t="shared" ref="D6:L6" si="1">SUM(D3:D5)</f>
        <v>3165918.0047499998</v>
      </c>
      <c r="E6" s="178">
        <f t="shared" si="1"/>
        <v>3219358.0047499998</v>
      </c>
      <c r="F6" s="178">
        <f t="shared" si="1"/>
        <v>3186078.0047499998</v>
      </c>
      <c r="G6" s="178">
        <f t="shared" si="1"/>
        <v>3221763.0792738334</v>
      </c>
      <c r="H6" s="178">
        <f t="shared" si="1"/>
        <v>3361013.3516738336</v>
      </c>
      <c r="I6" s="178">
        <f t="shared" si="1"/>
        <v>3500263.6240738332</v>
      </c>
      <c r="J6" s="178">
        <f t="shared" si="1"/>
        <v>3639513.8964738334</v>
      </c>
      <c r="K6" s="178">
        <f t="shared" si="1"/>
        <v>3778764.1688738335</v>
      </c>
      <c r="L6" s="178">
        <f t="shared" si="1"/>
        <v>3918014.4412738332</v>
      </c>
    </row>
    <row r="7" spans="2:13" x14ac:dyDescent="0.3">
      <c r="B7" s="2" t="s">
        <v>1042</v>
      </c>
    </row>
    <row r="8" spans="2:13" x14ac:dyDescent="0.3">
      <c r="B8" s="175" t="s">
        <v>1043</v>
      </c>
      <c r="C8" s="184">
        <f>+'SP Previsionale'!D56</f>
        <v>282822.78999999998</v>
      </c>
      <c r="D8" s="184">
        <f>+'SP Previsionale'!E56</f>
        <v>452881.07240000006</v>
      </c>
      <c r="E8" s="184">
        <f>+'SP Previsionale'!F56</f>
        <v>588379.35480000009</v>
      </c>
      <c r="F8" s="184">
        <f>+'SP Previsionale'!G56</f>
        <v>706597.63720000011</v>
      </c>
      <c r="G8" s="184">
        <f>+'SP Previsionale'!H56</f>
        <v>833455.91960000014</v>
      </c>
      <c r="H8" s="184">
        <f>+'SP Previsionale'!I56</f>
        <v>960314.20200000016</v>
      </c>
      <c r="I8" s="184">
        <f>+'SP Previsionale'!J56</f>
        <v>1087172.4844000002</v>
      </c>
      <c r="J8" s="184">
        <f>+'SP Previsionale'!K56</f>
        <v>1214030.7668000001</v>
      </c>
      <c r="K8" s="184">
        <f>+'SP Previsionale'!L56</f>
        <v>1340889.0492000002</v>
      </c>
      <c r="L8" s="184">
        <f>+'SP Previsionale'!M56</f>
        <v>1467747.3316000002</v>
      </c>
    </row>
    <row r="9" spans="2:13" x14ac:dyDescent="0.3">
      <c r="B9" s="175" t="s">
        <v>1044</v>
      </c>
      <c r="C9" s="184">
        <f>+'SP Previsionale'!D49+'SP Previsionale'!D47</f>
        <v>2228703.96</v>
      </c>
      <c r="D9" s="184">
        <f>+'SP Previsionale'!E49+'SP Previsionale'!E47</f>
        <v>2241095.9500000002</v>
      </c>
      <c r="E9" s="184">
        <f>+'SP Previsionale'!F49+'SP Previsionale'!F47</f>
        <v>2253487.94</v>
      </c>
      <c r="F9" s="184">
        <f>+'SP Previsionale'!G49+'SP Previsionale'!G47</f>
        <v>2265879.9299999997</v>
      </c>
      <c r="G9" s="184">
        <f>+'SP Previsionale'!H49+'SP Previsionale'!H47</f>
        <v>2278271.92</v>
      </c>
      <c r="H9" s="184">
        <f>+'SP Previsionale'!I49+'SP Previsionale'!I47</f>
        <v>2290663.91</v>
      </c>
      <c r="I9" s="184">
        <f>+'SP Previsionale'!J49+'SP Previsionale'!J47</f>
        <v>2303055.9</v>
      </c>
      <c r="J9" s="184">
        <f>+'SP Previsionale'!K49+'SP Previsionale'!K47</f>
        <v>2315447.89</v>
      </c>
      <c r="K9" s="184">
        <f>+'SP Previsionale'!L49+'SP Previsionale'!L47</f>
        <v>2327839.88</v>
      </c>
      <c r="L9" s="184">
        <f>+'SP Previsionale'!M49+'SP Previsionale'!M47</f>
        <v>2340231.87</v>
      </c>
    </row>
    <row r="10" spans="2:13" x14ac:dyDescent="0.3">
      <c r="B10" s="175" t="s">
        <v>1045</v>
      </c>
      <c r="C10" s="189">
        <f>+'SP Previsionale'!D37+'SP Previsionale'!D40</f>
        <v>661492.29</v>
      </c>
      <c r="D10" s="189">
        <f>+'SP Previsionale'!E37+'SP Previsionale'!E40</f>
        <v>471941.0723499998</v>
      </c>
      <c r="E10" s="189">
        <f>+'SP Previsionale'!F37+'SP Previsionale'!F40</f>
        <v>377490.79994999967</v>
      </c>
      <c r="F10" s="189">
        <f>+'SP Previsionale'!G37+'SP Previsionale'!G40</f>
        <v>213600.52754999959</v>
      </c>
      <c r="G10" s="189">
        <f>+'SP Previsionale'!H37+'SP Previsionale'!H40</f>
        <v>110035.32967383333</v>
      </c>
      <c r="H10" s="189">
        <f>+'SP Previsionale'!I37+'SP Previsionale'!I40</f>
        <v>110035.32967383333</v>
      </c>
      <c r="I10" s="189">
        <f>+'SP Previsionale'!J37+'SP Previsionale'!J40</f>
        <v>110035.32967383333</v>
      </c>
      <c r="J10" s="189">
        <f>+'SP Previsionale'!K37+'SP Previsionale'!K40</f>
        <v>110035.32967383333</v>
      </c>
      <c r="K10" s="189">
        <f>+'SP Previsionale'!L37+'SP Previsionale'!L40</f>
        <v>110035.32967383333</v>
      </c>
      <c r="L10" s="190">
        <f>+'SP Previsionale'!M37+'SP Previsionale'!M40</f>
        <v>110035.32967383333</v>
      </c>
    </row>
    <row r="11" spans="2:13" x14ac:dyDescent="0.3">
      <c r="B11" s="2" t="s">
        <v>1041</v>
      </c>
      <c r="C11" s="178">
        <f>SUM(C8:C10)</f>
        <v>3173019.04</v>
      </c>
      <c r="D11" s="178">
        <f t="shared" ref="D11:L11" si="2">SUM(D8:D10)</f>
        <v>3165918.0947500002</v>
      </c>
      <c r="E11" s="178">
        <f t="shared" si="2"/>
        <v>3219358.0947500002</v>
      </c>
      <c r="F11" s="178">
        <f t="shared" si="2"/>
        <v>3186078.0947499997</v>
      </c>
      <c r="G11" s="178">
        <f t="shared" si="2"/>
        <v>3221763.1692738333</v>
      </c>
      <c r="H11" s="178">
        <f t="shared" si="2"/>
        <v>3361013.4416738334</v>
      </c>
      <c r="I11" s="178">
        <f t="shared" si="2"/>
        <v>3500263.7140738331</v>
      </c>
      <c r="J11" s="178">
        <f t="shared" si="2"/>
        <v>3639513.9864738332</v>
      </c>
      <c r="K11" s="178">
        <f t="shared" si="2"/>
        <v>3778764.2588738333</v>
      </c>
      <c r="L11" s="178">
        <f t="shared" si="2"/>
        <v>3918014.5312738335</v>
      </c>
    </row>
    <row r="15" spans="2:13" ht="15.6" x14ac:dyDescent="0.3">
      <c r="B15" s="164" t="s">
        <v>1046</v>
      </c>
      <c r="C15" s="176">
        <f>+C2</f>
        <v>2016</v>
      </c>
      <c r="D15" s="176">
        <f t="shared" ref="D15:L15" si="3">+D2</f>
        <v>2017</v>
      </c>
      <c r="E15" s="176">
        <f t="shared" si="3"/>
        <v>2018</v>
      </c>
      <c r="F15" s="176">
        <f t="shared" si="3"/>
        <v>2019</v>
      </c>
      <c r="G15" s="176">
        <f t="shared" si="3"/>
        <v>2020</v>
      </c>
      <c r="H15" s="176">
        <f t="shared" si="3"/>
        <v>2021</v>
      </c>
      <c r="I15" s="176">
        <f t="shared" si="3"/>
        <v>2022</v>
      </c>
      <c r="J15" s="176">
        <f t="shared" si="3"/>
        <v>2023</v>
      </c>
      <c r="K15" s="176">
        <f t="shared" si="3"/>
        <v>2024</v>
      </c>
      <c r="L15" s="176">
        <f t="shared" si="3"/>
        <v>2025</v>
      </c>
    </row>
    <row r="16" spans="2:13" ht="15.6" x14ac:dyDescent="0.3">
      <c r="B16" s="68"/>
    </row>
    <row r="17" spans="2:12" x14ac:dyDescent="0.3">
      <c r="B17" s="175" t="s">
        <v>1047</v>
      </c>
      <c r="C17" s="189">
        <f>+'CE Previsionale'!C3</f>
        <v>1377337.99</v>
      </c>
      <c r="D17" s="189">
        <f>+'CE Previsionale'!D3</f>
        <v>1445909.27</v>
      </c>
      <c r="E17" s="189">
        <f>+'CE Previsionale'!E3</f>
        <v>1365909.27</v>
      </c>
      <c r="F17" s="189">
        <f>+'CE Previsionale'!F3</f>
        <v>1325909.27</v>
      </c>
      <c r="G17" s="189">
        <f>+'CE Previsionale'!G3</f>
        <v>1345909.27</v>
      </c>
      <c r="H17" s="189">
        <f>+'CE Previsionale'!H3</f>
        <v>1345909.27</v>
      </c>
      <c r="I17" s="189">
        <f>+'CE Previsionale'!I3</f>
        <v>1345909.27</v>
      </c>
      <c r="J17" s="189">
        <f>+'CE Previsionale'!J3</f>
        <v>1345909.27</v>
      </c>
      <c r="K17" s="189">
        <f>+'CE Previsionale'!K3</f>
        <v>1345909.27</v>
      </c>
      <c r="L17" s="190">
        <f>+'CE Previsionale'!L3</f>
        <v>1345909.27</v>
      </c>
    </row>
    <row r="18" spans="2:12" x14ac:dyDescent="0.3">
      <c r="B18" s="175" t="s">
        <v>1048</v>
      </c>
      <c r="C18" s="189">
        <f>+'CE Previsionale'!C9+'CE Previsionale'!C16+'CE Previsionale'!C25+'CE Previsionale'!C26</f>
        <v>815571.07</v>
      </c>
      <c r="D18" s="189">
        <f>+'CE Previsionale'!D9+'CE Previsionale'!D16+'CE Previsionale'!D25+'CE Previsionale'!D26</f>
        <v>920019.15499999991</v>
      </c>
      <c r="E18" s="189">
        <f>+'CE Previsionale'!E9+'CE Previsionale'!E16+'CE Previsionale'!E25+'CE Previsionale'!E26</f>
        <v>888019.15500000003</v>
      </c>
      <c r="F18" s="189">
        <f>+'CE Previsionale'!F9+'CE Previsionale'!F16+'CE Previsionale'!F25+'CE Previsionale'!F26</f>
        <v>872019.15500000003</v>
      </c>
      <c r="G18" s="189">
        <f>+'CE Previsionale'!G9+'CE Previsionale'!G16+'CE Previsionale'!G25+'CE Previsionale'!G26</f>
        <v>880019.15500000003</v>
      </c>
      <c r="H18" s="189">
        <f>+'CE Previsionale'!H9+'CE Previsionale'!H16+'CE Previsionale'!H25+'CE Previsionale'!H26</f>
        <v>880019.15500000003</v>
      </c>
      <c r="I18" s="189">
        <f>+'CE Previsionale'!I9+'CE Previsionale'!I16+'CE Previsionale'!I25+'CE Previsionale'!I26</f>
        <v>880019.15500000003</v>
      </c>
      <c r="J18" s="189">
        <f>+'CE Previsionale'!J9+'CE Previsionale'!J16+'CE Previsionale'!J25+'CE Previsionale'!J26</f>
        <v>880019.15500000003</v>
      </c>
      <c r="K18" s="189">
        <f>+'CE Previsionale'!K9+'CE Previsionale'!K16+'CE Previsionale'!K25+'CE Previsionale'!K26</f>
        <v>880019.15500000003</v>
      </c>
      <c r="L18" s="190">
        <f>+'CE Previsionale'!L9+'CE Previsionale'!L16+'CE Previsionale'!L25+'CE Previsionale'!L26</f>
        <v>880019.15500000003</v>
      </c>
    </row>
    <row r="19" spans="2:12" ht="15.6" x14ac:dyDescent="0.3">
      <c r="B19" s="69" t="s">
        <v>1049</v>
      </c>
      <c r="C19" s="178">
        <f>+C17-C18</f>
        <v>561766.92000000004</v>
      </c>
      <c r="D19" s="178">
        <f>+D17-D18</f>
        <v>525890.11500000011</v>
      </c>
      <c r="E19" s="178">
        <f t="shared" ref="E19:L19" si="4">+E17-E18</f>
        <v>477890.11499999999</v>
      </c>
      <c r="F19" s="178">
        <f t="shared" si="4"/>
        <v>453890.11499999999</v>
      </c>
      <c r="G19" s="178">
        <f t="shared" si="4"/>
        <v>465890.11499999999</v>
      </c>
      <c r="H19" s="178">
        <f t="shared" si="4"/>
        <v>465890.11499999999</v>
      </c>
      <c r="I19" s="178">
        <f t="shared" si="4"/>
        <v>465890.11499999999</v>
      </c>
      <c r="J19" s="178">
        <f t="shared" si="4"/>
        <v>465890.11499999999</v>
      </c>
      <c r="K19" s="178">
        <f t="shared" si="4"/>
        <v>465890.11499999999</v>
      </c>
      <c r="L19" s="178">
        <f t="shared" si="4"/>
        <v>465890.11499999999</v>
      </c>
    </row>
    <row r="21" spans="2:12" x14ac:dyDescent="0.3">
      <c r="B21" s="175" t="s">
        <v>1050</v>
      </c>
      <c r="C21" s="189">
        <f>+'CE Previsionale'!C27+'CE Previsionale'!C28</f>
        <v>274450.79000000004</v>
      </c>
      <c r="D21" s="189">
        <f>+'CE Previsionale'!D27+'CE Previsionale'!D28</f>
        <v>274450.79000000004</v>
      </c>
      <c r="E21" s="189">
        <f>+'CE Previsionale'!E27+'CE Previsionale'!E28</f>
        <v>274450.79000000004</v>
      </c>
      <c r="F21" s="189">
        <f>+'CE Previsionale'!F27+'CE Previsionale'!F28</f>
        <v>274450.79000000004</v>
      </c>
      <c r="G21" s="189">
        <f>+'CE Previsionale'!G27+'CE Previsionale'!G28</f>
        <v>274450.79000000004</v>
      </c>
      <c r="H21" s="189">
        <f>+'CE Previsionale'!H27+'CE Previsionale'!H28</f>
        <v>274450.79000000004</v>
      </c>
      <c r="I21" s="189">
        <f>+'CE Previsionale'!I27+'CE Previsionale'!I28</f>
        <v>274450.79000000004</v>
      </c>
      <c r="J21" s="189">
        <f>+'CE Previsionale'!J27+'CE Previsionale'!J28</f>
        <v>274450.79000000004</v>
      </c>
      <c r="K21" s="189">
        <f>+'CE Previsionale'!K27+'CE Previsionale'!K28</f>
        <v>274450.79000000004</v>
      </c>
      <c r="L21" s="190">
        <f>+'CE Previsionale'!L27+'CE Previsionale'!L28</f>
        <v>274450.79000000004</v>
      </c>
    </row>
    <row r="22" spans="2:12" ht="15.6" x14ac:dyDescent="0.3">
      <c r="B22" s="69" t="s">
        <v>1051</v>
      </c>
      <c r="C22" s="178">
        <f>+C19-C21</f>
        <v>287316.13</v>
      </c>
      <c r="D22" s="178">
        <f>+D19-D21</f>
        <v>251439.32500000007</v>
      </c>
      <c r="E22" s="178">
        <f t="shared" ref="E22:L22" si="5">+E19-E21</f>
        <v>203439.32499999995</v>
      </c>
      <c r="F22" s="178">
        <f t="shared" si="5"/>
        <v>179439.32499999995</v>
      </c>
      <c r="G22" s="178">
        <f t="shared" si="5"/>
        <v>191439.32499999995</v>
      </c>
      <c r="H22" s="178">
        <f t="shared" si="5"/>
        <v>191439.32499999995</v>
      </c>
      <c r="I22" s="178">
        <f t="shared" si="5"/>
        <v>191439.32499999995</v>
      </c>
      <c r="J22" s="178">
        <f t="shared" si="5"/>
        <v>191439.32499999995</v>
      </c>
      <c r="K22" s="178">
        <f t="shared" si="5"/>
        <v>191439.32499999995</v>
      </c>
      <c r="L22" s="178">
        <f t="shared" si="5"/>
        <v>191439.32499999995</v>
      </c>
    </row>
    <row r="24" spans="2:12" x14ac:dyDescent="0.3">
      <c r="B24" s="175" t="s">
        <v>1052</v>
      </c>
      <c r="C24" s="189">
        <f>+'CE Previsionale'!C23+'CE Previsionale'!C24</f>
        <v>204533.31</v>
      </c>
      <c r="D24" s="189">
        <f>+'CE Previsionale'!D23+'CE Previsionale'!D24</f>
        <v>0</v>
      </c>
      <c r="E24" s="189">
        <f>+'CE Previsionale'!E23+'CE Previsionale'!E24</f>
        <v>0</v>
      </c>
      <c r="F24" s="189">
        <f>+'CE Previsionale'!F23+'CE Previsionale'!F24</f>
        <v>0</v>
      </c>
      <c r="G24" s="189">
        <f>+'CE Previsionale'!G23+'CE Previsionale'!G24</f>
        <v>0</v>
      </c>
      <c r="H24" s="189">
        <f>+'CE Previsionale'!H23+'CE Previsionale'!H24</f>
        <v>0</v>
      </c>
      <c r="I24" s="189">
        <f>+'CE Previsionale'!I23+'CE Previsionale'!I24</f>
        <v>0</v>
      </c>
      <c r="J24" s="189">
        <f>+'CE Previsionale'!J23+'CE Previsionale'!J24</f>
        <v>0</v>
      </c>
      <c r="K24" s="189">
        <f>+'CE Previsionale'!K23+'CE Previsionale'!K24</f>
        <v>0</v>
      </c>
      <c r="L24" s="190">
        <f>+'CE Previsionale'!L23+'CE Previsionale'!L24</f>
        <v>0</v>
      </c>
    </row>
    <row r="25" spans="2:12" ht="15.6" x14ac:dyDescent="0.3">
      <c r="B25" s="69" t="s">
        <v>1053</v>
      </c>
      <c r="C25" s="178">
        <f>+C22-C24</f>
        <v>82782.820000000007</v>
      </c>
      <c r="D25" s="178">
        <f>+D22-D24</f>
        <v>251439.32500000007</v>
      </c>
      <c r="E25" s="178">
        <f t="shared" ref="E25:L25" si="6">+E22-E24</f>
        <v>203439.32499999995</v>
      </c>
      <c r="F25" s="178">
        <f t="shared" si="6"/>
        <v>179439.32499999995</v>
      </c>
      <c r="G25" s="178">
        <f t="shared" si="6"/>
        <v>191439.32499999995</v>
      </c>
      <c r="H25" s="178">
        <f t="shared" si="6"/>
        <v>191439.32499999995</v>
      </c>
      <c r="I25" s="178">
        <f t="shared" si="6"/>
        <v>191439.32499999995</v>
      </c>
      <c r="J25" s="178">
        <f t="shared" si="6"/>
        <v>191439.32499999995</v>
      </c>
      <c r="K25" s="178">
        <f t="shared" si="6"/>
        <v>191439.32499999995</v>
      </c>
      <c r="L25" s="178">
        <f t="shared" si="6"/>
        <v>191439.32499999995</v>
      </c>
    </row>
    <row r="27" spans="2:12" x14ac:dyDescent="0.3">
      <c r="B27" s="175" t="s">
        <v>1054</v>
      </c>
      <c r="C27" s="189">
        <f>+'CE Previsionale'!C37</f>
        <v>-51731.060000000005</v>
      </c>
      <c r="D27" s="189">
        <f>+'CE Previsionale'!D37</f>
        <v>0</v>
      </c>
      <c r="E27" s="189">
        <f>+'CE Previsionale'!E37</f>
        <v>0</v>
      </c>
      <c r="F27" s="189">
        <f>+'CE Previsionale'!F37</f>
        <v>0</v>
      </c>
      <c r="G27" s="189">
        <f>+'CE Previsionale'!G37</f>
        <v>0</v>
      </c>
      <c r="H27" s="189">
        <f>+'CE Previsionale'!H37</f>
        <v>0</v>
      </c>
      <c r="I27" s="189">
        <f>+'CE Previsionale'!I37</f>
        <v>0</v>
      </c>
      <c r="J27" s="189">
        <f>+'CE Previsionale'!J37</f>
        <v>0</v>
      </c>
      <c r="K27" s="189">
        <f>+'CE Previsionale'!K37</f>
        <v>0</v>
      </c>
      <c r="L27" s="190">
        <f>+'CE Previsionale'!L37</f>
        <v>0</v>
      </c>
    </row>
    <row r="28" spans="2:12" ht="15.6" x14ac:dyDescent="0.3">
      <c r="B28" s="69" t="s">
        <v>1055</v>
      </c>
      <c r="C28" s="178">
        <f>+C25+C27</f>
        <v>31051.760000000002</v>
      </c>
      <c r="D28" s="178">
        <f>+D25+D27</f>
        <v>251439.32500000007</v>
      </c>
      <c r="E28" s="178">
        <f t="shared" ref="E28:L28" si="7">+E25+E27</f>
        <v>203439.32499999995</v>
      </c>
      <c r="F28" s="178">
        <f t="shared" si="7"/>
        <v>179439.32499999995</v>
      </c>
      <c r="G28" s="178">
        <f t="shared" si="7"/>
        <v>191439.32499999995</v>
      </c>
      <c r="H28" s="178">
        <f t="shared" si="7"/>
        <v>191439.32499999995</v>
      </c>
      <c r="I28" s="178">
        <f t="shared" si="7"/>
        <v>191439.32499999995</v>
      </c>
      <c r="J28" s="178">
        <f t="shared" si="7"/>
        <v>191439.32499999995</v>
      </c>
      <c r="K28" s="178">
        <f t="shared" si="7"/>
        <v>191439.32499999995</v>
      </c>
      <c r="L28" s="178">
        <f t="shared" si="7"/>
        <v>191439.32499999995</v>
      </c>
    </row>
    <row r="30" spans="2:12" x14ac:dyDescent="0.3">
      <c r="B30" s="175" t="s">
        <v>1056</v>
      </c>
      <c r="C30" s="189">
        <f>+'CE Previsionale'!C32</f>
        <v>-1745.25</v>
      </c>
      <c r="D30" s="189">
        <f>+'CE Previsionale'!D32</f>
        <v>0</v>
      </c>
      <c r="E30" s="189">
        <f>+'CE Previsionale'!E32</f>
        <v>0</v>
      </c>
      <c r="F30" s="189">
        <f>+'CE Previsionale'!F32</f>
        <v>0</v>
      </c>
      <c r="G30" s="189">
        <f>+'CE Previsionale'!G32</f>
        <v>0</v>
      </c>
      <c r="H30" s="189">
        <f>+'CE Previsionale'!H32</f>
        <v>0</v>
      </c>
      <c r="I30" s="189">
        <f>+'CE Previsionale'!I32</f>
        <v>0</v>
      </c>
      <c r="J30" s="189">
        <f>+'CE Previsionale'!J32</f>
        <v>0</v>
      </c>
      <c r="K30" s="189">
        <f>+'CE Previsionale'!K32</f>
        <v>0</v>
      </c>
      <c r="L30" s="190">
        <f>+'CE Previsionale'!L32</f>
        <v>0</v>
      </c>
    </row>
    <row r="31" spans="2:12" ht="15.6" x14ac:dyDescent="0.3">
      <c r="B31" s="69" t="s">
        <v>1057</v>
      </c>
      <c r="C31" s="178">
        <f>+C28+C30</f>
        <v>29306.510000000002</v>
      </c>
      <c r="D31" s="178">
        <f>+D28+D30</f>
        <v>251439.32500000007</v>
      </c>
      <c r="E31" s="178">
        <f t="shared" ref="E31:L31" si="8">+E28+E30</f>
        <v>203439.32499999995</v>
      </c>
      <c r="F31" s="178">
        <f t="shared" si="8"/>
        <v>179439.32499999995</v>
      </c>
      <c r="G31" s="178">
        <f t="shared" si="8"/>
        <v>191439.32499999995</v>
      </c>
      <c r="H31" s="178">
        <f t="shared" si="8"/>
        <v>191439.32499999995</v>
      </c>
      <c r="I31" s="178">
        <f t="shared" si="8"/>
        <v>191439.32499999995</v>
      </c>
      <c r="J31" s="178">
        <f t="shared" si="8"/>
        <v>191439.32499999995</v>
      </c>
      <c r="K31" s="178">
        <f t="shared" si="8"/>
        <v>191439.32499999995</v>
      </c>
      <c r="L31" s="178">
        <f t="shared" si="8"/>
        <v>191439.32499999995</v>
      </c>
    </row>
    <row r="33" spans="2:12" x14ac:dyDescent="0.3">
      <c r="B33" s="175" t="s">
        <v>1058</v>
      </c>
      <c r="C33" s="189">
        <f>+'CE Previsionale'!C42</f>
        <v>15717.7</v>
      </c>
      <c r="D33" s="189">
        <f>+'CE Previsionale'!D42</f>
        <v>81381.042600000044</v>
      </c>
      <c r="E33" s="189">
        <f>+'CE Previsionale'!E42</f>
        <v>67941.042600000001</v>
      </c>
      <c r="F33" s="189">
        <f>+'CE Previsionale'!F42</f>
        <v>61221.042600000001</v>
      </c>
      <c r="G33" s="189">
        <f>+'CE Previsionale'!G42</f>
        <v>64581.042600000001</v>
      </c>
      <c r="H33" s="189">
        <f>+'CE Previsionale'!H42</f>
        <v>64581.042600000001</v>
      </c>
      <c r="I33" s="189">
        <f>+'CE Previsionale'!I42</f>
        <v>64581.042600000001</v>
      </c>
      <c r="J33" s="189">
        <f>+'CE Previsionale'!J42</f>
        <v>64581.042600000001</v>
      </c>
      <c r="K33" s="189">
        <f>+'CE Previsionale'!K42</f>
        <v>64581.042600000001</v>
      </c>
      <c r="L33" s="190">
        <f>+'CE Previsionale'!L42</f>
        <v>64581.042600000001</v>
      </c>
    </row>
    <row r="34" spans="2:12" ht="15.6" x14ac:dyDescent="0.3">
      <c r="B34" s="69" t="s">
        <v>1059</v>
      </c>
      <c r="C34" s="178">
        <f>+C31-C33</f>
        <v>13588.810000000001</v>
      </c>
      <c r="D34" s="178">
        <f>+D31-D33</f>
        <v>170058.28240000003</v>
      </c>
      <c r="E34" s="178">
        <f t="shared" ref="E34:L34" si="9">+E31-E33</f>
        <v>135498.28239999997</v>
      </c>
      <c r="F34" s="178">
        <f t="shared" si="9"/>
        <v>118218.28239999995</v>
      </c>
      <c r="G34" s="178">
        <f t="shared" si="9"/>
        <v>126858.28239999995</v>
      </c>
      <c r="H34" s="178">
        <f t="shared" si="9"/>
        <v>126858.28239999995</v>
      </c>
      <c r="I34" s="178">
        <f t="shared" si="9"/>
        <v>126858.28239999995</v>
      </c>
      <c r="J34" s="178">
        <f t="shared" si="9"/>
        <v>126858.28239999995</v>
      </c>
      <c r="K34" s="178">
        <f t="shared" si="9"/>
        <v>126858.28239999995</v>
      </c>
      <c r="L34" s="178">
        <f t="shared" si="9"/>
        <v>126858.28239999995</v>
      </c>
    </row>
    <row r="39" spans="2:12" ht="15.6" x14ac:dyDescent="0.3">
      <c r="B39" s="164" t="s">
        <v>1060</v>
      </c>
      <c r="C39" s="176">
        <f>+C15</f>
        <v>2016</v>
      </c>
      <c r="D39" s="176">
        <f t="shared" ref="D39:L39" si="10">+D15</f>
        <v>2017</v>
      </c>
      <c r="E39" s="176">
        <f t="shared" si="10"/>
        <v>2018</v>
      </c>
      <c r="F39" s="176">
        <f t="shared" si="10"/>
        <v>2019</v>
      </c>
      <c r="G39" s="176">
        <f t="shared" si="10"/>
        <v>2020</v>
      </c>
      <c r="H39" s="176">
        <f t="shared" si="10"/>
        <v>2021</v>
      </c>
      <c r="I39" s="176">
        <f t="shared" si="10"/>
        <v>2022</v>
      </c>
      <c r="J39" s="176">
        <f t="shared" si="10"/>
        <v>2023</v>
      </c>
      <c r="K39" s="176">
        <f t="shared" si="10"/>
        <v>2024</v>
      </c>
      <c r="L39" s="176">
        <f t="shared" si="10"/>
        <v>2025</v>
      </c>
    </row>
    <row r="40" spans="2:12" x14ac:dyDescent="0.3">
      <c r="B40" s="165" t="s">
        <v>1061</v>
      </c>
      <c r="C40" s="187">
        <f>+IFERROR((C25/(C9+C8)),"na")</f>
        <v>3.2961154007218919E-2</v>
      </c>
      <c r="D40" s="187">
        <f t="shared" ref="D40:L40" si="11">+IFERROR((D25/(D9+D8)),"na")</f>
        <v>9.3333878837614861E-2</v>
      </c>
      <c r="E40" s="187">
        <f t="shared" si="11"/>
        <v>7.1586497150042769E-2</v>
      </c>
      <c r="F40" s="187">
        <f t="shared" si="11"/>
        <v>6.036692319566514E-2</v>
      </c>
      <c r="G40" s="187">
        <f t="shared" si="11"/>
        <v>6.1521873013357334E-2</v>
      </c>
      <c r="H40" s="187">
        <f t="shared" si="11"/>
        <v>5.8886685300451491E-2</v>
      </c>
      <c r="I40" s="187">
        <f t="shared" si="11"/>
        <v>5.6467973037126445E-2</v>
      </c>
      <c r="J40" s="187">
        <f t="shared" si="11"/>
        <v>5.4240114083468724E-2</v>
      </c>
      <c r="K40" s="187">
        <f t="shared" si="11"/>
        <v>5.218137635525584E-2</v>
      </c>
      <c r="L40" s="188">
        <f t="shared" si="11"/>
        <v>5.0273206565719375E-2</v>
      </c>
    </row>
    <row r="41" spans="2:12" x14ac:dyDescent="0.3">
      <c r="B41" s="165" t="s">
        <v>1062</v>
      </c>
      <c r="C41" s="187">
        <f>+IFERROR(C34/C8,"na")</f>
        <v>4.8047082768683538E-2</v>
      </c>
      <c r="D41" s="187">
        <f t="shared" ref="D41:L41" si="12">+IFERROR(D34/D8,"na")</f>
        <v>0.37550317901075525</v>
      </c>
      <c r="E41" s="187">
        <f t="shared" si="12"/>
        <v>0.23029068116446419</v>
      </c>
      <c r="F41" s="187">
        <f t="shared" si="12"/>
        <v>0.1673063652865551</v>
      </c>
      <c r="G41" s="187">
        <f t="shared" si="12"/>
        <v>0.15220754861382826</v>
      </c>
      <c r="H41" s="187">
        <f t="shared" si="12"/>
        <v>0.13210080839770807</v>
      </c>
      <c r="I41" s="187">
        <f t="shared" si="12"/>
        <v>0.11668643588787274</v>
      </c>
      <c r="J41" s="187">
        <f t="shared" si="12"/>
        <v>0.10449346579113397</v>
      </c>
      <c r="K41" s="187">
        <f t="shared" si="12"/>
        <v>9.4607590744130554E-2</v>
      </c>
      <c r="L41" s="188">
        <f t="shared" si="12"/>
        <v>8.6430599919204751E-2</v>
      </c>
    </row>
    <row r="42" spans="2:12" x14ac:dyDescent="0.3">
      <c r="B42" s="165" t="s">
        <v>1063</v>
      </c>
      <c r="C42" s="187">
        <f>+IFERROR(C25/C17,"na")</f>
        <v>6.0103489921163072E-2</v>
      </c>
      <c r="D42" s="187">
        <f t="shared" ref="D42:L42" si="13">+IFERROR(D25/D17,"na")</f>
        <v>0.17389702813095601</v>
      </c>
      <c r="E42" s="187">
        <f t="shared" si="13"/>
        <v>0.14894058446502817</v>
      </c>
      <c r="F42" s="187">
        <f t="shared" si="13"/>
        <v>0.13533303451449583</v>
      </c>
      <c r="G42" s="187">
        <f t="shared" si="13"/>
        <v>0.14223791251545503</v>
      </c>
      <c r="H42" s="187">
        <f t="shared" si="13"/>
        <v>0.14223791251545503</v>
      </c>
      <c r="I42" s="187">
        <f t="shared" si="13"/>
        <v>0.14223791251545503</v>
      </c>
      <c r="J42" s="187">
        <f t="shared" si="13"/>
        <v>0.14223791251545503</v>
      </c>
      <c r="K42" s="187">
        <f t="shared" si="13"/>
        <v>0.14223791251545503</v>
      </c>
      <c r="L42" s="188">
        <f t="shared" si="13"/>
        <v>0.14223791251545503</v>
      </c>
    </row>
    <row r="43" spans="2:12" x14ac:dyDescent="0.3">
      <c r="B43" s="175" t="s">
        <v>1064</v>
      </c>
      <c r="C43" s="187">
        <f>+IFERROR(C27/(C9+C10),"na")</f>
        <v>-1.7898805314691003E-2</v>
      </c>
      <c r="D43" s="187">
        <f t="shared" ref="D43:L43" si="14">+IFERROR(D27/(D9+D10),"na")</f>
        <v>0</v>
      </c>
      <c r="E43" s="187">
        <f t="shared" si="14"/>
        <v>0</v>
      </c>
      <c r="F43" s="187">
        <f t="shared" si="14"/>
        <v>0</v>
      </c>
      <c r="G43" s="187">
        <f t="shared" si="14"/>
        <v>0</v>
      </c>
      <c r="H43" s="187">
        <f t="shared" si="14"/>
        <v>0</v>
      </c>
      <c r="I43" s="187">
        <f t="shared" si="14"/>
        <v>0</v>
      </c>
      <c r="J43" s="187">
        <f t="shared" si="14"/>
        <v>0</v>
      </c>
      <c r="K43" s="187">
        <f t="shared" si="14"/>
        <v>0</v>
      </c>
      <c r="L43" s="188">
        <f t="shared" si="14"/>
        <v>0</v>
      </c>
    </row>
    <row r="44" spans="2:12" x14ac:dyDescent="0.3">
      <c r="C44" s="179"/>
      <c r="D44" s="179"/>
      <c r="E44" s="179"/>
      <c r="F44" s="179"/>
      <c r="G44" s="179"/>
      <c r="H44" s="179"/>
      <c r="I44" s="179"/>
      <c r="J44" s="179"/>
      <c r="K44" s="179"/>
      <c r="L44" s="179"/>
    </row>
    <row r="45" spans="2:12" ht="15.6" x14ac:dyDescent="0.3">
      <c r="B45" s="164" t="s">
        <v>1065</v>
      </c>
      <c r="C45" s="176">
        <f>+C39</f>
        <v>2016</v>
      </c>
      <c r="D45" s="176">
        <f t="shared" ref="D45:L45" si="15">+D39</f>
        <v>2017</v>
      </c>
      <c r="E45" s="176">
        <f t="shared" si="15"/>
        <v>2018</v>
      </c>
      <c r="F45" s="176">
        <f t="shared" si="15"/>
        <v>2019</v>
      </c>
      <c r="G45" s="176">
        <f t="shared" si="15"/>
        <v>2020</v>
      </c>
      <c r="H45" s="176">
        <f t="shared" si="15"/>
        <v>2021</v>
      </c>
      <c r="I45" s="176">
        <f t="shared" si="15"/>
        <v>2022</v>
      </c>
      <c r="J45" s="176">
        <f t="shared" si="15"/>
        <v>2023</v>
      </c>
      <c r="K45" s="176">
        <f t="shared" si="15"/>
        <v>2024</v>
      </c>
      <c r="L45" s="176">
        <f t="shared" si="15"/>
        <v>2025</v>
      </c>
    </row>
    <row r="46" spans="2:12" x14ac:dyDescent="0.3">
      <c r="C46" s="179"/>
      <c r="D46" s="179"/>
      <c r="E46" s="179"/>
      <c r="F46" s="179"/>
      <c r="G46" s="179"/>
      <c r="H46" s="179"/>
      <c r="I46" s="179"/>
      <c r="J46" s="179"/>
      <c r="K46" s="179"/>
      <c r="L46" s="179"/>
    </row>
    <row r="47" spans="2:12" x14ac:dyDescent="0.3">
      <c r="B47" s="165" t="s">
        <v>1066</v>
      </c>
      <c r="C47" s="184">
        <f t="shared" ref="C47:L47" si="16">+C5-C10</f>
        <v>167337.44999999995</v>
      </c>
      <c r="D47" s="184">
        <f t="shared" si="16"/>
        <v>349787.7224000002</v>
      </c>
      <c r="E47" s="184">
        <f t="shared" si="16"/>
        <v>497677.99480000034</v>
      </c>
      <c r="F47" s="184">
        <f t="shared" si="16"/>
        <v>628288.26720000035</v>
      </c>
      <c r="G47" s="184">
        <f t="shared" si="16"/>
        <v>767538.53960000025</v>
      </c>
      <c r="H47" s="184">
        <f t="shared" si="16"/>
        <v>906788.81200000027</v>
      </c>
      <c r="I47" s="184">
        <f t="shared" si="16"/>
        <v>1046039.0844000002</v>
      </c>
      <c r="J47" s="184">
        <f t="shared" si="16"/>
        <v>1185289.3568000002</v>
      </c>
      <c r="K47" s="184">
        <f t="shared" si="16"/>
        <v>1324539.6291999999</v>
      </c>
      <c r="L47" s="185">
        <f t="shared" si="16"/>
        <v>1463789.9016</v>
      </c>
    </row>
    <row r="48" spans="2:12" x14ac:dyDescent="0.3">
      <c r="B48" s="165" t="s">
        <v>1067</v>
      </c>
      <c r="C48" s="184">
        <f>+(C5-'SP Previsionale'!D13)-C10</f>
        <v>-40631.640000000014</v>
      </c>
      <c r="D48" s="184">
        <f>+(D5-'SP Previsionale'!E13)-D10</f>
        <v>149787.7224000002</v>
      </c>
      <c r="E48" s="184">
        <f>+(E5-'SP Previsionale'!F13)-E10</f>
        <v>257677.99480000034</v>
      </c>
      <c r="F48" s="184">
        <f>+(F5-'SP Previsionale'!G13)-F10</f>
        <v>428288.26720000041</v>
      </c>
      <c r="G48" s="184">
        <f>+(G5-'SP Previsionale'!H13)-G10</f>
        <v>567538.53960000025</v>
      </c>
      <c r="H48" s="184">
        <f>+(H5-'SP Previsionale'!I13)-H10</f>
        <v>706788.81200000027</v>
      </c>
      <c r="I48" s="184">
        <f>+(I5-'SP Previsionale'!J13)-I10</f>
        <v>846039.08440000017</v>
      </c>
      <c r="J48" s="184">
        <f>+(J5-'SP Previsionale'!K13)-J10</f>
        <v>985289.35680000007</v>
      </c>
      <c r="K48" s="184">
        <f>+(K5-'SP Previsionale'!L13)-K10</f>
        <v>1124539.6291999999</v>
      </c>
      <c r="L48" s="185">
        <f>+(L5-'SP Previsionale'!M13)-L10</f>
        <v>1263789.9016</v>
      </c>
    </row>
    <row r="49" spans="2:12" x14ac:dyDescent="0.3">
      <c r="B49" s="165" t="s">
        <v>1068</v>
      </c>
      <c r="C49" s="180">
        <f>+IFERROR((C5/C10),"na")</f>
        <v>1.2529696151107066</v>
      </c>
      <c r="D49" s="180">
        <f t="shared" ref="D49:L49" si="17">+IFERROR((D5/D10),"na")</f>
        <v>1.7411682154686283</v>
      </c>
      <c r="E49" s="180">
        <f t="shared" si="17"/>
        <v>2.3183844344442832</v>
      </c>
      <c r="F49" s="180">
        <f t="shared" si="17"/>
        <v>3.9414172071879867</v>
      </c>
      <c r="G49" s="180">
        <f t="shared" si="17"/>
        <v>7.9753827418442569</v>
      </c>
      <c r="H49" s="180">
        <f t="shared" si="17"/>
        <v>9.2408878556360321</v>
      </c>
      <c r="I49" s="180">
        <f t="shared" si="17"/>
        <v>10.506392969427807</v>
      </c>
      <c r="J49" s="180">
        <f t="shared" si="17"/>
        <v>11.771898083219583</v>
      </c>
      <c r="K49" s="180">
        <f t="shared" si="17"/>
        <v>13.037403197011358</v>
      </c>
      <c r="L49" s="186">
        <f t="shared" si="17"/>
        <v>14.302908310803131</v>
      </c>
    </row>
    <row r="50" spans="2:12" x14ac:dyDescent="0.3">
      <c r="B50" s="165" t="s">
        <v>1069</v>
      </c>
      <c r="C50" s="180">
        <f>+IFERROR(((C5-'SP Previsionale'!D13)/C10),"na")</f>
        <v>0.93857579201716768</v>
      </c>
      <c r="D50" s="180">
        <f>+IFERROR(((D5-'SP Previsionale'!E13)/D10),"na")</f>
        <v>1.317386494153056</v>
      </c>
      <c r="E50" s="180">
        <f>+IFERROR(((E5-'SP Previsionale'!F13)/E10),"na")</f>
        <v>1.6826073505212071</v>
      </c>
      <c r="F50" s="180">
        <f>+IFERROR(((F5-'SP Previsionale'!G13)/F10),"na")</f>
        <v>3.0050899317172646</v>
      </c>
      <c r="G50" s="180">
        <f>+IFERROR(((G5-'SP Previsionale'!H13)/G10),"na")</f>
        <v>6.1577846977175215</v>
      </c>
      <c r="H50" s="180">
        <f>+IFERROR(((H5-'SP Previsionale'!I13)/H10),"na")</f>
        <v>7.4232898115092976</v>
      </c>
      <c r="I50" s="180">
        <f>+IFERROR(((I5-'SP Previsionale'!J13)/I10),"na")</f>
        <v>8.6887949253010728</v>
      </c>
      <c r="J50" s="180">
        <f>+IFERROR(((J5-'SP Previsionale'!K13)/J10),"na")</f>
        <v>9.9543000390928462</v>
      </c>
      <c r="K50" s="180">
        <f>+IFERROR(((K5-'SP Previsionale'!L13)/K10),"na")</f>
        <v>11.219805152884621</v>
      </c>
      <c r="L50" s="186">
        <f>+IFERROR(((L5-'SP Previsionale'!M13)/L10),"na")</f>
        <v>12.485310266676397</v>
      </c>
    </row>
    <row r="51" spans="2:12" x14ac:dyDescent="0.3">
      <c r="B51" s="175" t="s">
        <v>1070</v>
      </c>
      <c r="C51" s="182">
        <f>+IFERROR(((C9+C10)/C8),"na")</f>
        <v>10.219106635642765</v>
      </c>
      <c r="D51" s="182">
        <f t="shared" ref="D51:L51" si="18">+IFERROR(((D9+D10)/D8),"na")</f>
        <v>5.9906169360810759</v>
      </c>
      <c r="E51" s="182">
        <f t="shared" si="18"/>
        <v>4.4715687565963504</v>
      </c>
      <c r="F51" s="182">
        <f t="shared" si="18"/>
        <v>3.5090415351165274</v>
      </c>
      <c r="G51" s="182">
        <f t="shared" si="18"/>
        <v>2.8655471675335291</v>
      </c>
      <c r="H51" s="182">
        <f t="shared" si="18"/>
        <v>2.4999101696861428</v>
      </c>
      <c r="I51" s="182">
        <f t="shared" si="18"/>
        <v>2.2196029280538632</v>
      </c>
      <c r="J51" s="182">
        <f t="shared" si="18"/>
        <v>1.9978762367506031</v>
      </c>
      <c r="K51" s="182">
        <f t="shared" si="18"/>
        <v>1.8181036015830807</v>
      </c>
      <c r="L51" s="183">
        <f t="shared" si="18"/>
        <v>1.6694066798287295</v>
      </c>
    </row>
    <row r="52" spans="2:12" x14ac:dyDescent="0.3">
      <c r="B52" s="2"/>
      <c r="C52" s="181"/>
      <c r="D52" s="181"/>
      <c r="E52" s="181"/>
      <c r="F52" s="181"/>
      <c r="G52" s="181"/>
      <c r="H52" s="181"/>
      <c r="I52" s="181"/>
      <c r="J52" s="181"/>
      <c r="K52" s="181"/>
      <c r="L52" s="181"/>
    </row>
    <row r="54" spans="2:12" ht="15.6" customHeight="1" x14ac:dyDescent="0.3">
      <c r="B54" s="164" t="s">
        <v>1136</v>
      </c>
      <c r="C54" s="176">
        <f>+C45</f>
        <v>2016</v>
      </c>
      <c r="D54" s="176">
        <f t="shared" ref="D54:L54" si="19">+D45</f>
        <v>2017</v>
      </c>
      <c r="E54" s="176">
        <f t="shared" si="19"/>
        <v>2018</v>
      </c>
      <c r="F54" s="176">
        <f t="shared" si="19"/>
        <v>2019</v>
      </c>
      <c r="G54" s="176">
        <f t="shared" si="19"/>
        <v>2020</v>
      </c>
      <c r="H54" s="176">
        <f t="shared" si="19"/>
        <v>2021</v>
      </c>
      <c r="I54" s="176">
        <f t="shared" si="19"/>
        <v>2022</v>
      </c>
      <c r="J54" s="176">
        <f t="shared" si="19"/>
        <v>2023</v>
      </c>
      <c r="K54" s="176">
        <f t="shared" si="19"/>
        <v>2024</v>
      </c>
      <c r="L54" s="176">
        <f t="shared" si="19"/>
        <v>2025</v>
      </c>
    </row>
    <row r="55" spans="2:12" ht="14.4" customHeight="1" x14ac:dyDescent="0.3">
      <c r="B55" s="165" t="s">
        <v>1137</v>
      </c>
      <c r="C55" s="180">
        <f>+(('SP Previsionale'!D8/(1+'Input Previsionale'!$E$3))/'CE Previsionale'!C5)*360</f>
        <v>75.367771724278867</v>
      </c>
      <c r="D55" s="180">
        <f>+(('SP Previsionale'!E8/(1+'Input Previsionale'!$E$3))/'CE Previsionale'!D5)*360</f>
        <v>89.999940804233304</v>
      </c>
      <c r="E55" s="180">
        <f>+(('SP Previsionale'!F8/(1+'Input Previsionale'!$E$3))/'CE Previsionale'!E5)*360</f>
        <v>89.999940804233304</v>
      </c>
      <c r="F55" s="180">
        <f>+(('SP Previsionale'!G8/(1+'Input Previsionale'!$E$3))/'CE Previsionale'!F5)*360</f>
        <v>89.999940804233304</v>
      </c>
      <c r="G55" s="180">
        <f>+(('SP Previsionale'!H8/(1+'Input Previsionale'!$E$3))/'CE Previsionale'!G5)*360</f>
        <v>-5.9195766705015196E-5</v>
      </c>
      <c r="H55" s="180">
        <f>+(('SP Previsionale'!I8/(1+'Input Previsionale'!$E$3))/'CE Previsionale'!H5)*360</f>
        <v>-5.9195766705015196E-5</v>
      </c>
      <c r="I55" s="180">
        <f>+(('SP Previsionale'!J8/(1+'Input Previsionale'!$E$3))/'CE Previsionale'!I5)*360</f>
        <v>-5.9195766705015196E-5</v>
      </c>
      <c r="J55" s="180">
        <f>+(('SP Previsionale'!K8/(1+'Input Previsionale'!$E$3))/'CE Previsionale'!J5)*360</f>
        <v>-5.9195766705015196E-5</v>
      </c>
      <c r="K55" s="180">
        <f>+(('SP Previsionale'!L8/(1+'Input Previsionale'!$E$3))/'CE Previsionale'!K5)*360</f>
        <v>-5.9195766705015196E-5</v>
      </c>
      <c r="L55" s="186">
        <f>+(('SP Previsionale'!M8/(1+'Input Previsionale'!$E$3))/'CE Previsionale'!L5)*360</f>
        <v>-5.9195766705015196E-5</v>
      </c>
    </row>
    <row r="56" spans="2:12" ht="14.4" customHeight="1" x14ac:dyDescent="0.3">
      <c r="B56" s="165" t="s">
        <v>1138</v>
      </c>
      <c r="C56" s="180">
        <f>+('SP Previsionale'!D13/'CE Previsionale'!C5)*360</f>
        <v>55.626983236396008</v>
      </c>
      <c r="D56" s="180">
        <f>+('SP Previsionale'!E13/'CE Previsionale'!D5)*360</f>
        <v>53.495433611212142</v>
      </c>
      <c r="E56" s="180">
        <f>+('SP Previsionale'!F13/'CE Previsionale'!E5)*360</f>
        <v>64.194520333454562</v>
      </c>
      <c r="F56" s="180">
        <f>+('SP Previsionale'!G13/'CE Previsionale'!F5)*360</f>
        <v>53.495433611212142</v>
      </c>
      <c r="G56" s="180">
        <f>+('SP Previsionale'!H13/'CE Previsionale'!G5)*360</f>
        <v>53.495433611212142</v>
      </c>
      <c r="H56" s="180">
        <f>+('SP Previsionale'!I13/'CE Previsionale'!H5)*360</f>
        <v>53.495433611212142</v>
      </c>
      <c r="I56" s="180">
        <f>+('SP Previsionale'!J13/'CE Previsionale'!I5)*360</f>
        <v>53.495433611212142</v>
      </c>
      <c r="J56" s="180">
        <f>+('SP Previsionale'!K13/'CE Previsionale'!J5)*360</f>
        <v>53.495433611212142</v>
      </c>
      <c r="K56" s="180">
        <f>+('SP Previsionale'!L13/'CE Previsionale'!K5)*360</f>
        <v>53.495433611212142</v>
      </c>
      <c r="L56" s="186">
        <f>+('SP Previsionale'!M13/'CE Previsionale'!L5)*360</f>
        <v>53.495433611212142</v>
      </c>
    </row>
    <row r="57" spans="2:12" x14ac:dyDescent="0.3">
      <c r="B57" s="175" t="s">
        <v>1139</v>
      </c>
      <c r="C57" s="182">
        <f>+(('SP Previsionale'!D41/(1+'Input Previsionale'!$E$3))/'CE Previsionale'!C11)*360</f>
        <v>138.96073387539121</v>
      </c>
      <c r="D57" s="182">
        <f>+(('SP Previsionale'!E41/(1+'Input Previsionale'!$E$3))/'CE Previsionale'!D11)*360</f>
        <v>60.356788780510129</v>
      </c>
      <c r="E57" s="182">
        <f>+(('SP Previsionale'!F41/(1+'Input Previsionale'!$E$3))/'CE Previsionale'!E11)*360</f>
        <v>60.29633170301009</v>
      </c>
      <c r="F57" s="182">
        <f>+(('SP Previsionale'!G41/(1+'Input Previsionale'!$E$3))/'CE Previsionale'!F11)*360</f>
        <v>60.328846897778924</v>
      </c>
      <c r="G57" s="182">
        <f>+(('SP Previsionale'!H41/(1+'Input Previsionale'!$E$3))/'CE Previsionale'!G11)*360</f>
        <v>60.311743751706899</v>
      </c>
      <c r="H57" s="182">
        <f>+(('SP Previsionale'!I41/(1+'Input Previsionale'!$E$3))/'CE Previsionale'!H11)*360</f>
        <v>60.311743751706899</v>
      </c>
      <c r="I57" s="182">
        <f>+(('SP Previsionale'!J41/(1+'Input Previsionale'!$E$3))/'CE Previsionale'!I11)*360</f>
        <v>60.311743751706899</v>
      </c>
      <c r="J57" s="182">
        <f>+(('SP Previsionale'!K41/(1+'Input Previsionale'!$E$3))/'CE Previsionale'!J11)*360</f>
        <v>60.311743751706899</v>
      </c>
      <c r="K57" s="182">
        <f>+(('SP Previsionale'!L41/(1+'Input Previsionale'!$E$3))/'CE Previsionale'!K11)*360</f>
        <v>60.311743751706899</v>
      </c>
      <c r="L57" s="183">
        <f>+(('SP Previsionale'!M41/(1+'Input Previsionale'!$E$3))/'CE Previsionale'!L11)*360</f>
        <v>60.311743751706899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39"/>
  <sheetViews>
    <sheetView showGridLines="0" topLeftCell="A3" workbookViewId="0">
      <pane xSplit="6" ySplit="3" topLeftCell="G227" activePane="bottomRight" state="frozen"/>
      <selection pane="topRight" activeCell="G1" sqref="G1"/>
      <selection pane="bottomLeft" activeCell="A4" sqref="A4"/>
      <selection pane="bottomRight" activeCell="G234" sqref="G234"/>
    </sheetView>
  </sheetViews>
  <sheetFormatPr defaultColWidth="8.6640625" defaultRowHeight="14.4" x14ac:dyDescent="0.3"/>
  <cols>
    <col min="1" max="1" width="71.44140625" style="5" customWidth="1"/>
    <col min="2" max="2" width="10.33203125" style="5" hidden="1" customWidth="1"/>
    <col min="3" max="3" width="8.6640625" style="5" hidden="1" customWidth="1"/>
    <col min="4" max="4" width="6.6640625" style="5" hidden="1" customWidth="1"/>
    <col min="5" max="5" width="58.6640625" style="5" hidden="1" customWidth="1"/>
    <col min="6" max="6" width="33" style="6" hidden="1" customWidth="1"/>
    <col min="7" max="8" width="16.6640625" style="5" customWidth="1"/>
    <col min="9" max="245" width="8.6640625" style="5"/>
    <col min="246" max="246" width="71.44140625" style="5" customWidth="1"/>
    <col min="247" max="251" width="0" style="5" hidden="1" customWidth="1"/>
    <col min="252" max="255" width="16.6640625" style="5" customWidth="1"/>
    <col min="256" max="256" width="50.6640625" style="5" customWidth="1"/>
    <col min="257" max="501" width="8.6640625" style="5"/>
    <col min="502" max="502" width="71.44140625" style="5" customWidth="1"/>
    <col min="503" max="507" width="0" style="5" hidden="1" customWidth="1"/>
    <col min="508" max="511" width="16.6640625" style="5" customWidth="1"/>
    <col min="512" max="512" width="50.6640625" style="5" customWidth="1"/>
    <col min="513" max="757" width="8.6640625" style="5"/>
    <col min="758" max="758" width="71.44140625" style="5" customWidth="1"/>
    <col min="759" max="763" width="0" style="5" hidden="1" customWidth="1"/>
    <col min="764" max="767" width="16.6640625" style="5" customWidth="1"/>
    <col min="768" max="768" width="50.6640625" style="5" customWidth="1"/>
    <col min="769" max="1013" width="8.6640625" style="5"/>
    <col min="1014" max="1014" width="71.44140625" style="5" customWidth="1"/>
    <col min="1015" max="1019" width="0" style="5" hidden="1" customWidth="1"/>
    <col min="1020" max="1023" width="16.6640625" style="5" customWidth="1"/>
    <col min="1024" max="1024" width="50.6640625" style="5" customWidth="1"/>
    <col min="1025" max="1269" width="8.6640625" style="5"/>
    <col min="1270" max="1270" width="71.44140625" style="5" customWidth="1"/>
    <col min="1271" max="1275" width="0" style="5" hidden="1" customWidth="1"/>
    <col min="1276" max="1279" width="16.6640625" style="5" customWidth="1"/>
    <col min="1280" max="1280" width="50.6640625" style="5" customWidth="1"/>
    <col min="1281" max="1525" width="8.6640625" style="5"/>
    <col min="1526" max="1526" width="71.44140625" style="5" customWidth="1"/>
    <col min="1527" max="1531" width="0" style="5" hidden="1" customWidth="1"/>
    <col min="1532" max="1535" width="16.6640625" style="5" customWidth="1"/>
    <col min="1536" max="1536" width="50.6640625" style="5" customWidth="1"/>
    <col min="1537" max="1781" width="8.6640625" style="5"/>
    <col min="1782" max="1782" width="71.44140625" style="5" customWidth="1"/>
    <col min="1783" max="1787" width="0" style="5" hidden="1" customWidth="1"/>
    <col min="1788" max="1791" width="16.6640625" style="5" customWidth="1"/>
    <col min="1792" max="1792" width="50.6640625" style="5" customWidth="1"/>
    <col min="1793" max="2037" width="8.6640625" style="5"/>
    <col min="2038" max="2038" width="71.44140625" style="5" customWidth="1"/>
    <col min="2039" max="2043" width="0" style="5" hidden="1" customWidth="1"/>
    <col min="2044" max="2047" width="16.6640625" style="5" customWidth="1"/>
    <col min="2048" max="2048" width="50.6640625" style="5" customWidth="1"/>
    <col min="2049" max="2293" width="8.6640625" style="5"/>
    <col min="2294" max="2294" width="71.44140625" style="5" customWidth="1"/>
    <col min="2295" max="2299" width="0" style="5" hidden="1" customWidth="1"/>
    <col min="2300" max="2303" width="16.6640625" style="5" customWidth="1"/>
    <col min="2304" max="2304" width="50.6640625" style="5" customWidth="1"/>
    <col min="2305" max="2549" width="8.6640625" style="5"/>
    <col min="2550" max="2550" width="71.44140625" style="5" customWidth="1"/>
    <col min="2551" max="2555" width="0" style="5" hidden="1" customWidth="1"/>
    <col min="2556" max="2559" width="16.6640625" style="5" customWidth="1"/>
    <col min="2560" max="2560" width="50.6640625" style="5" customWidth="1"/>
    <col min="2561" max="2805" width="8.6640625" style="5"/>
    <col min="2806" max="2806" width="71.44140625" style="5" customWidth="1"/>
    <col min="2807" max="2811" width="0" style="5" hidden="1" customWidth="1"/>
    <col min="2812" max="2815" width="16.6640625" style="5" customWidth="1"/>
    <col min="2816" max="2816" width="50.6640625" style="5" customWidth="1"/>
    <col min="2817" max="3061" width="8.6640625" style="5"/>
    <col min="3062" max="3062" width="71.44140625" style="5" customWidth="1"/>
    <col min="3063" max="3067" width="0" style="5" hidden="1" customWidth="1"/>
    <col min="3068" max="3071" width="16.6640625" style="5" customWidth="1"/>
    <col min="3072" max="3072" width="50.6640625" style="5" customWidth="1"/>
    <col min="3073" max="3317" width="8.6640625" style="5"/>
    <col min="3318" max="3318" width="71.44140625" style="5" customWidth="1"/>
    <col min="3319" max="3323" width="0" style="5" hidden="1" customWidth="1"/>
    <col min="3324" max="3327" width="16.6640625" style="5" customWidth="1"/>
    <col min="3328" max="3328" width="50.6640625" style="5" customWidth="1"/>
    <col min="3329" max="3573" width="8.6640625" style="5"/>
    <col min="3574" max="3574" width="71.44140625" style="5" customWidth="1"/>
    <col min="3575" max="3579" width="0" style="5" hidden="1" customWidth="1"/>
    <col min="3580" max="3583" width="16.6640625" style="5" customWidth="1"/>
    <col min="3584" max="3584" width="50.6640625" style="5" customWidth="1"/>
    <col min="3585" max="3829" width="8.6640625" style="5"/>
    <col min="3830" max="3830" width="71.44140625" style="5" customWidth="1"/>
    <col min="3831" max="3835" width="0" style="5" hidden="1" customWidth="1"/>
    <col min="3836" max="3839" width="16.6640625" style="5" customWidth="1"/>
    <col min="3840" max="3840" width="50.6640625" style="5" customWidth="1"/>
    <col min="3841" max="4085" width="8.6640625" style="5"/>
    <col min="4086" max="4086" width="71.44140625" style="5" customWidth="1"/>
    <col min="4087" max="4091" width="0" style="5" hidden="1" customWidth="1"/>
    <col min="4092" max="4095" width="16.6640625" style="5" customWidth="1"/>
    <col min="4096" max="4096" width="50.6640625" style="5" customWidth="1"/>
    <col min="4097" max="4341" width="8.6640625" style="5"/>
    <col min="4342" max="4342" width="71.44140625" style="5" customWidth="1"/>
    <col min="4343" max="4347" width="0" style="5" hidden="1" customWidth="1"/>
    <col min="4348" max="4351" width="16.6640625" style="5" customWidth="1"/>
    <col min="4352" max="4352" width="50.6640625" style="5" customWidth="1"/>
    <col min="4353" max="4597" width="8.6640625" style="5"/>
    <col min="4598" max="4598" width="71.44140625" style="5" customWidth="1"/>
    <col min="4599" max="4603" width="0" style="5" hidden="1" customWidth="1"/>
    <col min="4604" max="4607" width="16.6640625" style="5" customWidth="1"/>
    <col min="4608" max="4608" width="50.6640625" style="5" customWidth="1"/>
    <col min="4609" max="4853" width="8.6640625" style="5"/>
    <col min="4854" max="4854" width="71.44140625" style="5" customWidth="1"/>
    <col min="4855" max="4859" width="0" style="5" hidden="1" customWidth="1"/>
    <col min="4860" max="4863" width="16.6640625" style="5" customWidth="1"/>
    <col min="4864" max="4864" width="50.6640625" style="5" customWidth="1"/>
    <col min="4865" max="5109" width="8.6640625" style="5"/>
    <col min="5110" max="5110" width="71.44140625" style="5" customWidth="1"/>
    <col min="5111" max="5115" width="0" style="5" hidden="1" customWidth="1"/>
    <col min="5116" max="5119" width="16.6640625" style="5" customWidth="1"/>
    <col min="5120" max="5120" width="50.6640625" style="5" customWidth="1"/>
    <col min="5121" max="5365" width="8.6640625" style="5"/>
    <col min="5366" max="5366" width="71.44140625" style="5" customWidth="1"/>
    <col min="5367" max="5371" width="0" style="5" hidden="1" customWidth="1"/>
    <col min="5372" max="5375" width="16.6640625" style="5" customWidth="1"/>
    <col min="5376" max="5376" width="50.6640625" style="5" customWidth="1"/>
    <col min="5377" max="5621" width="8.6640625" style="5"/>
    <col min="5622" max="5622" width="71.44140625" style="5" customWidth="1"/>
    <col min="5623" max="5627" width="0" style="5" hidden="1" customWidth="1"/>
    <col min="5628" max="5631" width="16.6640625" style="5" customWidth="1"/>
    <col min="5632" max="5632" width="50.6640625" style="5" customWidth="1"/>
    <col min="5633" max="5877" width="8.6640625" style="5"/>
    <col min="5878" max="5878" width="71.44140625" style="5" customWidth="1"/>
    <col min="5879" max="5883" width="0" style="5" hidden="1" customWidth="1"/>
    <col min="5884" max="5887" width="16.6640625" style="5" customWidth="1"/>
    <col min="5888" max="5888" width="50.6640625" style="5" customWidth="1"/>
    <col min="5889" max="6133" width="8.6640625" style="5"/>
    <col min="6134" max="6134" width="71.44140625" style="5" customWidth="1"/>
    <col min="6135" max="6139" width="0" style="5" hidden="1" customWidth="1"/>
    <col min="6140" max="6143" width="16.6640625" style="5" customWidth="1"/>
    <col min="6144" max="6144" width="50.6640625" style="5" customWidth="1"/>
    <col min="6145" max="6389" width="8.6640625" style="5"/>
    <col min="6390" max="6390" width="71.44140625" style="5" customWidth="1"/>
    <col min="6391" max="6395" width="0" style="5" hidden="1" customWidth="1"/>
    <col min="6396" max="6399" width="16.6640625" style="5" customWidth="1"/>
    <col min="6400" max="6400" width="50.6640625" style="5" customWidth="1"/>
    <col min="6401" max="6645" width="8.6640625" style="5"/>
    <col min="6646" max="6646" width="71.44140625" style="5" customWidth="1"/>
    <col min="6647" max="6651" width="0" style="5" hidden="1" customWidth="1"/>
    <col min="6652" max="6655" width="16.6640625" style="5" customWidth="1"/>
    <col min="6656" max="6656" width="50.6640625" style="5" customWidth="1"/>
    <col min="6657" max="6901" width="8.6640625" style="5"/>
    <col min="6902" max="6902" width="71.44140625" style="5" customWidth="1"/>
    <col min="6903" max="6907" width="0" style="5" hidden="1" customWidth="1"/>
    <col min="6908" max="6911" width="16.6640625" style="5" customWidth="1"/>
    <col min="6912" max="6912" width="50.6640625" style="5" customWidth="1"/>
    <col min="6913" max="7157" width="8.6640625" style="5"/>
    <col min="7158" max="7158" width="71.44140625" style="5" customWidth="1"/>
    <col min="7159" max="7163" width="0" style="5" hidden="1" customWidth="1"/>
    <col min="7164" max="7167" width="16.6640625" style="5" customWidth="1"/>
    <col min="7168" max="7168" width="50.6640625" style="5" customWidth="1"/>
    <col min="7169" max="7413" width="8.6640625" style="5"/>
    <col min="7414" max="7414" width="71.44140625" style="5" customWidth="1"/>
    <col min="7415" max="7419" width="0" style="5" hidden="1" customWidth="1"/>
    <col min="7420" max="7423" width="16.6640625" style="5" customWidth="1"/>
    <col min="7424" max="7424" width="50.6640625" style="5" customWidth="1"/>
    <col min="7425" max="7669" width="8.6640625" style="5"/>
    <col min="7670" max="7670" width="71.44140625" style="5" customWidth="1"/>
    <col min="7671" max="7675" width="0" style="5" hidden="1" customWidth="1"/>
    <col min="7676" max="7679" width="16.6640625" style="5" customWidth="1"/>
    <col min="7680" max="7680" width="50.6640625" style="5" customWidth="1"/>
    <col min="7681" max="7925" width="8.6640625" style="5"/>
    <col min="7926" max="7926" width="71.44140625" style="5" customWidth="1"/>
    <col min="7927" max="7931" width="0" style="5" hidden="1" customWidth="1"/>
    <col min="7932" max="7935" width="16.6640625" style="5" customWidth="1"/>
    <col min="7936" max="7936" width="50.6640625" style="5" customWidth="1"/>
    <col min="7937" max="8181" width="8.6640625" style="5"/>
    <col min="8182" max="8182" width="71.44140625" style="5" customWidth="1"/>
    <col min="8183" max="8187" width="0" style="5" hidden="1" customWidth="1"/>
    <col min="8188" max="8191" width="16.6640625" style="5" customWidth="1"/>
    <col min="8192" max="8192" width="50.6640625" style="5" customWidth="1"/>
    <col min="8193" max="8437" width="8.6640625" style="5"/>
    <col min="8438" max="8438" width="71.44140625" style="5" customWidth="1"/>
    <col min="8439" max="8443" width="0" style="5" hidden="1" customWidth="1"/>
    <col min="8444" max="8447" width="16.6640625" style="5" customWidth="1"/>
    <col min="8448" max="8448" width="50.6640625" style="5" customWidth="1"/>
    <col min="8449" max="8693" width="8.6640625" style="5"/>
    <col min="8694" max="8694" width="71.44140625" style="5" customWidth="1"/>
    <col min="8695" max="8699" width="0" style="5" hidden="1" customWidth="1"/>
    <col min="8700" max="8703" width="16.6640625" style="5" customWidth="1"/>
    <col min="8704" max="8704" width="50.6640625" style="5" customWidth="1"/>
    <col min="8705" max="8949" width="8.6640625" style="5"/>
    <col min="8950" max="8950" width="71.44140625" style="5" customWidth="1"/>
    <col min="8951" max="8955" width="0" style="5" hidden="1" customWidth="1"/>
    <col min="8956" max="8959" width="16.6640625" style="5" customWidth="1"/>
    <col min="8960" max="8960" width="50.6640625" style="5" customWidth="1"/>
    <col min="8961" max="9205" width="8.6640625" style="5"/>
    <col min="9206" max="9206" width="71.44140625" style="5" customWidth="1"/>
    <col min="9207" max="9211" width="0" style="5" hidden="1" customWidth="1"/>
    <col min="9212" max="9215" width="16.6640625" style="5" customWidth="1"/>
    <col min="9216" max="9216" width="50.6640625" style="5" customWidth="1"/>
    <col min="9217" max="9461" width="8.6640625" style="5"/>
    <col min="9462" max="9462" width="71.44140625" style="5" customWidth="1"/>
    <col min="9463" max="9467" width="0" style="5" hidden="1" customWidth="1"/>
    <col min="9468" max="9471" width="16.6640625" style="5" customWidth="1"/>
    <col min="9472" max="9472" width="50.6640625" style="5" customWidth="1"/>
    <col min="9473" max="9717" width="8.6640625" style="5"/>
    <col min="9718" max="9718" width="71.44140625" style="5" customWidth="1"/>
    <col min="9719" max="9723" width="0" style="5" hidden="1" customWidth="1"/>
    <col min="9724" max="9727" width="16.6640625" style="5" customWidth="1"/>
    <col min="9728" max="9728" width="50.6640625" style="5" customWidth="1"/>
    <col min="9729" max="9973" width="8.6640625" style="5"/>
    <col min="9974" max="9974" width="71.44140625" style="5" customWidth="1"/>
    <col min="9975" max="9979" width="0" style="5" hidden="1" customWidth="1"/>
    <col min="9980" max="9983" width="16.6640625" style="5" customWidth="1"/>
    <col min="9984" max="9984" width="50.6640625" style="5" customWidth="1"/>
    <col min="9985" max="10229" width="8.6640625" style="5"/>
    <col min="10230" max="10230" width="71.44140625" style="5" customWidth="1"/>
    <col min="10231" max="10235" width="0" style="5" hidden="1" customWidth="1"/>
    <col min="10236" max="10239" width="16.6640625" style="5" customWidth="1"/>
    <col min="10240" max="10240" width="50.6640625" style="5" customWidth="1"/>
    <col min="10241" max="10485" width="8.6640625" style="5"/>
    <col min="10486" max="10486" width="71.44140625" style="5" customWidth="1"/>
    <col min="10487" max="10491" width="0" style="5" hidden="1" customWidth="1"/>
    <col min="10492" max="10495" width="16.6640625" style="5" customWidth="1"/>
    <col min="10496" max="10496" width="50.6640625" style="5" customWidth="1"/>
    <col min="10497" max="10741" width="8.6640625" style="5"/>
    <col min="10742" max="10742" width="71.44140625" style="5" customWidth="1"/>
    <col min="10743" max="10747" width="0" style="5" hidden="1" customWidth="1"/>
    <col min="10748" max="10751" width="16.6640625" style="5" customWidth="1"/>
    <col min="10752" max="10752" width="50.6640625" style="5" customWidth="1"/>
    <col min="10753" max="10997" width="8.6640625" style="5"/>
    <col min="10998" max="10998" width="71.44140625" style="5" customWidth="1"/>
    <col min="10999" max="11003" width="0" style="5" hidden="1" customWidth="1"/>
    <col min="11004" max="11007" width="16.6640625" style="5" customWidth="1"/>
    <col min="11008" max="11008" width="50.6640625" style="5" customWidth="1"/>
    <col min="11009" max="11253" width="8.6640625" style="5"/>
    <col min="11254" max="11254" width="71.44140625" style="5" customWidth="1"/>
    <col min="11255" max="11259" width="0" style="5" hidden="1" customWidth="1"/>
    <col min="11260" max="11263" width="16.6640625" style="5" customWidth="1"/>
    <col min="11264" max="11264" width="50.6640625" style="5" customWidth="1"/>
    <col min="11265" max="11509" width="8.6640625" style="5"/>
    <col min="11510" max="11510" width="71.44140625" style="5" customWidth="1"/>
    <col min="11511" max="11515" width="0" style="5" hidden="1" customWidth="1"/>
    <col min="11516" max="11519" width="16.6640625" style="5" customWidth="1"/>
    <col min="11520" max="11520" width="50.6640625" style="5" customWidth="1"/>
    <col min="11521" max="11765" width="8.6640625" style="5"/>
    <col min="11766" max="11766" width="71.44140625" style="5" customWidth="1"/>
    <col min="11767" max="11771" width="0" style="5" hidden="1" customWidth="1"/>
    <col min="11772" max="11775" width="16.6640625" style="5" customWidth="1"/>
    <col min="11776" max="11776" width="50.6640625" style="5" customWidth="1"/>
    <col min="11777" max="12021" width="8.6640625" style="5"/>
    <col min="12022" max="12022" width="71.44140625" style="5" customWidth="1"/>
    <col min="12023" max="12027" width="0" style="5" hidden="1" customWidth="1"/>
    <col min="12028" max="12031" width="16.6640625" style="5" customWidth="1"/>
    <col min="12032" max="12032" width="50.6640625" style="5" customWidth="1"/>
    <col min="12033" max="12277" width="8.6640625" style="5"/>
    <col min="12278" max="12278" width="71.44140625" style="5" customWidth="1"/>
    <col min="12279" max="12283" width="0" style="5" hidden="1" customWidth="1"/>
    <col min="12284" max="12287" width="16.6640625" style="5" customWidth="1"/>
    <col min="12288" max="12288" width="50.6640625" style="5" customWidth="1"/>
    <col min="12289" max="12533" width="8.6640625" style="5"/>
    <col min="12534" max="12534" width="71.44140625" style="5" customWidth="1"/>
    <col min="12535" max="12539" width="0" style="5" hidden="1" customWidth="1"/>
    <col min="12540" max="12543" width="16.6640625" style="5" customWidth="1"/>
    <col min="12544" max="12544" width="50.6640625" style="5" customWidth="1"/>
    <col min="12545" max="12789" width="8.6640625" style="5"/>
    <col min="12790" max="12790" width="71.44140625" style="5" customWidth="1"/>
    <col min="12791" max="12795" width="0" style="5" hidden="1" customWidth="1"/>
    <col min="12796" max="12799" width="16.6640625" style="5" customWidth="1"/>
    <col min="12800" max="12800" width="50.6640625" style="5" customWidth="1"/>
    <col min="12801" max="13045" width="8.6640625" style="5"/>
    <col min="13046" max="13046" width="71.44140625" style="5" customWidth="1"/>
    <col min="13047" max="13051" width="0" style="5" hidden="1" customWidth="1"/>
    <col min="13052" max="13055" width="16.6640625" style="5" customWidth="1"/>
    <col min="13056" max="13056" width="50.6640625" style="5" customWidth="1"/>
    <col min="13057" max="13301" width="8.6640625" style="5"/>
    <col min="13302" max="13302" width="71.44140625" style="5" customWidth="1"/>
    <col min="13303" max="13307" width="0" style="5" hidden="1" customWidth="1"/>
    <col min="13308" max="13311" width="16.6640625" style="5" customWidth="1"/>
    <col min="13312" max="13312" width="50.6640625" style="5" customWidth="1"/>
    <col min="13313" max="13557" width="8.6640625" style="5"/>
    <col min="13558" max="13558" width="71.44140625" style="5" customWidth="1"/>
    <col min="13559" max="13563" width="0" style="5" hidden="1" customWidth="1"/>
    <col min="13564" max="13567" width="16.6640625" style="5" customWidth="1"/>
    <col min="13568" max="13568" width="50.6640625" style="5" customWidth="1"/>
    <col min="13569" max="13813" width="8.6640625" style="5"/>
    <col min="13814" max="13814" width="71.44140625" style="5" customWidth="1"/>
    <col min="13815" max="13819" width="0" style="5" hidden="1" customWidth="1"/>
    <col min="13820" max="13823" width="16.6640625" style="5" customWidth="1"/>
    <col min="13824" max="13824" width="50.6640625" style="5" customWidth="1"/>
    <col min="13825" max="14069" width="8.6640625" style="5"/>
    <col min="14070" max="14070" width="71.44140625" style="5" customWidth="1"/>
    <col min="14071" max="14075" width="0" style="5" hidden="1" customWidth="1"/>
    <col min="14076" max="14079" width="16.6640625" style="5" customWidth="1"/>
    <col min="14080" max="14080" width="50.6640625" style="5" customWidth="1"/>
    <col min="14081" max="14325" width="8.6640625" style="5"/>
    <col min="14326" max="14326" width="71.44140625" style="5" customWidth="1"/>
    <col min="14327" max="14331" width="0" style="5" hidden="1" customWidth="1"/>
    <col min="14332" max="14335" width="16.6640625" style="5" customWidth="1"/>
    <col min="14336" max="14336" width="50.6640625" style="5" customWidth="1"/>
    <col min="14337" max="14581" width="8.6640625" style="5"/>
    <col min="14582" max="14582" width="71.44140625" style="5" customWidth="1"/>
    <col min="14583" max="14587" width="0" style="5" hidden="1" customWidth="1"/>
    <col min="14588" max="14591" width="16.6640625" style="5" customWidth="1"/>
    <col min="14592" max="14592" width="50.6640625" style="5" customWidth="1"/>
    <col min="14593" max="14837" width="8.6640625" style="5"/>
    <col min="14838" max="14838" width="71.44140625" style="5" customWidth="1"/>
    <col min="14839" max="14843" width="0" style="5" hidden="1" customWidth="1"/>
    <col min="14844" max="14847" width="16.6640625" style="5" customWidth="1"/>
    <col min="14848" max="14848" width="50.6640625" style="5" customWidth="1"/>
    <col min="14849" max="15093" width="8.6640625" style="5"/>
    <col min="15094" max="15094" width="71.44140625" style="5" customWidth="1"/>
    <col min="15095" max="15099" width="0" style="5" hidden="1" customWidth="1"/>
    <col min="15100" max="15103" width="16.6640625" style="5" customWidth="1"/>
    <col min="15104" max="15104" width="50.6640625" style="5" customWidth="1"/>
    <col min="15105" max="15349" width="8.6640625" style="5"/>
    <col min="15350" max="15350" width="71.44140625" style="5" customWidth="1"/>
    <col min="15351" max="15355" width="0" style="5" hidden="1" customWidth="1"/>
    <col min="15356" max="15359" width="16.6640625" style="5" customWidth="1"/>
    <col min="15360" max="15360" width="50.6640625" style="5" customWidth="1"/>
    <col min="15361" max="15605" width="8.6640625" style="5"/>
    <col min="15606" max="15606" width="71.44140625" style="5" customWidth="1"/>
    <col min="15607" max="15611" width="0" style="5" hidden="1" customWidth="1"/>
    <col min="15612" max="15615" width="16.6640625" style="5" customWidth="1"/>
    <col min="15616" max="15616" width="50.6640625" style="5" customWidth="1"/>
    <col min="15617" max="15861" width="8.6640625" style="5"/>
    <col min="15862" max="15862" width="71.44140625" style="5" customWidth="1"/>
    <col min="15863" max="15867" width="0" style="5" hidden="1" customWidth="1"/>
    <col min="15868" max="15871" width="16.6640625" style="5" customWidth="1"/>
    <col min="15872" max="15872" width="50.6640625" style="5" customWidth="1"/>
    <col min="15873" max="16117" width="8.6640625" style="5"/>
    <col min="16118" max="16118" width="71.44140625" style="5" customWidth="1"/>
    <col min="16119" max="16123" width="0" style="5" hidden="1" customWidth="1"/>
    <col min="16124" max="16127" width="16.6640625" style="5" customWidth="1"/>
    <col min="16128" max="16128" width="50.6640625" style="5" customWidth="1"/>
    <col min="16129" max="16384" width="8.6640625" style="5"/>
  </cols>
  <sheetData>
    <row r="1" spans="1:9" ht="13.2" hidden="1" customHeight="1" x14ac:dyDescent="0.3">
      <c r="A1" s="7" t="s">
        <v>65</v>
      </c>
      <c r="B1" s="7" t="s">
        <v>66</v>
      </c>
      <c r="C1" s="6" t="s">
        <v>67</v>
      </c>
      <c r="D1" s="6" t="s">
        <v>68</v>
      </c>
      <c r="E1" s="6" t="s">
        <v>69</v>
      </c>
      <c r="F1" s="8" t="s">
        <v>70</v>
      </c>
      <c r="G1" s="6" t="s">
        <v>71</v>
      </c>
      <c r="H1" s="6" t="s">
        <v>72</v>
      </c>
    </row>
    <row r="2" spans="1:9" ht="13.2" hidden="1" customHeight="1" x14ac:dyDescent="0.3">
      <c r="A2" s="1" t="s">
        <v>73</v>
      </c>
      <c r="B2" s="1" t="s">
        <v>74</v>
      </c>
      <c r="C2" s="6">
        <v>6</v>
      </c>
      <c r="D2" s="6">
        <v>224</v>
      </c>
      <c r="E2" s="6" t="s">
        <v>75</v>
      </c>
      <c r="F2" s="5" t="s">
        <v>76</v>
      </c>
      <c r="G2" s="6">
        <v>6</v>
      </c>
      <c r="H2" s="6" t="s">
        <v>77</v>
      </c>
    </row>
    <row r="3" spans="1:9" ht="18" customHeight="1" x14ac:dyDescent="0.3">
      <c r="A3" s="9" t="s">
        <v>78</v>
      </c>
      <c r="G3" s="10"/>
      <c r="H3" s="10"/>
    </row>
    <row r="4" spans="1:9" ht="23.25" customHeight="1" x14ac:dyDescent="0.3">
      <c r="A4" s="11" t="s">
        <v>79</v>
      </c>
      <c r="F4" s="12"/>
      <c r="G4" s="197">
        <f>+Menu!C4-1</f>
        <v>2015</v>
      </c>
      <c r="H4" s="197">
        <f>+Menu!C4</f>
        <v>2016</v>
      </c>
    </row>
    <row r="5" spans="1:9" s="1" customFormat="1" x14ac:dyDescent="0.3">
      <c r="A5" s="14"/>
      <c r="B5" s="1" t="s">
        <v>80</v>
      </c>
      <c r="C5" s="15" t="s">
        <v>81</v>
      </c>
      <c r="D5" s="1" t="s">
        <v>82</v>
      </c>
      <c r="E5" s="1" t="s">
        <v>83</v>
      </c>
      <c r="F5" s="1" t="s">
        <v>69</v>
      </c>
      <c r="G5" s="197" t="str">
        <f>+IF(G4="","","input")</f>
        <v>input</v>
      </c>
      <c r="H5" s="197" t="str">
        <f t="shared" ref="H5" si="0">+IF(H4="","","input")</f>
        <v>input</v>
      </c>
      <c r="I5" s="5"/>
    </row>
    <row r="6" spans="1:9" ht="18" customHeight="1" x14ac:dyDescent="0.3">
      <c r="A6" s="16" t="s">
        <v>84</v>
      </c>
      <c r="D6" s="5">
        <v>0</v>
      </c>
      <c r="E6" s="16" t="s">
        <v>85</v>
      </c>
      <c r="F6" s="6" t="s">
        <v>86</v>
      </c>
      <c r="G6" s="17" t="s">
        <v>87</v>
      </c>
      <c r="H6" s="17" t="s">
        <v>87</v>
      </c>
    </row>
    <row r="7" spans="1:9" ht="18" customHeight="1" x14ac:dyDescent="0.3">
      <c r="A7" s="18" t="s">
        <v>88</v>
      </c>
      <c r="D7" s="5">
        <v>1</v>
      </c>
      <c r="E7" s="19" t="s">
        <v>89</v>
      </c>
      <c r="F7" s="6" t="s">
        <v>88</v>
      </c>
      <c r="G7" s="17" t="s">
        <v>87</v>
      </c>
      <c r="H7" s="17" t="s">
        <v>87</v>
      </c>
    </row>
    <row r="8" spans="1:9" ht="18" customHeight="1" x14ac:dyDescent="0.3">
      <c r="A8" s="20" t="s">
        <v>90</v>
      </c>
      <c r="D8" s="5">
        <v>2</v>
      </c>
      <c r="E8" s="21" t="s">
        <v>91</v>
      </c>
      <c r="F8" s="6" t="s">
        <v>92</v>
      </c>
      <c r="G8" s="17" t="s">
        <v>87</v>
      </c>
      <c r="H8" s="17" t="s">
        <v>87</v>
      </c>
    </row>
    <row r="9" spans="1:9" x14ac:dyDescent="0.3">
      <c r="A9" s="22" t="s">
        <v>93</v>
      </c>
      <c r="B9" s="5">
        <v>23</v>
      </c>
      <c r="D9" s="5">
        <v>3</v>
      </c>
      <c r="E9" s="23" t="s">
        <v>94</v>
      </c>
      <c r="F9" s="6" t="s">
        <v>95</v>
      </c>
      <c r="G9" s="193">
        <v>0</v>
      </c>
      <c r="H9" s="194">
        <v>0</v>
      </c>
    </row>
    <row r="10" spans="1:9" x14ac:dyDescent="0.3">
      <c r="A10" s="22" t="s">
        <v>96</v>
      </c>
      <c r="B10" s="5">
        <v>33</v>
      </c>
      <c r="D10" s="5">
        <v>3</v>
      </c>
      <c r="E10" s="23" t="s">
        <v>97</v>
      </c>
      <c r="F10" s="6" t="s">
        <v>98</v>
      </c>
      <c r="G10" s="195">
        <v>0</v>
      </c>
      <c r="H10" s="196">
        <v>0</v>
      </c>
    </row>
    <row r="11" spans="1:9" x14ac:dyDescent="0.3">
      <c r="A11" s="24" t="s">
        <v>99</v>
      </c>
      <c r="B11" s="5">
        <v>56</v>
      </c>
      <c r="D11" s="5">
        <v>3</v>
      </c>
      <c r="E11" s="25" t="s">
        <v>100</v>
      </c>
      <c r="F11" s="6" t="s">
        <v>101</v>
      </c>
      <c r="G11" s="26">
        <f>+IF(G$4="","",SUM(G9:G10))</f>
        <v>0</v>
      </c>
      <c r="H11" s="26">
        <f t="shared" ref="H11" si="1">+IF(H4="","",SUM(H9:H10))</f>
        <v>0</v>
      </c>
    </row>
    <row r="12" spans="1:9" ht="18" customHeight="1" x14ac:dyDescent="0.3">
      <c r="A12" s="20" t="s">
        <v>102</v>
      </c>
      <c r="D12" s="5">
        <v>2</v>
      </c>
      <c r="E12" s="21" t="s">
        <v>103</v>
      </c>
      <c r="F12" s="6" t="s">
        <v>104</v>
      </c>
      <c r="G12" s="17" t="s">
        <v>87</v>
      </c>
      <c r="H12" s="17" t="s">
        <v>87</v>
      </c>
    </row>
    <row r="13" spans="1:9" ht="18" customHeight="1" x14ac:dyDescent="0.3">
      <c r="A13" s="27" t="s">
        <v>105</v>
      </c>
      <c r="D13" s="5">
        <v>3</v>
      </c>
      <c r="E13" s="27" t="s">
        <v>106</v>
      </c>
      <c r="F13" s="6" t="s">
        <v>107</v>
      </c>
      <c r="G13" s="28" t="s">
        <v>87</v>
      </c>
      <c r="H13" s="28" t="s">
        <v>87</v>
      </c>
    </row>
    <row r="14" spans="1:9" x14ac:dyDescent="0.3">
      <c r="A14" s="29" t="s">
        <v>108</v>
      </c>
      <c r="B14" s="5">
        <v>5</v>
      </c>
      <c r="D14" s="5">
        <v>4</v>
      </c>
      <c r="E14" s="30" t="s">
        <v>109</v>
      </c>
      <c r="F14" s="6" t="s">
        <v>110</v>
      </c>
      <c r="G14" s="193">
        <v>0</v>
      </c>
      <c r="H14" s="193">
        <v>0</v>
      </c>
    </row>
    <row r="15" spans="1:9" x14ac:dyDescent="0.3">
      <c r="A15" s="77" t="s">
        <v>111</v>
      </c>
      <c r="B15" s="5">
        <v>5</v>
      </c>
      <c r="D15" s="5">
        <v>4</v>
      </c>
      <c r="E15" s="30" t="s">
        <v>112</v>
      </c>
      <c r="F15" s="6" t="s">
        <v>113</v>
      </c>
      <c r="G15" s="193">
        <v>0</v>
      </c>
      <c r="H15" s="193">
        <v>0</v>
      </c>
    </row>
    <row r="16" spans="1:9" x14ac:dyDescent="0.3">
      <c r="A16" s="29" t="s">
        <v>114</v>
      </c>
      <c r="B16" s="5">
        <v>5</v>
      </c>
      <c r="D16" s="5">
        <v>4</v>
      </c>
      <c r="E16" s="30" t="s">
        <v>115</v>
      </c>
      <c r="F16" s="6" t="s">
        <v>116</v>
      </c>
      <c r="G16" s="193">
        <v>0</v>
      </c>
      <c r="H16" s="193">
        <v>0</v>
      </c>
    </row>
    <row r="17" spans="1:8" x14ac:dyDescent="0.3">
      <c r="A17" s="29" t="s">
        <v>117</v>
      </c>
      <c r="B17" s="5">
        <v>5</v>
      </c>
      <c r="D17" s="5">
        <v>4</v>
      </c>
      <c r="E17" s="30" t="s">
        <v>118</v>
      </c>
      <c r="F17" s="6" t="s">
        <v>119</v>
      </c>
      <c r="G17" s="193">
        <v>300.20999999999998</v>
      </c>
      <c r="H17" s="193">
        <v>0</v>
      </c>
    </row>
    <row r="18" spans="1:8" x14ac:dyDescent="0.3">
      <c r="A18" s="29" t="s">
        <v>120</v>
      </c>
      <c r="B18" s="5">
        <v>5</v>
      </c>
      <c r="D18" s="5">
        <v>4</v>
      </c>
      <c r="E18" s="30" t="s">
        <v>121</v>
      </c>
      <c r="F18" s="6" t="s">
        <v>122</v>
      </c>
      <c r="G18" s="193">
        <v>0</v>
      </c>
      <c r="H18" s="193">
        <v>0</v>
      </c>
    </row>
    <row r="19" spans="1:8" x14ac:dyDescent="0.3">
      <c r="A19" s="29" t="s">
        <v>123</v>
      </c>
      <c r="B19" s="5">
        <v>5</v>
      </c>
      <c r="D19" s="5">
        <v>4</v>
      </c>
      <c r="E19" s="30" t="s">
        <v>124</v>
      </c>
      <c r="F19" s="6" t="s">
        <v>125</v>
      </c>
      <c r="G19" s="193">
        <v>0</v>
      </c>
      <c r="H19" s="193">
        <v>0</v>
      </c>
    </row>
    <row r="20" spans="1:8" x14ac:dyDescent="0.3">
      <c r="A20" s="29" t="s">
        <v>126</v>
      </c>
      <c r="B20" s="5">
        <v>5</v>
      </c>
      <c r="D20" s="5">
        <v>4</v>
      </c>
      <c r="E20" s="30" t="s">
        <v>127</v>
      </c>
      <c r="F20" s="6" t="s">
        <v>128</v>
      </c>
      <c r="G20" s="193">
        <v>0</v>
      </c>
      <c r="H20" s="193">
        <v>0</v>
      </c>
    </row>
    <row r="21" spans="1:8" x14ac:dyDescent="0.3">
      <c r="A21" s="31" t="s">
        <v>129</v>
      </c>
      <c r="B21" s="32">
        <v>35</v>
      </c>
      <c r="C21" s="32"/>
      <c r="D21" s="32">
        <v>4</v>
      </c>
      <c r="E21" s="30" t="s">
        <v>130</v>
      </c>
      <c r="F21" s="6" t="s">
        <v>131</v>
      </c>
      <c r="G21" s="26">
        <f>+IF(G$4="","",SUM(G14:G20))</f>
        <v>300.20999999999998</v>
      </c>
      <c r="H21" s="26">
        <f t="shared" ref="H21" si="2">+IF(H$4="","",SUM(H14:H20))</f>
        <v>0</v>
      </c>
    </row>
    <row r="22" spans="1:8" ht="18" customHeight="1" x14ac:dyDescent="0.3">
      <c r="A22" s="27" t="s">
        <v>132</v>
      </c>
      <c r="D22" s="5">
        <v>3</v>
      </c>
      <c r="E22" s="27" t="s">
        <v>133</v>
      </c>
      <c r="F22" s="6" t="s">
        <v>134</v>
      </c>
      <c r="G22" s="28"/>
      <c r="H22" s="28"/>
    </row>
    <row r="23" spans="1:8" x14ac:dyDescent="0.3">
      <c r="A23" s="29" t="s">
        <v>135</v>
      </c>
      <c r="B23" s="5">
        <v>12</v>
      </c>
      <c r="D23" s="5">
        <v>4</v>
      </c>
      <c r="E23" s="30" t="s">
        <v>136</v>
      </c>
      <c r="F23" s="6" t="s">
        <v>137</v>
      </c>
      <c r="G23" s="193">
        <v>2019414.98</v>
      </c>
      <c r="H23" s="193">
        <v>1988414.54</v>
      </c>
    </row>
    <row r="24" spans="1:8" x14ac:dyDescent="0.3">
      <c r="A24" s="29" t="s">
        <v>138</v>
      </c>
      <c r="B24" s="5">
        <v>12</v>
      </c>
      <c r="D24" s="5">
        <v>4</v>
      </c>
      <c r="E24" s="30" t="s">
        <v>139</v>
      </c>
      <c r="F24" s="6" t="s">
        <v>140</v>
      </c>
      <c r="G24" s="193">
        <v>52082.02</v>
      </c>
      <c r="H24" s="193">
        <v>46898.14</v>
      </c>
    </row>
    <row r="25" spans="1:8" x14ac:dyDescent="0.3">
      <c r="A25" s="29" t="s">
        <v>141</v>
      </c>
      <c r="B25" s="5">
        <v>12</v>
      </c>
      <c r="D25" s="5">
        <v>4</v>
      </c>
      <c r="E25" s="30" t="s">
        <v>142</v>
      </c>
      <c r="F25" s="6" t="s">
        <v>143</v>
      </c>
      <c r="G25" s="193">
        <v>239360.34</v>
      </c>
      <c r="H25" s="193">
        <v>158998.82999999999</v>
      </c>
    </row>
    <row r="26" spans="1:8" x14ac:dyDescent="0.3">
      <c r="A26" s="29" t="s">
        <v>144</v>
      </c>
      <c r="B26" s="5">
        <v>12</v>
      </c>
      <c r="D26" s="5">
        <v>4</v>
      </c>
      <c r="E26" s="30" t="s">
        <v>145</v>
      </c>
      <c r="F26" s="6" t="s">
        <v>146</v>
      </c>
      <c r="G26" s="193">
        <v>195786.79</v>
      </c>
      <c r="H26" s="193">
        <v>149318.29999999999</v>
      </c>
    </row>
    <row r="27" spans="1:8" x14ac:dyDescent="0.3">
      <c r="A27" s="29" t="s">
        <v>147</v>
      </c>
      <c r="B27" s="5">
        <v>12</v>
      </c>
      <c r="D27" s="5">
        <v>4</v>
      </c>
      <c r="E27" s="30" t="s">
        <v>148</v>
      </c>
      <c r="F27" s="6" t="s">
        <v>149</v>
      </c>
      <c r="G27" s="193">
        <v>0</v>
      </c>
      <c r="H27" s="193">
        <v>0</v>
      </c>
    </row>
    <row r="28" spans="1:8" x14ac:dyDescent="0.3">
      <c r="A28" s="31" t="s">
        <v>150</v>
      </c>
      <c r="B28" s="5">
        <v>60</v>
      </c>
      <c r="D28" s="5">
        <v>4</v>
      </c>
      <c r="E28" s="33" t="s">
        <v>151</v>
      </c>
      <c r="F28" s="6" t="s">
        <v>152</v>
      </c>
      <c r="G28" s="26">
        <f>+IF(G$4="","",SUM(G23:G27))</f>
        <v>2506644.13</v>
      </c>
      <c r="H28" s="26">
        <f t="shared" ref="H28" si="3">+IF(H$4="","",SUM(H23:H27))</f>
        <v>2343629.8099999996</v>
      </c>
    </row>
    <row r="29" spans="1:8" ht="18" customHeight="1" x14ac:dyDescent="0.3">
      <c r="A29" s="27" t="s">
        <v>153</v>
      </c>
      <c r="D29" s="5">
        <v>3</v>
      </c>
      <c r="E29" s="27" t="s">
        <v>154</v>
      </c>
      <c r="F29" s="6" t="s">
        <v>155</v>
      </c>
      <c r="G29" s="28" t="s">
        <v>87</v>
      </c>
      <c r="H29" s="28" t="s">
        <v>87</v>
      </c>
    </row>
    <row r="30" spans="1:8" ht="12.75" customHeight="1" x14ac:dyDescent="0.3">
      <c r="A30" s="29" t="s">
        <v>156</v>
      </c>
      <c r="D30" s="5">
        <v>4</v>
      </c>
      <c r="E30" s="30" t="s">
        <v>157</v>
      </c>
      <c r="F30" s="6" t="s">
        <v>158</v>
      </c>
      <c r="G30" s="28" t="s">
        <v>87</v>
      </c>
      <c r="H30" s="28" t="s">
        <v>87</v>
      </c>
    </row>
    <row r="31" spans="1:8" x14ac:dyDescent="0.3">
      <c r="A31" s="34" t="s">
        <v>159</v>
      </c>
      <c r="B31" s="5">
        <v>1</v>
      </c>
      <c r="D31" s="5">
        <v>5</v>
      </c>
      <c r="E31" s="35" t="s">
        <v>160</v>
      </c>
      <c r="F31" s="6" t="s">
        <v>161</v>
      </c>
      <c r="G31" s="193">
        <v>0</v>
      </c>
      <c r="H31" s="193">
        <v>0</v>
      </c>
    </row>
    <row r="32" spans="1:8" x14ac:dyDescent="0.3">
      <c r="A32" s="34" t="s">
        <v>162</v>
      </c>
      <c r="B32" s="5">
        <v>1</v>
      </c>
      <c r="D32" s="5">
        <v>5</v>
      </c>
      <c r="E32" s="35" t="s">
        <v>163</v>
      </c>
      <c r="F32" s="6" t="s">
        <v>164</v>
      </c>
      <c r="G32" s="193">
        <v>0</v>
      </c>
      <c r="H32" s="193">
        <v>0</v>
      </c>
    </row>
    <row r="33" spans="1:8" x14ac:dyDescent="0.3">
      <c r="A33" s="34" t="s">
        <v>165</v>
      </c>
      <c r="B33" s="5">
        <v>1</v>
      </c>
      <c r="D33" s="5">
        <v>5</v>
      </c>
      <c r="E33" s="35" t="s">
        <v>166</v>
      </c>
      <c r="F33" s="6" t="s">
        <v>167</v>
      </c>
      <c r="G33" s="193">
        <v>0</v>
      </c>
      <c r="H33" s="193">
        <v>0</v>
      </c>
    </row>
    <row r="34" spans="1:8" x14ac:dyDescent="0.3">
      <c r="A34" s="34" t="s">
        <v>168</v>
      </c>
      <c r="E34" s="35"/>
      <c r="G34" s="193">
        <v>0</v>
      </c>
      <c r="H34" s="193">
        <v>0</v>
      </c>
    </row>
    <row r="35" spans="1:8" x14ac:dyDescent="0.3">
      <c r="A35" s="78" t="s">
        <v>169</v>
      </c>
      <c r="B35" s="5">
        <v>1</v>
      </c>
      <c r="D35" s="5">
        <v>5</v>
      </c>
      <c r="E35" s="35" t="s">
        <v>170</v>
      </c>
      <c r="F35" s="6" t="s">
        <v>171</v>
      </c>
      <c r="G35" s="193">
        <v>559.4</v>
      </c>
      <c r="H35" s="193">
        <v>559.4</v>
      </c>
    </row>
    <row r="36" spans="1:8" x14ac:dyDescent="0.3">
      <c r="A36" s="31" t="s">
        <v>172</v>
      </c>
      <c r="B36" s="5">
        <v>4</v>
      </c>
      <c r="D36" s="5">
        <v>5</v>
      </c>
      <c r="E36" s="35" t="s">
        <v>173</v>
      </c>
      <c r="F36" s="6" t="s">
        <v>174</v>
      </c>
      <c r="G36" s="26">
        <f>+IF(G$4="","",SUM(G31:G35))</f>
        <v>559.4</v>
      </c>
      <c r="H36" s="26">
        <f t="shared" ref="H36" si="4">+IF(H$4="","",SUM(H31:H35))</f>
        <v>559.4</v>
      </c>
    </row>
    <row r="37" spans="1:8" ht="18" customHeight="1" x14ac:dyDescent="0.3">
      <c r="A37" s="29" t="s">
        <v>175</v>
      </c>
      <c r="D37" s="5">
        <v>4</v>
      </c>
      <c r="E37" s="30" t="s">
        <v>176</v>
      </c>
      <c r="F37" s="6" t="s">
        <v>177</v>
      </c>
      <c r="G37" s="28" t="s">
        <v>87</v>
      </c>
      <c r="H37" s="28" t="s">
        <v>87</v>
      </c>
    </row>
    <row r="38" spans="1:8" x14ac:dyDescent="0.3">
      <c r="A38" s="34" t="s">
        <v>178</v>
      </c>
      <c r="D38" s="5">
        <v>5</v>
      </c>
      <c r="E38" s="35" t="s">
        <v>160</v>
      </c>
      <c r="F38" s="6" t="s">
        <v>179</v>
      </c>
      <c r="G38" s="28" t="s">
        <v>87</v>
      </c>
      <c r="H38" s="28" t="s">
        <v>87</v>
      </c>
    </row>
    <row r="39" spans="1:8" x14ac:dyDescent="0.3">
      <c r="A39" s="36" t="s">
        <v>180</v>
      </c>
      <c r="B39" s="5">
        <v>1</v>
      </c>
      <c r="D39" s="5">
        <v>6</v>
      </c>
      <c r="E39" s="37" t="s">
        <v>181</v>
      </c>
      <c r="F39" s="6" t="s">
        <v>182</v>
      </c>
      <c r="G39" s="193">
        <v>0</v>
      </c>
      <c r="H39" s="193">
        <v>0</v>
      </c>
    </row>
    <row r="40" spans="1:8" x14ac:dyDescent="0.3">
      <c r="A40" s="36" t="s">
        <v>183</v>
      </c>
      <c r="B40" s="5">
        <v>1</v>
      </c>
      <c r="D40" s="5">
        <v>6</v>
      </c>
      <c r="E40" s="37" t="s">
        <v>184</v>
      </c>
      <c r="F40" s="6" t="s">
        <v>185</v>
      </c>
      <c r="G40" s="193">
        <v>0</v>
      </c>
      <c r="H40" s="193">
        <v>0</v>
      </c>
    </row>
    <row r="41" spans="1:8" x14ac:dyDescent="0.3">
      <c r="A41" s="31" t="s">
        <v>186</v>
      </c>
      <c r="B41" s="5">
        <v>2</v>
      </c>
      <c r="D41" s="5">
        <v>6</v>
      </c>
      <c r="E41" s="37" t="s">
        <v>187</v>
      </c>
      <c r="F41" s="6" t="s">
        <v>188</v>
      </c>
      <c r="G41" s="26">
        <f>+IF(G$4="","",SUM(G39:G40))</f>
        <v>0</v>
      </c>
      <c r="H41" s="26">
        <f t="shared" ref="H41" si="5">+IF(H$4="","",SUM(H39:H40))</f>
        <v>0</v>
      </c>
    </row>
    <row r="42" spans="1:8" x14ac:dyDescent="0.3">
      <c r="A42" s="34" t="s">
        <v>189</v>
      </c>
      <c r="D42" s="5">
        <v>5</v>
      </c>
      <c r="E42" s="35" t="s">
        <v>163</v>
      </c>
      <c r="F42" s="6" t="s">
        <v>190</v>
      </c>
      <c r="G42" s="28" t="s">
        <v>87</v>
      </c>
      <c r="H42" s="28" t="s">
        <v>87</v>
      </c>
    </row>
    <row r="43" spans="1:8" x14ac:dyDescent="0.3">
      <c r="A43" s="36" t="s">
        <v>180</v>
      </c>
      <c r="B43" s="5">
        <v>1</v>
      </c>
      <c r="D43" s="5">
        <v>6</v>
      </c>
      <c r="E43" s="37" t="s">
        <v>181</v>
      </c>
      <c r="F43" s="6" t="s">
        <v>191</v>
      </c>
      <c r="G43" s="193">
        <v>0</v>
      </c>
      <c r="H43" s="193">
        <v>0</v>
      </c>
    </row>
    <row r="44" spans="1:8" x14ac:dyDescent="0.3">
      <c r="A44" s="36" t="s">
        <v>183</v>
      </c>
      <c r="B44" s="5">
        <v>1</v>
      </c>
      <c r="D44" s="5">
        <v>6</v>
      </c>
      <c r="E44" s="37" t="s">
        <v>184</v>
      </c>
      <c r="F44" s="6" t="s">
        <v>192</v>
      </c>
      <c r="G44" s="193">
        <v>0</v>
      </c>
      <c r="H44" s="193">
        <v>0</v>
      </c>
    </row>
    <row r="45" spans="1:8" x14ac:dyDescent="0.3">
      <c r="A45" s="31" t="s">
        <v>193</v>
      </c>
      <c r="B45" s="5">
        <v>2</v>
      </c>
      <c r="D45" s="5">
        <v>6</v>
      </c>
      <c r="E45" s="37" t="s">
        <v>194</v>
      </c>
      <c r="F45" s="6" t="s">
        <v>195</v>
      </c>
      <c r="G45" s="26">
        <f>+IF(G$4="","",SUM(G43:G44))</f>
        <v>0</v>
      </c>
      <c r="H45" s="26">
        <f t="shared" ref="H45" si="6">+IF(H$4="","",SUM(H43:H44))</f>
        <v>0</v>
      </c>
    </row>
    <row r="46" spans="1:8" x14ac:dyDescent="0.3">
      <c r="A46" s="34" t="s">
        <v>196</v>
      </c>
      <c r="D46" s="5">
        <v>5</v>
      </c>
      <c r="E46" s="35" t="s">
        <v>166</v>
      </c>
      <c r="F46" s="6" t="s">
        <v>197</v>
      </c>
      <c r="G46" s="28" t="s">
        <v>87</v>
      </c>
      <c r="H46" s="28" t="s">
        <v>87</v>
      </c>
    </row>
    <row r="47" spans="1:8" x14ac:dyDescent="0.3">
      <c r="A47" s="36" t="s">
        <v>180</v>
      </c>
      <c r="B47" s="5">
        <v>1</v>
      </c>
      <c r="D47" s="5">
        <v>6</v>
      </c>
      <c r="E47" s="37" t="s">
        <v>181</v>
      </c>
      <c r="F47" s="6" t="s">
        <v>198</v>
      </c>
      <c r="G47" s="193">
        <v>0</v>
      </c>
      <c r="H47" s="193">
        <v>0</v>
      </c>
    </row>
    <row r="48" spans="1:8" x14ac:dyDescent="0.3">
      <c r="A48" s="36" t="s">
        <v>183</v>
      </c>
      <c r="B48" s="5">
        <v>1</v>
      </c>
      <c r="D48" s="5">
        <v>6</v>
      </c>
      <c r="E48" s="37" t="s">
        <v>184</v>
      </c>
      <c r="F48" s="6" t="s">
        <v>199</v>
      </c>
      <c r="G48" s="193">
        <v>0</v>
      </c>
      <c r="H48" s="193">
        <v>0</v>
      </c>
    </row>
    <row r="49" spans="1:8" x14ac:dyDescent="0.3">
      <c r="A49" s="31" t="s">
        <v>200</v>
      </c>
      <c r="B49" s="5">
        <v>2</v>
      </c>
      <c r="D49" s="5">
        <v>6</v>
      </c>
      <c r="E49" s="37" t="s">
        <v>201</v>
      </c>
      <c r="F49" s="6" t="s">
        <v>202</v>
      </c>
      <c r="G49" s="26">
        <f>+IF(G$4="","",SUM(G47:G48))</f>
        <v>0</v>
      </c>
      <c r="H49" s="26">
        <f t="shared" ref="H49" si="7">+IF(H$4="","",SUM(H47:H48))</f>
        <v>0</v>
      </c>
    </row>
    <row r="50" spans="1:8" x14ac:dyDescent="0.3">
      <c r="A50" s="34" t="s">
        <v>168</v>
      </c>
      <c r="D50" s="5">
        <v>5</v>
      </c>
      <c r="E50" s="35" t="s">
        <v>170</v>
      </c>
      <c r="F50" s="6" t="s">
        <v>203</v>
      </c>
      <c r="G50" s="28" t="s">
        <v>87</v>
      </c>
      <c r="H50" s="28" t="s">
        <v>87</v>
      </c>
    </row>
    <row r="51" spans="1:8" x14ac:dyDescent="0.3">
      <c r="A51" s="36" t="s">
        <v>180</v>
      </c>
      <c r="B51" s="5">
        <v>1</v>
      </c>
      <c r="D51" s="5">
        <v>6</v>
      </c>
      <c r="E51" s="37" t="s">
        <v>181</v>
      </c>
      <c r="F51" s="6" t="s">
        <v>204</v>
      </c>
      <c r="G51" s="193">
        <v>0</v>
      </c>
      <c r="H51" s="193">
        <v>0</v>
      </c>
    </row>
    <row r="52" spans="1:8" x14ac:dyDescent="0.3">
      <c r="A52" s="36" t="s">
        <v>183</v>
      </c>
      <c r="B52" s="5">
        <v>1</v>
      </c>
      <c r="D52" s="5">
        <v>6</v>
      </c>
      <c r="E52" s="37" t="s">
        <v>184</v>
      </c>
      <c r="F52" s="6" t="s">
        <v>205</v>
      </c>
      <c r="G52" s="193">
        <v>0</v>
      </c>
      <c r="H52" s="193">
        <v>0</v>
      </c>
    </row>
    <row r="53" spans="1:8" x14ac:dyDescent="0.3">
      <c r="A53" s="79" t="s">
        <v>206</v>
      </c>
      <c r="B53" s="5">
        <v>2</v>
      </c>
      <c r="D53" s="5">
        <v>6</v>
      </c>
      <c r="E53" s="37" t="s">
        <v>207</v>
      </c>
      <c r="F53" s="6" t="s">
        <v>208</v>
      </c>
      <c r="G53" s="26">
        <f t="shared" ref="G53:H53" si="8">+IF(G$4="","",SUM(G51:G52))</f>
        <v>0</v>
      </c>
      <c r="H53" s="26">
        <f t="shared" si="8"/>
        <v>0</v>
      </c>
    </row>
    <row r="54" spans="1:8" x14ac:dyDescent="0.3">
      <c r="A54" s="34" t="s">
        <v>209</v>
      </c>
      <c r="E54" s="37"/>
      <c r="G54" s="26"/>
      <c r="H54" s="26"/>
    </row>
    <row r="55" spans="1:8" x14ac:dyDescent="0.3">
      <c r="A55" s="36" t="s">
        <v>180</v>
      </c>
      <c r="B55" s="5">
        <v>1</v>
      </c>
      <c r="D55" s="5">
        <v>6</v>
      </c>
      <c r="E55" s="37" t="s">
        <v>181</v>
      </c>
      <c r="F55" s="6" t="s">
        <v>204</v>
      </c>
      <c r="G55" s="193">
        <v>0</v>
      </c>
      <c r="H55" s="193">
        <v>0</v>
      </c>
    </row>
    <row r="56" spans="1:8" x14ac:dyDescent="0.3">
      <c r="A56" s="36" t="s">
        <v>183</v>
      </c>
      <c r="B56" s="5">
        <v>1</v>
      </c>
      <c r="D56" s="5">
        <v>6</v>
      </c>
      <c r="E56" s="37" t="s">
        <v>184</v>
      </c>
      <c r="F56" s="6" t="s">
        <v>205</v>
      </c>
      <c r="G56" s="193">
        <v>0</v>
      </c>
      <c r="H56" s="193">
        <v>0</v>
      </c>
    </row>
    <row r="57" spans="1:8" x14ac:dyDescent="0.3">
      <c r="A57" s="79" t="s">
        <v>210</v>
      </c>
      <c r="B57" s="5">
        <v>2</v>
      </c>
      <c r="D57" s="5">
        <v>6</v>
      </c>
      <c r="E57" s="37" t="s">
        <v>207</v>
      </c>
      <c r="F57" s="6" t="s">
        <v>208</v>
      </c>
      <c r="G57" s="26">
        <f t="shared" ref="G57:H57" si="9">+IF(G$4="","",SUM(G55:G56))</f>
        <v>0</v>
      </c>
      <c r="H57" s="26">
        <f t="shared" si="9"/>
        <v>0</v>
      </c>
    </row>
    <row r="58" spans="1:8" x14ac:dyDescent="0.3">
      <c r="A58" s="31" t="s">
        <v>211</v>
      </c>
      <c r="B58" s="5">
        <v>8</v>
      </c>
      <c r="D58" s="5">
        <v>5</v>
      </c>
      <c r="E58" s="35" t="s">
        <v>212</v>
      </c>
      <c r="F58" s="6" t="s">
        <v>213</v>
      </c>
      <c r="G58" s="38">
        <f t="shared" ref="G58" si="10">+IF(G4="","",(+G53+G49+G45+G41+G57))</f>
        <v>0</v>
      </c>
      <c r="H58" s="38">
        <f t="shared" ref="H58" si="11">+IF(H4="","",(+H53+H49+H45+H41+H57))</f>
        <v>0</v>
      </c>
    </row>
    <row r="59" spans="1:8" ht="18" customHeight="1" x14ac:dyDescent="0.3">
      <c r="A59" s="29" t="s">
        <v>214</v>
      </c>
      <c r="B59" s="5">
        <v>12</v>
      </c>
      <c r="D59" s="5">
        <v>4</v>
      </c>
      <c r="E59" s="30" t="s">
        <v>215</v>
      </c>
      <c r="F59" s="6" t="s">
        <v>216</v>
      </c>
      <c r="G59" s="193">
        <v>0</v>
      </c>
      <c r="H59" s="193">
        <v>0</v>
      </c>
    </row>
    <row r="60" spans="1:8" ht="18" customHeight="1" x14ac:dyDescent="0.3">
      <c r="A60" s="29" t="s">
        <v>217</v>
      </c>
      <c r="B60" s="5">
        <v>25</v>
      </c>
      <c r="D60" s="5">
        <v>4</v>
      </c>
      <c r="E60" s="30" t="s">
        <v>218</v>
      </c>
      <c r="F60" s="6" t="s">
        <v>219</v>
      </c>
      <c r="G60" s="193">
        <v>0</v>
      </c>
      <c r="H60" s="193">
        <v>0</v>
      </c>
    </row>
    <row r="61" spans="1:8" x14ac:dyDescent="0.3">
      <c r="A61" s="31" t="s">
        <v>220</v>
      </c>
      <c r="B61" s="5">
        <v>49</v>
      </c>
      <c r="D61" s="5">
        <v>4</v>
      </c>
      <c r="E61" s="33" t="s">
        <v>221</v>
      </c>
      <c r="F61" s="6" t="s">
        <v>222</v>
      </c>
      <c r="G61" s="26">
        <f t="shared" ref="G61:H61" si="12">+IF(G$4="","",G60+G59+G58+G36)</f>
        <v>559.4</v>
      </c>
      <c r="H61" s="26">
        <f t="shared" si="12"/>
        <v>559.4</v>
      </c>
    </row>
    <row r="62" spans="1:8" x14ac:dyDescent="0.3">
      <c r="A62" s="24" t="s">
        <v>223</v>
      </c>
      <c r="B62" s="5">
        <v>144</v>
      </c>
      <c r="D62" s="5">
        <v>3</v>
      </c>
      <c r="E62" s="25" t="s">
        <v>224</v>
      </c>
      <c r="F62" s="6" t="s">
        <v>225</v>
      </c>
      <c r="G62" s="26">
        <f t="shared" ref="G62:H62" si="13">+G61+G28+G21</f>
        <v>2507503.7399999998</v>
      </c>
      <c r="H62" s="26">
        <f t="shared" si="13"/>
        <v>2344189.2099999995</v>
      </c>
    </row>
    <row r="63" spans="1:8" ht="18" customHeight="1" x14ac:dyDescent="0.3">
      <c r="A63" s="20" t="s">
        <v>226</v>
      </c>
      <c r="D63" s="5">
        <v>2</v>
      </c>
      <c r="E63" s="21" t="s">
        <v>227</v>
      </c>
      <c r="F63" s="6" t="s">
        <v>228</v>
      </c>
      <c r="G63" s="28" t="s">
        <v>87</v>
      </c>
      <c r="H63" s="28" t="s">
        <v>87</v>
      </c>
    </row>
    <row r="64" spans="1:8" ht="18" customHeight="1" x14ac:dyDescent="0.3">
      <c r="A64" s="27" t="s">
        <v>229</v>
      </c>
      <c r="D64" s="5">
        <v>3</v>
      </c>
      <c r="E64" s="27" t="s">
        <v>230</v>
      </c>
      <c r="F64" s="6" t="s">
        <v>231</v>
      </c>
      <c r="G64" s="28" t="s">
        <v>87</v>
      </c>
      <c r="H64" s="28" t="s">
        <v>87</v>
      </c>
    </row>
    <row r="65" spans="1:9" x14ac:dyDescent="0.3">
      <c r="A65" s="29" t="s">
        <v>232</v>
      </c>
      <c r="B65" s="5">
        <v>8</v>
      </c>
      <c r="D65" s="5">
        <v>4</v>
      </c>
      <c r="E65" s="30" t="s">
        <v>233</v>
      </c>
      <c r="F65" s="6" t="s">
        <v>234</v>
      </c>
      <c r="G65" s="193">
        <v>0</v>
      </c>
      <c r="H65" s="193">
        <v>0</v>
      </c>
    </row>
    <row r="66" spans="1:9" x14ac:dyDescent="0.3">
      <c r="A66" s="29" t="s">
        <v>235</v>
      </c>
      <c r="B66" s="5">
        <v>8</v>
      </c>
      <c r="D66" s="5">
        <v>4</v>
      </c>
      <c r="E66" s="30" t="s">
        <v>236</v>
      </c>
      <c r="F66" s="6" t="s">
        <v>237</v>
      </c>
      <c r="G66" s="193">
        <v>0</v>
      </c>
      <c r="H66" s="193">
        <v>0</v>
      </c>
    </row>
    <row r="67" spans="1:9" x14ac:dyDescent="0.3">
      <c r="A67" s="29" t="s">
        <v>238</v>
      </c>
      <c r="B67" s="5">
        <v>8</v>
      </c>
      <c r="D67" s="5">
        <v>4</v>
      </c>
      <c r="E67" s="30" t="s">
        <v>239</v>
      </c>
      <c r="F67" s="6" t="s">
        <v>240</v>
      </c>
      <c r="G67" s="193">
        <v>0</v>
      </c>
      <c r="H67" s="193">
        <v>0</v>
      </c>
    </row>
    <row r="68" spans="1:9" x14ac:dyDescent="0.3">
      <c r="A68" s="29" t="s">
        <v>241</v>
      </c>
      <c r="B68" s="5">
        <v>8</v>
      </c>
      <c r="D68" s="5">
        <v>4</v>
      </c>
      <c r="E68" s="30" t="s">
        <v>242</v>
      </c>
      <c r="F68" s="6" t="s">
        <v>243</v>
      </c>
      <c r="G68" s="193">
        <v>251685.3</v>
      </c>
      <c r="H68" s="193">
        <v>207969.09</v>
      </c>
    </row>
    <row r="69" spans="1:9" x14ac:dyDescent="0.3">
      <c r="A69" s="29" t="s">
        <v>244</v>
      </c>
      <c r="B69" s="5">
        <v>8</v>
      </c>
      <c r="D69" s="5">
        <v>4</v>
      </c>
      <c r="E69" s="30" t="s">
        <v>245</v>
      </c>
      <c r="F69" s="6" t="s">
        <v>246</v>
      </c>
      <c r="G69" s="193">
        <v>0</v>
      </c>
      <c r="H69" s="193">
        <v>0</v>
      </c>
    </row>
    <row r="70" spans="1:9" x14ac:dyDescent="0.3">
      <c r="A70" s="31" t="s">
        <v>247</v>
      </c>
      <c r="B70" s="5">
        <v>40</v>
      </c>
      <c r="D70" s="5">
        <v>4</v>
      </c>
      <c r="E70" s="33" t="s">
        <v>248</v>
      </c>
      <c r="F70" s="6" t="s">
        <v>249</v>
      </c>
      <c r="G70" s="26">
        <f>SUM(G65:G69)</f>
        <v>251685.3</v>
      </c>
      <c r="H70" s="26">
        <f>SUM(H65:H69)</f>
        <v>207969.09</v>
      </c>
    </row>
    <row r="71" spans="1:9" ht="18" customHeight="1" x14ac:dyDescent="0.3">
      <c r="A71" s="27" t="s">
        <v>250</v>
      </c>
      <c r="D71" s="5">
        <v>3</v>
      </c>
      <c r="E71" s="27" t="s">
        <v>251</v>
      </c>
      <c r="F71" s="6" t="s">
        <v>252</v>
      </c>
      <c r="G71" s="28" t="s">
        <v>87</v>
      </c>
      <c r="H71" s="28" t="s">
        <v>87</v>
      </c>
    </row>
    <row r="72" spans="1:9" ht="18" customHeight="1" x14ac:dyDescent="0.3">
      <c r="A72" s="29" t="s">
        <v>253</v>
      </c>
      <c r="D72" s="5">
        <v>4</v>
      </c>
      <c r="E72" s="30" t="s">
        <v>254</v>
      </c>
      <c r="F72" s="6" t="s">
        <v>255</v>
      </c>
      <c r="G72" s="28"/>
      <c r="H72" s="28" t="s">
        <v>87</v>
      </c>
    </row>
    <row r="73" spans="1:9" x14ac:dyDescent="0.3">
      <c r="A73" s="39" t="s">
        <v>180</v>
      </c>
      <c r="B73" s="5">
        <v>2</v>
      </c>
      <c r="D73" s="5">
        <v>5</v>
      </c>
      <c r="E73" s="35" t="s">
        <v>181</v>
      </c>
      <c r="F73" s="6" t="s">
        <v>256</v>
      </c>
      <c r="G73" s="193">
        <v>282914.26</v>
      </c>
      <c r="H73" s="193">
        <v>343762.73</v>
      </c>
    </row>
    <row r="74" spans="1:9" x14ac:dyDescent="0.3">
      <c r="A74" s="39" t="s">
        <v>183</v>
      </c>
      <c r="B74" s="5">
        <v>3</v>
      </c>
      <c r="D74" s="5">
        <v>5</v>
      </c>
      <c r="E74" s="35" t="s">
        <v>184</v>
      </c>
      <c r="F74" s="6" t="s">
        <v>257</v>
      </c>
      <c r="G74" s="193">
        <v>0</v>
      </c>
      <c r="H74" s="193">
        <v>0</v>
      </c>
      <c r="I74" s="45"/>
    </row>
    <row r="75" spans="1:9" x14ac:dyDescent="0.3">
      <c r="A75" s="31" t="s">
        <v>258</v>
      </c>
      <c r="B75" s="5">
        <v>5</v>
      </c>
      <c r="D75" s="5">
        <v>5</v>
      </c>
      <c r="E75" s="35" t="s">
        <v>259</v>
      </c>
      <c r="F75" s="6" t="s">
        <v>260</v>
      </c>
      <c r="G75" s="26">
        <f>SUM(G73:G74)</f>
        <v>282914.26</v>
      </c>
      <c r="H75" s="26">
        <f>SUM(H73:H74)</f>
        <v>343762.73</v>
      </c>
    </row>
    <row r="76" spans="1:9" ht="18" customHeight="1" x14ac:dyDescent="0.3">
      <c r="A76" s="29" t="s">
        <v>261</v>
      </c>
      <c r="D76" s="5">
        <v>4</v>
      </c>
      <c r="E76" s="30" t="s">
        <v>262</v>
      </c>
      <c r="F76" s="6" t="s">
        <v>263</v>
      </c>
      <c r="G76" s="28" t="s">
        <v>87</v>
      </c>
      <c r="H76" s="28" t="s">
        <v>87</v>
      </c>
    </row>
    <row r="77" spans="1:9" x14ac:dyDescent="0.3">
      <c r="A77" s="39" t="s">
        <v>180</v>
      </c>
      <c r="B77" s="5">
        <v>2</v>
      </c>
      <c r="D77" s="5">
        <v>5</v>
      </c>
      <c r="E77" s="35" t="s">
        <v>181</v>
      </c>
      <c r="F77" s="6" t="s">
        <v>264</v>
      </c>
      <c r="G77" s="193">
        <v>0</v>
      </c>
      <c r="H77" s="193">
        <v>0</v>
      </c>
    </row>
    <row r="78" spans="1:9" x14ac:dyDescent="0.3">
      <c r="A78" s="39" t="s">
        <v>183</v>
      </c>
      <c r="B78" s="5">
        <v>3</v>
      </c>
      <c r="D78" s="5">
        <v>5</v>
      </c>
      <c r="E78" s="35" t="s">
        <v>184</v>
      </c>
      <c r="F78" s="6" t="s">
        <v>265</v>
      </c>
      <c r="G78" s="193">
        <v>0</v>
      </c>
      <c r="H78" s="193">
        <v>0</v>
      </c>
    </row>
    <row r="79" spans="1:9" x14ac:dyDescent="0.3">
      <c r="A79" s="31" t="s">
        <v>186</v>
      </c>
      <c r="B79" s="5">
        <v>5</v>
      </c>
      <c r="D79" s="5">
        <v>5</v>
      </c>
      <c r="E79" s="35" t="s">
        <v>187</v>
      </c>
      <c r="F79" s="6" t="s">
        <v>266</v>
      </c>
      <c r="G79" s="26">
        <f>SUM(G77:G78)</f>
        <v>0</v>
      </c>
      <c r="H79" s="26">
        <f>SUM(H77:H78)</f>
        <v>0</v>
      </c>
    </row>
    <row r="80" spans="1:9" ht="18" customHeight="1" x14ac:dyDescent="0.3">
      <c r="A80" s="29" t="s">
        <v>267</v>
      </c>
      <c r="D80" s="5">
        <v>4</v>
      </c>
      <c r="E80" s="30" t="s">
        <v>268</v>
      </c>
      <c r="F80" s="6" t="s">
        <v>269</v>
      </c>
      <c r="G80" s="28" t="s">
        <v>87</v>
      </c>
      <c r="H80" s="28" t="s">
        <v>87</v>
      </c>
    </row>
    <row r="81" spans="1:8" x14ac:dyDescent="0.3">
      <c r="A81" s="39" t="s">
        <v>180</v>
      </c>
      <c r="B81" s="5">
        <v>2</v>
      </c>
      <c r="D81" s="5">
        <v>5</v>
      </c>
      <c r="E81" s="35" t="s">
        <v>181</v>
      </c>
      <c r="F81" s="6" t="s">
        <v>270</v>
      </c>
      <c r="G81" s="193">
        <v>0</v>
      </c>
      <c r="H81" s="193">
        <v>0</v>
      </c>
    </row>
    <row r="82" spans="1:8" x14ac:dyDescent="0.3">
      <c r="A82" s="39" t="s">
        <v>183</v>
      </c>
      <c r="B82" s="5">
        <v>3</v>
      </c>
      <c r="D82" s="5">
        <v>5</v>
      </c>
      <c r="E82" s="35" t="s">
        <v>184</v>
      </c>
      <c r="F82" s="6" t="s">
        <v>271</v>
      </c>
      <c r="G82" s="193">
        <v>0</v>
      </c>
      <c r="H82" s="193">
        <v>0</v>
      </c>
    </row>
    <row r="83" spans="1:8" x14ac:dyDescent="0.3">
      <c r="A83" s="31" t="s">
        <v>193</v>
      </c>
      <c r="B83" s="5">
        <v>5</v>
      </c>
      <c r="D83" s="5">
        <v>5</v>
      </c>
      <c r="E83" s="35" t="s">
        <v>194</v>
      </c>
      <c r="F83" s="6" t="s">
        <v>272</v>
      </c>
      <c r="G83" s="26">
        <f>SUM(G81:G82)</f>
        <v>0</v>
      </c>
      <c r="H83" s="26">
        <f>SUM(H81:H82)</f>
        <v>0</v>
      </c>
    </row>
    <row r="84" spans="1:8" ht="18" customHeight="1" x14ac:dyDescent="0.3">
      <c r="A84" s="29" t="s">
        <v>273</v>
      </c>
      <c r="D84" s="5">
        <v>4</v>
      </c>
      <c r="E84" s="30" t="s">
        <v>274</v>
      </c>
      <c r="F84" s="6" t="s">
        <v>275</v>
      </c>
      <c r="G84" s="28" t="s">
        <v>87</v>
      </c>
      <c r="H84" s="28" t="s">
        <v>87</v>
      </c>
    </row>
    <row r="85" spans="1:8" x14ac:dyDescent="0.3">
      <c r="A85" s="39" t="s">
        <v>180</v>
      </c>
      <c r="B85" s="5">
        <v>2</v>
      </c>
      <c r="D85" s="5">
        <v>5</v>
      </c>
      <c r="E85" s="35" t="s">
        <v>181</v>
      </c>
      <c r="F85" s="6" t="s">
        <v>276</v>
      </c>
      <c r="G85" s="193">
        <v>0</v>
      </c>
      <c r="H85" s="193">
        <v>0</v>
      </c>
    </row>
    <row r="86" spans="1:8" x14ac:dyDescent="0.3">
      <c r="A86" s="39" t="s">
        <v>183</v>
      </c>
      <c r="B86" s="5">
        <v>3</v>
      </c>
      <c r="D86" s="5">
        <v>5</v>
      </c>
      <c r="E86" s="35" t="s">
        <v>184</v>
      </c>
      <c r="F86" s="6" t="s">
        <v>277</v>
      </c>
      <c r="G86" s="193">
        <v>0</v>
      </c>
      <c r="H86" s="193">
        <v>0</v>
      </c>
    </row>
    <row r="87" spans="1:8" x14ac:dyDescent="0.3">
      <c r="A87" s="31" t="s">
        <v>200</v>
      </c>
      <c r="B87" s="5">
        <v>5</v>
      </c>
      <c r="D87" s="5">
        <v>5</v>
      </c>
      <c r="E87" s="35" t="s">
        <v>201</v>
      </c>
      <c r="F87" s="6" t="s">
        <v>278</v>
      </c>
      <c r="G87" s="26">
        <f>SUM(G85:G86)</f>
        <v>0</v>
      </c>
      <c r="H87" s="26">
        <f>SUM(H85:H86)</f>
        <v>0</v>
      </c>
    </row>
    <row r="88" spans="1:8" x14ac:dyDescent="0.3">
      <c r="A88" s="77" t="s">
        <v>279</v>
      </c>
      <c r="D88" s="5">
        <v>4</v>
      </c>
      <c r="E88" s="30" t="s">
        <v>274</v>
      </c>
      <c r="F88" s="6" t="s">
        <v>275</v>
      </c>
      <c r="G88" s="28" t="s">
        <v>87</v>
      </c>
      <c r="H88" s="28" t="s">
        <v>87</v>
      </c>
    </row>
    <row r="89" spans="1:8" x14ac:dyDescent="0.3">
      <c r="A89" s="39" t="s">
        <v>180</v>
      </c>
      <c r="B89" s="5">
        <v>2</v>
      </c>
      <c r="D89" s="5">
        <v>5</v>
      </c>
      <c r="E89" s="35" t="s">
        <v>181</v>
      </c>
      <c r="F89" s="6" t="s">
        <v>276</v>
      </c>
      <c r="G89" s="193">
        <v>0</v>
      </c>
      <c r="H89" s="193">
        <v>0</v>
      </c>
    </row>
    <row r="90" spans="1:8" x14ac:dyDescent="0.3">
      <c r="A90" s="39" t="s">
        <v>183</v>
      </c>
      <c r="B90" s="5">
        <v>3</v>
      </c>
      <c r="D90" s="5">
        <v>5</v>
      </c>
      <c r="E90" s="35" t="s">
        <v>184</v>
      </c>
      <c r="F90" s="6" t="s">
        <v>277</v>
      </c>
      <c r="G90" s="193">
        <v>0</v>
      </c>
      <c r="H90" s="193">
        <v>0</v>
      </c>
    </row>
    <row r="91" spans="1:8" x14ac:dyDescent="0.3">
      <c r="A91" s="79" t="s">
        <v>206</v>
      </c>
      <c r="B91" s="5">
        <v>5</v>
      </c>
      <c r="D91" s="5">
        <v>5</v>
      </c>
      <c r="E91" s="35" t="s">
        <v>201</v>
      </c>
      <c r="F91" s="6" t="s">
        <v>278</v>
      </c>
      <c r="G91" s="26">
        <f>SUM(G89:G90)</f>
        <v>0</v>
      </c>
      <c r="H91" s="26">
        <f>SUM(H89:H90)</f>
        <v>0</v>
      </c>
    </row>
    <row r="92" spans="1:8" ht="18" customHeight="1" x14ac:dyDescent="0.3">
      <c r="A92" s="29" t="s">
        <v>280</v>
      </c>
      <c r="D92" s="5">
        <v>4</v>
      </c>
      <c r="E92" s="30" t="s">
        <v>281</v>
      </c>
      <c r="F92" s="6" t="s">
        <v>282</v>
      </c>
      <c r="G92" s="28" t="s">
        <v>87</v>
      </c>
      <c r="H92" s="28" t="s">
        <v>87</v>
      </c>
    </row>
    <row r="93" spans="1:8" x14ac:dyDescent="0.3">
      <c r="A93" s="39" t="s">
        <v>180</v>
      </c>
      <c r="B93" s="5">
        <v>2</v>
      </c>
      <c r="D93" s="5">
        <v>5</v>
      </c>
      <c r="E93" s="35" t="s">
        <v>181</v>
      </c>
      <c r="F93" s="6" t="s">
        <v>283</v>
      </c>
      <c r="G93" s="193">
        <v>-17268.150000000001</v>
      </c>
      <c r="H93" s="193">
        <v>17779.009999999998</v>
      </c>
    </row>
    <row r="94" spans="1:8" x14ac:dyDescent="0.3">
      <c r="A94" s="39" t="s">
        <v>183</v>
      </c>
      <c r="B94" s="5">
        <v>3</v>
      </c>
      <c r="D94" s="5">
        <v>5</v>
      </c>
      <c r="E94" s="35" t="s">
        <v>184</v>
      </c>
      <c r="F94" s="6" t="s">
        <v>284</v>
      </c>
      <c r="G94" s="193">
        <v>0</v>
      </c>
      <c r="H94" s="193">
        <v>0</v>
      </c>
    </row>
    <row r="95" spans="1:8" x14ac:dyDescent="0.3">
      <c r="A95" s="31" t="s">
        <v>285</v>
      </c>
      <c r="B95" s="5">
        <v>5</v>
      </c>
      <c r="D95" s="5">
        <v>5</v>
      </c>
      <c r="E95" s="35" t="s">
        <v>286</v>
      </c>
      <c r="F95" s="6" t="s">
        <v>287</v>
      </c>
      <c r="G95" s="26">
        <f>SUM(G93:G94)</f>
        <v>-17268.150000000001</v>
      </c>
      <c r="H95" s="26">
        <f>SUM(H93:H94)</f>
        <v>17779.009999999998</v>
      </c>
    </row>
    <row r="96" spans="1:8" ht="18" customHeight="1" x14ac:dyDescent="0.3">
      <c r="A96" s="29" t="s">
        <v>288</v>
      </c>
      <c r="D96" s="5">
        <v>4</v>
      </c>
      <c r="E96" s="30" t="s">
        <v>289</v>
      </c>
      <c r="F96" s="6" t="s">
        <v>290</v>
      </c>
      <c r="G96" s="28" t="s">
        <v>87</v>
      </c>
      <c r="H96" s="28" t="s">
        <v>87</v>
      </c>
    </row>
    <row r="97" spans="1:8" x14ac:dyDescent="0.3">
      <c r="A97" s="39" t="s">
        <v>180</v>
      </c>
      <c r="B97" s="5">
        <v>2</v>
      </c>
      <c r="D97" s="5">
        <v>5</v>
      </c>
      <c r="E97" s="35" t="s">
        <v>181</v>
      </c>
      <c r="F97" s="6" t="s">
        <v>291</v>
      </c>
      <c r="G97" s="193">
        <v>3713.38</v>
      </c>
      <c r="H97" s="193">
        <v>2837.27</v>
      </c>
    </row>
    <row r="98" spans="1:8" x14ac:dyDescent="0.3">
      <c r="A98" s="39" t="s">
        <v>183</v>
      </c>
      <c r="B98" s="5">
        <v>3</v>
      </c>
      <c r="D98" s="5">
        <v>5</v>
      </c>
      <c r="E98" s="35" t="s">
        <v>184</v>
      </c>
      <c r="F98" s="6" t="s">
        <v>292</v>
      </c>
      <c r="G98" s="193">
        <v>0</v>
      </c>
      <c r="H98" s="193">
        <v>0</v>
      </c>
    </row>
    <row r="99" spans="1:8" x14ac:dyDescent="0.3">
      <c r="A99" s="31" t="s">
        <v>293</v>
      </c>
      <c r="B99" s="5">
        <v>5</v>
      </c>
      <c r="D99" s="5">
        <v>5</v>
      </c>
      <c r="E99" s="35" t="s">
        <v>294</v>
      </c>
      <c r="F99" s="6" t="s">
        <v>295</v>
      </c>
      <c r="G99" s="26">
        <f>SUM(G97:G98)</f>
        <v>3713.38</v>
      </c>
      <c r="H99" s="26">
        <f>SUM(H97:H98)</f>
        <v>2837.27</v>
      </c>
    </row>
    <row r="100" spans="1:8" ht="18.75" customHeight="1" x14ac:dyDescent="0.3">
      <c r="A100" s="29" t="s">
        <v>296</v>
      </c>
      <c r="D100" s="5">
        <v>4</v>
      </c>
      <c r="E100" s="30" t="s">
        <v>297</v>
      </c>
      <c r="F100" s="6" t="s">
        <v>298</v>
      </c>
      <c r="G100" s="28" t="s">
        <v>87</v>
      </c>
      <c r="H100" s="28" t="s">
        <v>87</v>
      </c>
    </row>
    <row r="101" spans="1:8" x14ac:dyDescent="0.3">
      <c r="A101" s="39" t="s">
        <v>180</v>
      </c>
      <c r="B101" s="5">
        <v>2</v>
      </c>
      <c r="D101" s="5">
        <v>5</v>
      </c>
      <c r="E101" s="35" t="s">
        <v>181</v>
      </c>
      <c r="F101" s="6" t="s">
        <v>299</v>
      </c>
      <c r="G101" s="193">
        <v>90928.05</v>
      </c>
      <c r="H101" s="193">
        <v>82235.600000000006</v>
      </c>
    </row>
    <row r="102" spans="1:8" x14ac:dyDescent="0.3">
      <c r="A102" s="39" t="s">
        <v>183</v>
      </c>
      <c r="B102" s="5">
        <v>3</v>
      </c>
      <c r="D102" s="5">
        <v>5</v>
      </c>
      <c r="E102" s="35" t="s">
        <v>184</v>
      </c>
      <c r="F102" s="6" t="s">
        <v>300</v>
      </c>
      <c r="G102" s="193">
        <v>0</v>
      </c>
      <c r="H102" s="193">
        <v>0</v>
      </c>
    </row>
    <row r="103" spans="1:8" x14ac:dyDescent="0.3">
      <c r="A103" s="31" t="s">
        <v>210</v>
      </c>
      <c r="B103" s="5">
        <v>5</v>
      </c>
      <c r="D103" s="5">
        <v>5</v>
      </c>
      <c r="E103" s="35" t="s">
        <v>207</v>
      </c>
      <c r="F103" s="6" t="s">
        <v>301</v>
      </c>
      <c r="G103" s="26">
        <f>SUM(G101:G102)</f>
        <v>90928.05</v>
      </c>
      <c r="H103" s="26">
        <f>SUM(H101:H102)</f>
        <v>82235.600000000006</v>
      </c>
    </row>
    <row r="104" spans="1:8" x14ac:dyDescent="0.3">
      <c r="A104" s="31" t="s">
        <v>211</v>
      </c>
      <c r="B104" s="5">
        <v>35</v>
      </c>
      <c r="D104" s="5">
        <v>4</v>
      </c>
      <c r="E104" s="33" t="s">
        <v>212</v>
      </c>
      <c r="F104" s="6" t="s">
        <v>302</v>
      </c>
      <c r="G104" s="26">
        <f>+G103+G99+G95+G87+G83+G79+G75+G91</f>
        <v>360287.54000000004</v>
      </c>
      <c r="H104" s="26">
        <f t="shared" ref="H104" si="14">+H103+H99+H95+H87+H83+H79+H75+H91</f>
        <v>446614.61</v>
      </c>
    </row>
    <row r="105" spans="1:8" ht="18" customHeight="1" x14ac:dyDescent="0.3">
      <c r="A105" s="27" t="s">
        <v>303</v>
      </c>
      <c r="D105" s="5">
        <v>3</v>
      </c>
      <c r="E105" s="27" t="s">
        <v>304</v>
      </c>
      <c r="F105" s="6" t="s">
        <v>305</v>
      </c>
      <c r="G105" s="28"/>
      <c r="H105" s="28" t="s">
        <v>87</v>
      </c>
    </row>
    <row r="106" spans="1:8" x14ac:dyDescent="0.3">
      <c r="A106" s="29" t="s">
        <v>306</v>
      </c>
      <c r="B106" s="5">
        <v>3</v>
      </c>
      <c r="D106" s="5">
        <v>4</v>
      </c>
      <c r="E106" s="30" t="s">
        <v>307</v>
      </c>
      <c r="F106" s="6" t="s">
        <v>308</v>
      </c>
      <c r="G106" s="193">
        <v>0</v>
      </c>
      <c r="H106" s="193">
        <v>0</v>
      </c>
    </row>
    <row r="107" spans="1:8" x14ac:dyDescent="0.3">
      <c r="A107" s="29" t="s">
        <v>309</v>
      </c>
      <c r="B107" s="5">
        <v>3</v>
      </c>
      <c r="D107" s="5">
        <v>4</v>
      </c>
      <c r="E107" s="30" t="s">
        <v>310</v>
      </c>
      <c r="F107" s="6" t="s">
        <v>311</v>
      </c>
      <c r="G107" s="193">
        <v>0</v>
      </c>
      <c r="H107" s="193">
        <v>0</v>
      </c>
    </row>
    <row r="108" spans="1:8" x14ac:dyDescent="0.3">
      <c r="A108" s="29" t="s">
        <v>312</v>
      </c>
      <c r="B108" s="5">
        <v>3</v>
      </c>
      <c r="D108" s="5">
        <v>4</v>
      </c>
      <c r="E108" s="30" t="s">
        <v>313</v>
      </c>
      <c r="F108" s="6" t="s">
        <v>314</v>
      </c>
      <c r="G108" s="193">
        <v>0</v>
      </c>
      <c r="H108" s="193">
        <v>0</v>
      </c>
    </row>
    <row r="109" spans="1:8" x14ac:dyDescent="0.3">
      <c r="A109" s="77" t="s">
        <v>315</v>
      </c>
      <c r="E109" s="30"/>
      <c r="G109" s="193">
        <v>0</v>
      </c>
      <c r="H109" s="193">
        <v>0</v>
      </c>
    </row>
    <row r="110" spans="1:8" x14ac:dyDescent="0.3">
      <c r="A110" s="29" t="s">
        <v>316</v>
      </c>
      <c r="B110" s="5">
        <v>3</v>
      </c>
      <c r="D110" s="5">
        <v>4</v>
      </c>
      <c r="E110" s="30" t="s">
        <v>317</v>
      </c>
      <c r="F110" s="6" t="s">
        <v>318</v>
      </c>
      <c r="G110" s="193">
        <v>0</v>
      </c>
      <c r="H110" s="193">
        <v>0</v>
      </c>
    </row>
    <row r="111" spans="1:8" x14ac:dyDescent="0.3">
      <c r="A111" s="29" t="s">
        <v>319</v>
      </c>
      <c r="B111" s="5">
        <v>5</v>
      </c>
      <c r="D111" s="5">
        <v>4</v>
      </c>
      <c r="E111" s="30" t="s">
        <v>320</v>
      </c>
      <c r="F111" s="6" t="s">
        <v>321</v>
      </c>
      <c r="G111" s="193">
        <v>0</v>
      </c>
      <c r="H111" s="193">
        <v>0</v>
      </c>
    </row>
    <row r="112" spans="1:8" x14ac:dyDescent="0.3">
      <c r="A112" s="29" t="s">
        <v>322</v>
      </c>
      <c r="B112" s="5">
        <v>3</v>
      </c>
      <c r="D112" s="5">
        <v>4</v>
      </c>
      <c r="E112" s="30" t="s">
        <v>323</v>
      </c>
      <c r="F112" s="6" t="s">
        <v>324</v>
      </c>
      <c r="G112" s="193">
        <v>0</v>
      </c>
      <c r="H112" s="193">
        <v>0</v>
      </c>
    </row>
    <row r="113" spans="1:10" x14ac:dyDescent="0.3">
      <c r="A113" s="31" t="s">
        <v>325</v>
      </c>
      <c r="B113" s="5">
        <v>24</v>
      </c>
      <c r="D113" s="5">
        <v>4</v>
      </c>
      <c r="E113" s="33" t="s">
        <v>326</v>
      </c>
      <c r="F113" s="6" t="s">
        <v>327</v>
      </c>
      <c r="G113" s="26">
        <f>SUM(G106:G112)</f>
        <v>0</v>
      </c>
      <c r="H113" s="26">
        <f>SUM(H106:H112)</f>
        <v>0</v>
      </c>
    </row>
    <row r="114" spans="1:10" ht="18" customHeight="1" x14ac:dyDescent="0.3">
      <c r="A114" s="27" t="s">
        <v>328</v>
      </c>
      <c r="D114" s="5">
        <v>3</v>
      </c>
      <c r="E114" s="27" t="s">
        <v>329</v>
      </c>
      <c r="F114" s="6" t="s">
        <v>330</v>
      </c>
      <c r="G114" s="28" t="s">
        <v>87</v>
      </c>
      <c r="H114" s="28" t="s">
        <v>87</v>
      </c>
    </row>
    <row r="115" spans="1:10" x14ac:dyDescent="0.3">
      <c r="A115" s="29" t="s">
        <v>331</v>
      </c>
      <c r="B115" s="5">
        <v>4</v>
      </c>
      <c r="D115" s="5">
        <v>4</v>
      </c>
      <c r="E115" s="30" t="s">
        <v>332</v>
      </c>
      <c r="F115" s="6" t="s">
        <v>333</v>
      </c>
      <c r="G115" s="193">
        <v>100981.78</v>
      </c>
      <c r="H115" s="193">
        <v>121937.67</v>
      </c>
    </row>
    <row r="116" spans="1:10" x14ac:dyDescent="0.3">
      <c r="A116" s="29" t="s">
        <v>334</v>
      </c>
      <c r="B116" s="5">
        <v>4</v>
      </c>
      <c r="D116" s="5">
        <v>4</v>
      </c>
      <c r="E116" s="30" t="s">
        <v>335</v>
      </c>
      <c r="F116" s="6" t="s">
        <v>336</v>
      </c>
      <c r="G116" s="193">
        <v>0</v>
      </c>
      <c r="H116" s="193">
        <v>14396</v>
      </c>
    </row>
    <row r="117" spans="1:10" x14ac:dyDescent="0.3">
      <c r="A117" s="29" t="s">
        <v>337</v>
      </c>
      <c r="B117" s="5">
        <v>4</v>
      </c>
      <c r="D117" s="5">
        <v>4</v>
      </c>
      <c r="E117" s="30" t="s">
        <v>338</v>
      </c>
      <c r="F117" s="6" t="s">
        <v>339</v>
      </c>
      <c r="G117" s="193">
        <v>1958.71</v>
      </c>
      <c r="H117" s="193">
        <v>1947.47</v>
      </c>
    </row>
    <row r="118" spans="1:10" x14ac:dyDescent="0.3">
      <c r="A118" s="31" t="s">
        <v>340</v>
      </c>
      <c r="B118" s="5">
        <v>12</v>
      </c>
      <c r="D118" s="5">
        <v>4</v>
      </c>
      <c r="E118" s="33" t="s">
        <v>341</v>
      </c>
      <c r="F118" s="6" t="s">
        <v>342</v>
      </c>
      <c r="G118" s="26">
        <f>SUM(G115:G117)</f>
        <v>102940.49</v>
      </c>
      <c r="H118" s="26">
        <f>SUM(H115:H117)</f>
        <v>138281.13999999998</v>
      </c>
    </row>
    <row r="119" spans="1:10" x14ac:dyDescent="0.3">
      <c r="A119" s="24" t="s">
        <v>343</v>
      </c>
      <c r="B119" s="5">
        <v>111</v>
      </c>
      <c r="D119" s="5">
        <v>3</v>
      </c>
      <c r="E119" s="25" t="s">
        <v>344</v>
      </c>
      <c r="F119" s="6" t="s">
        <v>345</v>
      </c>
      <c r="G119" s="38">
        <f>+G118+G113+G104+G70</f>
        <v>714913.33000000007</v>
      </c>
      <c r="H119" s="38">
        <f>+H118+H113+H104+H70</f>
        <v>792864.84</v>
      </c>
    </row>
    <row r="120" spans="1:10" ht="18" customHeight="1" x14ac:dyDescent="0.3">
      <c r="A120" s="20" t="s">
        <v>346</v>
      </c>
      <c r="D120" s="5">
        <v>2</v>
      </c>
      <c r="E120" s="21" t="s">
        <v>347</v>
      </c>
      <c r="F120" s="6" t="s">
        <v>348</v>
      </c>
      <c r="G120" s="28" t="s">
        <v>87</v>
      </c>
      <c r="H120" s="28" t="s">
        <v>87</v>
      </c>
    </row>
    <row r="121" spans="1:10" ht="18" customHeight="1" x14ac:dyDescent="0.3">
      <c r="A121" s="22" t="s">
        <v>349</v>
      </c>
      <c r="B121" s="5">
        <v>43</v>
      </c>
      <c r="D121" s="5">
        <v>3</v>
      </c>
      <c r="E121" s="23" t="s">
        <v>350</v>
      </c>
      <c r="F121" s="6" t="s">
        <v>351</v>
      </c>
      <c r="G121" s="193">
        <v>32927.620000000003</v>
      </c>
      <c r="H121" s="193">
        <v>35964.9</v>
      </c>
    </row>
    <row r="122" spans="1:10" x14ac:dyDescent="0.3">
      <c r="A122" s="22" t="s">
        <v>352</v>
      </c>
      <c r="B122" s="5">
        <v>65</v>
      </c>
      <c r="D122" s="5">
        <v>3</v>
      </c>
      <c r="E122" s="23" t="s">
        <v>353</v>
      </c>
      <c r="F122" s="6" t="s">
        <v>354</v>
      </c>
      <c r="G122" s="193">
        <v>0</v>
      </c>
      <c r="H122" s="193">
        <v>0</v>
      </c>
    </row>
    <row r="123" spans="1:10" x14ac:dyDescent="0.3">
      <c r="A123" s="24" t="s">
        <v>355</v>
      </c>
      <c r="B123" s="5">
        <v>108</v>
      </c>
      <c r="D123" s="5">
        <v>3</v>
      </c>
      <c r="E123" s="25" t="s">
        <v>356</v>
      </c>
      <c r="F123" s="6" t="s">
        <v>357</v>
      </c>
      <c r="G123" s="38">
        <f>SUM(G121:G122)</f>
        <v>32927.620000000003</v>
      </c>
      <c r="H123" s="38">
        <f>SUM(H121:H122)</f>
        <v>35964.9</v>
      </c>
      <c r="J123" s="45">
        <f>+H123+H101+H97+H93+H85+H81+H77+H73-G73-G77-G81-G85-G93-G97-G101-G123</f>
        <v>89364.349999999977</v>
      </c>
    </row>
    <row r="124" spans="1:10" ht="18" customHeight="1" x14ac:dyDescent="0.3">
      <c r="A124" s="19" t="s">
        <v>358</v>
      </c>
      <c r="B124" s="40">
        <v>419</v>
      </c>
      <c r="C124" s="40"/>
      <c r="D124" s="40">
        <v>2</v>
      </c>
      <c r="E124" s="41" t="s">
        <v>359</v>
      </c>
      <c r="F124" s="40" t="s">
        <v>360</v>
      </c>
      <c r="G124" s="42">
        <f>+G123+G119+G62+G11</f>
        <v>3255344.69</v>
      </c>
      <c r="H124" s="42">
        <f>+H123+H119+H62+H11</f>
        <v>3173018.9499999993</v>
      </c>
    </row>
    <row r="125" spans="1:10" ht="18" customHeight="1" x14ac:dyDescent="0.3">
      <c r="A125" s="18" t="s">
        <v>361</v>
      </c>
      <c r="D125" s="5">
        <v>1</v>
      </c>
      <c r="E125" s="19" t="s">
        <v>362</v>
      </c>
      <c r="F125" s="6" t="s">
        <v>361</v>
      </c>
      <c r="G125" s="28" t="s">
        <v>87</v>
      </c>
      <c r="H125" s="28" t="s">
        <v>87</v>
      </c>
    </row>
    <row r="126" spans="1:10" ht="18" customHeight="1" x14ac:dyDescent="0.3">
      <c r="A126" s="20" t="s">
        <v>363</v>
      </c>
      <c r="D126" s="5">
        <v>2</v>
      </c>
      <c r="E126" s="21" t="s">
        <v>364</v>
      </c>
      <c r="F126" s="6" t="s">
        <v>365</v>
      </c>
      <c r="G126" s="28" t="s">
        <v>87</v>
      </c>
      <c r="H126" s="28" t="s">
        <v>87</v>
      </c>
    </row>
    <row r="127" spans="1:10" ht="18" customHeight="1" x14ac:dyDescent="0.3">
      <c r="A127" s="23" t="s">
        <v>366</v>
      </c>
      <c r="B127" s="5">
        <v>12</v>
      </c>
      <c r="D127" s="5">
        <v>3</v>
      </c>
      <c r="E127" s="23" t="s">
        <v>367</v>
      </c>
      <c r="F127" s="6" t="s">
        <v>368</v>
      </c>
      <c r="G127" s="193">
        <v>116000</v>
      </c>
      <c r="H127" s="193">
        <v>116000</v>
      </c>
    </row>
    <row r="128" spans="1:10" x14ac:dyDescent="0.3">
      <c r="A128" s="23" t="s">
        <v>369</v>
      </c>
      <c r="B128" s="5">
        <v>21</v>
      </c>
      <c r="D128" s="5">
        <v>3</v>
      </c>
      <c r="E128" s="23" t="s">
        <v>370</v>
      </c>
      <c r="F128" s="6" t="s">
        <v>371</v>
      </c>
      <c r="G128" s="193">
        <v>0</v>
      </c>
      <c r="H128" s="193">
        <v>0</v>
      </c>
      <c r="J128" s="45" t="e">
        <f>+H128+H129+H130+H131+#REF!+H155+H156+H159+H160-G160-G159-G156-G155-#REF!-G131-G130-G129-G128-G158</f>
        <v>#REF!</v>
      </c>
    </row>
    <row r="129" spans="1:8" x14ac:dyDescent="0.3">
      <c r="A129" s="23" t="s">
        <v>372</v>
      </c>
      <c r="B129" s="5">
        <v>32</v>
      </c>
      <c r="D129" s="5">
        <v>3</v>
      </c>
      <c r="E129" s="23" t="s">
        <v>373</v>
      </c>
      <c r="F129" s="6" t="s">
        <v>374</v>
      </c>
      <c r="G129" s="193">
        <v>0</v>
      </c>
      <c r="H129" s="193">
        <v>0</v>
      </c>
    </row>
    <row r="130" spans="1:8" x14ac:dyDescent="0.3">
      <c r="A130" s="23" t="s">
        <v>375</v>
      </c>
      <c r="B130" s="5">
        <v>43</v>
      </c>
      <c r="D130" s="5">
        <v>3</v>
      </c>
      <c r="E130" s="23" t="s">
        <v>376</v>
      </c>
      <c r="F130" s="6" t="s">
        <v>377</v>
      </c>
      <c r="G130" s="193">
        <v>3119.63</v>
      </c>
      <c r="H130" s="193">
        <v>4534.1499999999996</v>
      </c>
    </row>
    <row r="131" spans="1:8" x14ac:dyDescent="0.3">
      <c r="A131" s="23" t="s">
        <v>378</v>
      </c>
      <c r="B131" s="5">
        <v>45</v>
      </c>
      <c r="D131" s="5">
        <v>3</v>
      </c>
      <c r="E131" s="23" t="s">
        <v>379</v>
      </c>
      <c r="F131" s="6" t="s">
        <v>380</v>
      </c>
      <c r="G131" s="193">
        <v>0</v>
      </c>
      <c r="H131" s="193">
        <v>0</v>
      </c>
    </row>
    <row r="132" spans="1:8" ht="18" customHeight="1" x14ac:dyDescent="0.3">
      <c r="A132" s="23" t="s">
        <v>381</v>
      </c>
      <c r="D132" s="5">
        <v>3</v>
      </c>
      <c r="E132" s="23" t="s">
        <v>382</v>
      </c>
      <c r="F132" s="6" t="s">
        <v>383</v>
      </c>
      <c r="G132" s="42">
        <f>SUM(G133:G147)</f>
        <v>121823.97</v>
      </c>
      <c r="H132" s="42">
        <f>SUM(H133:H147)</f>
        <v>148699.83000000002</v>
      </c>
    </row>
    <row r="133" spans="1:8" x14ac:dyDescent="0.3">
      <c r="A133" s="43" t="s">
        <v>384</v>
      </c>
      <c r="B133" s="5">
        <v>1</v>
      </c>
      <c r="D133" s="5">
        <v>4</v>
      </c>
      <c r="E133" s="30" t="s">
        <v>385</v>
      </c>
      <c r="F133" s="6" t="s">
        <v>386</v>
      </c>
      <c r="G133" s="193">
        <v>21823.97</v>
      </c>
      <c r="H133" s="193">
        <v>48699.83</v>
      </c>
    </row>
    <row r="134" spans="1:8" x14ac:dyDescent="0.3">
      <c r="A134" s="43" t="s">
        <v>387</v>
      </c>
      <c r="B134" s="5">
        <v>1</v>
      </c>
      <c r="D134" s="5">
        <v>4</v>
      </c>
      <c r="E134" s="30" t="s">
        <v>388</v>
      </c>
      <c r="F134" s="6" t="s">
        <v>389</v>
      </c>
      <c r="G134" s="193">
        <v>0</v>
      </c>
      <c r="H134" s="193">
        <v>0</v>
      </c>
    </row>
    <row r="135" spans="1:8" x14ac:dyDescent="0.3">
      <c r="A135" s="43" t="s">
        <v>390</v>
      </c>
      <c r="B135" s="5">
        <v>1</v>
      </c>
      <c r="D135" s="5">
        <v>4</v>
      </c>
      <c r="E135" s="30" t="s">
        <v>391</v>
      </c>
      <c r="F135" s="6" t="s">
        <v>392</v>
      </c>
      <c r="G135" s="193">
        <v>0</v>
      </c>
      <c r="H135" s="193">
        <v>0</v>
      </c>
    </row>
    <row r="136" spans="1:8" x14ac:dyDescent="0.3">
      <c r="A136" s="43" t="s">
        <v>393</v>
      </c>
      <c r="B136" s="5">
        <v>1</v>
      </c>
      <c r="D136" s="5">
        <v>4</v>
      </c>
      <c r="E136" s="30" t="s">
        <v>394</v>
      </c>
      <c r="F136" s="6" t="s">
        <v>395</v>
      </c>
      <c r="G136" s="193">
        <v>0</v>
      </c>
      <c r="H136" s="193">
        <v>0</v>
      </c>
    </row>
    <row r="137" spans="1:8" x14ac:dyDescent="0.3">
      <c r="A137" s="43" t="s">
        <v>396</v>
      </c>
      <c r="B137" s="5">
        <v>1</v>
      </c>
      <c r="D137" s="5">
        <v>4</v>
      </c>
      <c r="E137" s="30" t="s">
        <v>397</v>
      </c>
      <c r="F137" s="6" t="s">
        <v>398</v>
      </c>
      <c r="G137" s="193">
        <v>0</v>
      </c>
      <c r="H137" s="193">
        <v>0</v>
      </c>
    </row>
    <row r="138" spans="1:8" x14ac:dyDescent="0.3">
      <c r="A138" s="43" t="s">
        <v>399</v>
      </c>
      <c r="B138" s="5">
        <v>1</v>
      </c>
      <c r="D138" s="5">
        <v>4</v>
      </c>
      <c r="E138" s="30" t="s">
        <v>400</v>
      </c>
      <c r="F138" s="6" t="s">
        <v>401</v>
      </c>
      <c r="G138" s="193">
        <v>0</v>
      </c>
      <c r="H138" s="193">
        <v>0</v>
      </c>
    </row>
    <row r="139" spans="1:8" x14ac:dyDescent="0.3">
      <c r="A139" s="43" t="s">
        <v>402</v>
      </c>
      <c r="B139" s="5">
        <v>1</v>
      </c>
      <c r="D139" s="5">
        <v>4</v>
      </c>
      <c r="E139" s="30" t="s">
        <v>403</v>
      </c>
      <c r="F139" s="6" t="s">
        <v>404</v>
      </c>
      <c r="G139" s="193">
        <v>0</v>
      </c>
      <c r="H139" s="193">
        <v>0</v>
      </c>
    </row>
    <row r="140" spans="1:8" x14ac:dyDescent="0.3">
      <c r="A140" s="43" t="s">
        <v>405</v>
      </c>
      <c r="B140" s="5">
        <v>1</v>
      </c>
      <c r="D140" s="5">
        <v>4</v>
      </c>
      <c r="E140" s="30" t="s">
        <v>406</v>
      </c>
      <c r="F140" s="6" t="s">
        <v>407</v>
      </c>
      <c r="G140" s="193">
        <v>0</v>
      </c>
      <c r="H140" s="193">
        <v>0</v>
      </c>
    </row>
    <row r="141" spans="1:8" x14ac:dyDescent="0.3">
      <c r="A141" s="43" t="s">
        <v>408</v>
      </c>
      <c r="B141" s="5">
        <v>1</v>
      </c>
      <c r="D141" s="5">
        <v>4</v>
      </c>
      <c r="E141" s="30" t="s">
        <v>409</v>
      </c>
      <c r="F141" s="6" t="s">
        <v>410</v>
      </c>
      <c r="G141" s="193">
        <v>0</v>
      </c>
      <c r="H141" s="193">
        <v>0</v>
      </c>
    </row>
    <row r="142" spans="1:8" x14ac:dyDescent="0.3">
      <c r="A142" s="43" t="s">
        <v>411</v>
      </c>
      <c r="B142" s="5">
        <v>1</v>
      </c>
      <c r="D142" s="5">
        <v>4</v>
      </c>
      <c r="E142" s="30"/>
      <c r="F142" s="6" t="s">
        <v>412</v>
      </c>
      <c r="G142" s="193">
        <v>0</v>
      </c>
      <c r="H142" s="193">
        <v>0</v>
      </c>
    </row>
    <row r="143" spans="1:8" x14ac:dyDescent="0.3">
      <c r="A143" s="43" t="s">
        <v>413</v>
      </c>
      <c r="B143" s="5">
        <v>1</v>
      </c>
      <c r="D143" s="5">
        <v>4</v>
      </c>
      <c r="E143" s="30"/>
      <c r="F143" s="6" t="s">
        <v>414</v>
      </c>
      <c r="G143" s="193">
        <v>0</v>
      </c>
      <c r="H143" s="193">
        <v>0</v>
      </c>
    </row>
    <row r="144" spans="1:8" x14ac:dyDescent="0.3">
      <c r="A144" s="43" t="s">
        <v>415</v>
      </c>
      <c r="B144" s="5">
        <v>1</v>
      </c>
      <c r="D144" s="5">
        <v>4</v>
      </c>
      <c r="E144" s="30" t="s">
        <v>416</v>
      </c>
      <c r="F144" s="6" t="s">
        <v>417</v>
      </c>
      <c r="G144" s="193">
        <v>0</v>
      </c>
      <c r="H144" s="193">
        <v>0</v>
      </c>
    </row>
    <row r="145" spans="1:8" x14ac:dyDescent="0.3">
      <c r="A145" s="43" t="s">
        <v>418</v>
      </c>
      <c r="B145" s="5">
        <v>1</v>
      </c>
      <c r="D145" s="5">
        <v>4</v>
      </c>
      <c r="E145" s="30" t="s">
        <v>419</v>
      </c>
      <c r="F145" s="6" t="s">
        <v>420</v>
      </c>
      <c r="G145" s="193">
        <v>0</v>
      </c>
      <c r="H145" s="193">
        <v>0</v>
      </c>
    </row>
    <row r="146" spans="1:8" x14ac:dyDescent="0.3">
      <c r="A146" s="43" t="s">
        <v>421</v>
      </c>
      <c r="B146" s="5">
        <v>1</v>
      </c>
      <c r="D146" s="5">
        <v>4</v>
      </c>
      <c r="E146" s="30" t="s">
        <v>422</v>
      </c>
      <c r="F146" s="6" t="s">
        <v>423</v>
      </c>
      <c r="G146" s="193">
        <v>0</v>
      </c>
      <c r="H146" s="193">
        <v>0</v>
      </c>
    </row>
    <row r="147" spans="1:8" x14ac:dyDescent="0.3">
      <c r="A147" s="43" t="s">
        <v>1071</v>
      </c>
      <c r="B147" s="5">
        <v>1</v>
      </c>
      <c r="D147" s="5">
        <v>4</v>
      </c>
      <c r="E147" s="30" t="s">
        <v>424</v>
      </c>
      <c r="F147" s="6" t="s">
        <v>425</v>
      </c>
      <c r="G147" s="193">
        <v>100000</v>
      </c>
      <c r="H147" s="193">
        <v>100000</v>
      </c>
    </row>
    <row r="148" spans="1:8" ht="18" customHeight="1" x14ac:dyDescent="0.3">
      <c r="A148" s="43" t="s">
        <v>426</v>
      </c>
      <c r="D148" s="5">
        <v>4</v>
      </c>
      <c r="E148" s="30" t="s">
        <v>427</v>
      </c>
      <c r="F148" s="6" t="s">
        <v>428</v>
      </c>
      <c r="G148" s="28"/>
      <c r="H148" s="28"/>
    </row>
    <row r="149" spans="1:8" x14ac:dyDescent="0.3">
      <c r="A149" s="34" t="s">
        <v>429</v>
      </c>
      <c r="B149" s="5">
        <v>1</v>
      </c>
      <c r="D149" s="5">
        <v>5</v>
      </c>
      <c r="E149" s="35" t="s">
        <v>430</v>
      </c>
      <c r="F149" s="6" t="s">
        <v>431</v>
      </c>
      <c r="G149" s="193">
        <v>0</v>
      </c>
      <c r="H149" s="193">
        <v>0</v>
      </c>
    </row>
    <row r="150" spans="1:8" x14ac:dyDescent="0.3">
      <c r="A150" s="34" t="s">
        <v>432</v>
      </c>
      <c r="B150" s="5">
        <v>1</v>
      </c>
      <c r="D150" s="5">
        <v>5</v>
      </c>
      <c r="E150" s="35" t="s">
        <v>433</v>
      </c>
      <c r="F150" s="6" t="s">
        <v>434</v>
      </c>
      <c r="G150" s="193">
        <v>0</v>
      </c>
      <c r="H150" s="193">
        <v>0</v>
      </c>
    </row>
    <row r="151" spans="1:8" x14ac:dyDescent="0.3">
      <c r="A151" s="34" t="s">
        <v>435</v>
      </c>
      <c r="B151" s="5">
        <v>1</v>
      </c>
      <c r="D151" s="5">
        <v>5</v>
      </c>
      <c r="E151" s="35" t="s">
        <v>436</v>
      </c>
      <c r="F151" s="6" t="s">
        <v>437</v>
      </c>
      <c r="G151" s="193">
        <v>0</v>
      </c>
      <c r="H151" s="193">
        <v>0</v>
      </c>
    </row>
    <row r="152" spans="1:8" x14ac:dyDescent="0.3">
      <c r="A152" s="34" t="s">
        <v>438</v>
      </c>
      <c r="B152" s="5">
        <v>1</v>
      </c>
      <c r="D152" s="5">
        <v>5</v>
      </c>
      <c r="E152" s="35"/>
      <c r="F152" s="6" t="s">
        <v>439</v>
      </c>
      <c r="G152" s="193">
        <v>0</v>
      </c>
      <c r="H152" s="193">
        <v>0</v>
      </c>
    </row>
    <row r="153" spans="1:8" x14ac:dyDescent="0.3">
      <c r="A153" s="31" t="s">
        <v>440</v>
      </c>
      <c r="B153" s="5">
        <v>4</v>
      </c>
      <c r="D153" s="5">
        <v>5</v>
      </c>
      <c r="E153" s="35" t="s">
        <v>441</v>
      </c>
      <c r="F153" s="6" t="s">
        <v>442</v>
      </c>
      <c r="G153" s="42">
        <f>SUM(G149:G152)</f>
        <v>0</v>
      </c>
      <c r="H153" s="42">
        <f>SUM(H149:H152)</f>
        <v>0</v>
      </c>
    </row>
    <row r="154" spans="1:8" ht="12.75" customHeight="1" x14ac:dyDescent="0.3">
      <c r="A154" s="80" t="s">
        <v>443</v>
      </c>
      <c r="B154" s="5">
        <v>1</v>
      </c>
      <c r="D154" s="5">
        <v>4</v>
      </c>
      <c r="E154" s="30" t="s">
        <v>444</v>
      </c>
      <c r="F154" s="6" t="s">
        <v>445</v>
      </c>
      <c r="G154" s="11">
        <v>0</v>
      </c>
      <c r="H154" s="11">
        <v>0</v>
      </c>
    </row>
    <row r="155" spans="1:8" x14ac:dyDescent="0.3">
      <c r="A155" s="31" t="s">
        <v>446</v>
      </c>
      <c r="B155" s="5">
        <v>20</v>
      </c>
      <c r="D155" s="5">
        <v>4</v>
      </c>
      <c r="E155" s="30" t="s">
        <v>447</v>
      </c>
      <c r="F155" s="6" t="s">
        <v>448</v>
      </c>
      <c r="G155" s="42">
        <f>+G153+G132+G154</f>
        <v>121823.97</v>
      </c>
      <c r="H155" s="42">
        <f t="shared" ref="H155" si="15">+H153+H132+H154</f>
        <v>148699.83000000002</v>
      </c>
    </row>
    <row r="156" spans="1:8" ht="18" customHeight="1" x14ac:dyDescent="0.3">
      <c r="A156" s="23" t="s">
        <v>449</v>
      </c>
      <c r="B156" s="5">
        <v>23</v>
      </c>
      <c r="D156" s="5">
        <v>3</v>
      </c>
      <c r="E156" s="23" t="s">
        <v>450</v>
      </c>
      <c r="F156" s="6" t="s">
        <v>451</v>
      </c>
      <c r="G156" s="193">
        <v>0</v>
      </c>
      <c r="H156" s="193">
        <v>0</v>
      </c>
    </row>
    <row r="157" spans="1:8" ht="18" customHeight="1" x14ac:dyDescent="0.3">
      <c r="A157" s="23" t="s">
        <v>452</v>
      </c>
      <c r="D157" s="5">
        <v>3</v>
      </c>
      <c r="E157" s="23" t="s">
        <v>453</v>
      </c>
      <c r="F157" s="6" t="s">
        <v>454</v>
      </c>
      <c r="G157" s="42"/>
      <c r="H157" s="42"/>
    </row>
    <row r="158" spans="1:8" x14ac:dyDescent="0.3">
      <c r="A158" s="43" t="s">
        <v>455</v>
      </c>
      <c r="B158" s="5">
        <v>10</v>
      </c>
      <c r="D158" s="5">
        <v>4</v>
      </c>
      <c r="E158" s="30" t="s">
        <v>456</v>
      </c>
      <c r="F158" s="6" t="s">
        <v>457</v>
      </c>
      <c r="G158" s="193">
        <v>28290.38</v>
      </c>
      <c r="H158" s="193">
        <v>13588.81</v>
      </c>
    </row>
    <row r="159" spans="1:8" x14ac:dyDescent="0.3">
      <c r="A159" s="43" t="s">
        <v>458</v>
      </c>
      <c r="B159" s="5">
        <v>3</v>
      </c>
      <c r="D159" s="5">
        <v>4</v>
      </c>
      <c r="E159" s="30" t="s">
        <v>459</v>
      </c>
      <c r="F159" s="6" t="s">
        <v>460</v>
      </c>
      <c r="G159" s="193">
        <v>0</v>
      </c>
      <c r="H159" s="193">
        <v>0</v>
      </c>
    </row>
    <row r="160" spans="1:8" x14ac:dyDescent="0.3">
      <c r="A160" s="43" t="s">
        <v>461</v>
      </c>
      <c r="B160" s="5">
        <v>6</v>
      </c>
      <c r="D160" s="5">
        <v>4</v>
      </c>
      <c r="E160" s="30" t="s">
        <v>462</v>
      </c>
      <c r="F160" s="6" t="s">
        <v>463</v>
      </c>
      <c r="G160" s="193">
        <v>0</v>
      </c>
      <c r="H160" s="193">
        <v>0</v>
      </c>
    </row>
    <row r="161" spans="1:8" x14ac:dyDescent="0.3">
      <c r="A161" s="31" t="s">
        <v>464</v>
      </c>
      <c r="B161" s="5">
        <v>13</v>
      </c>
      <c r="D161" s="5">
        <v>4</v>
      </c>
      <c r="E161" s="30" t="s">
        <v>465</v>
      </c>
      <c r="F161" s="6" t="s">
        <v>466</v>
      </c>
      <c r="G161" s="42">
        <f>SUM(G158:G160)</f>
        <v>28290.38</v>
      </c>
      <c r="H161" s="42">
        <f>SUM(H158:H160)</f>
        <v>13588.81</v>
      </c>
    </row>
    <row r="162" spans="1:8" x14ac:dyDescent="0.3">
      <c r="A162" s="80" t="s">
        <v>467</v>
      </c>
      <c r="E162" s="30"/>
      <c r="G162" s="193">
        <v>0</v>
      </c>
      <c r="H162" s="193">
        <v>0</v>
      </c>
    </row>
    <row r="163" spans="1:8" ht="18" customHeight="1" x14ac:dyDescent="0.3">
      <c r="A163" s="24" t="s">
        <v>468</v>
      </c>
      <c r="B163" s="5">
        <v>242</v>
      </c>
      <c r="D163" s="5">
        <v>3</v>
      </c>
      <c r="E163" s="25" t="s">
        <v>469</v>
      </c>
      <c r="F163" s="6" t="s">
        <v>470</v>
      </c>
      <c r="G163" s="38">
        <f>+G161+G156+G155+G131+G130+G129+G128+G127+G162</f>
        <v>269233.98</v>
      </c>
      <c r="H163" s="38">
        <f t="shared" ref="H163" si="16">+H161+H156+H155+H131+H130+H129+H128+H127+H162</f>
        <v>282822.79000000004</v>
      </c>
    </row>
    <row r="164" spans="1:8" ht="18" customHeight="1" x14ac:dyDescent="0.3">
      <c r="A164" s="20" t="s">
        <v>471</v>
      </c>
      <c r="D164" s="5">
        <v>2</v>
      </c>
      <c r="E164" s="21" t="s">
        <v>472</v>
      </c>
      <c r="F164" s="6" t="s">
        <v>473</v>
      </c>
      <c r="G164" s="28" t="s">
        <v>87</v>
      </c>
      <c r="H164" s="28" t="s">
        <v>87</v>
      </c>
    </row>
    <row r="165" spans="1:8" x14ac:dyDescent="0.3">
      <c r="A165" s="23" t="s">
        <v>474</v>
      </c>
      <c r="B165" s="5">
        <v>1</v>
      </c>
      <c r="D165" s="5">
        <v>3</v>
      </c>
      <c r="E165" s="23" t="s">
        <v>475</v>
      </c>
      <c r="F165" s="6" t="s">
        <v>476</v>
      </c>
      <c r="G165" s="193">
        <v>0</v>
      </c>
      <c r="H165" s="193">
        <v>0</v>
      </c>
    </row>
    <row r="166" spans="1:8" x14ac:dyDescent="0.3">
      <c r="A166" s="23" t="s">
        <v>477</v>
      </c>
      <c r="B166" s="5">
        <v>1</v>
      </c>
      <c r="D166" s="5">
        <v>3</v>
      </c>
      <c r="E166" s="23" t="s">
        <v>478</v>
      </c>
      <c r="F166" s="6" t="s">
        <v>479</v>
      </c>
      <c r="G166" s="193">
        <v>6472.41</v>
      </c>
      <c r="H166" s="193">
        <v>0</v>
      </c>
    </row>
    <row r="167" spans="1:8" x14ac:dyDescent="0.3">
      <c r="A167" s="80" t="s">
        <v>480</v>
      </c>
      <c r="E167" s="23"/>
      <c r="G167" s="193">
        <v>0</v>
      </c>
      <c r="H167" s="193">
        <v>0</v>
      </c>
    </row>
    <row r="168" spans="1:8" x14ac:dyDescent="0.3">
      <c r="A168" s="23" t="s">
        <v>481</v>
      </c>
      <c r="B168" s="5">
        <v>1</v>
      </c>
      <c r="D168" s="5">
        <v>3</v>
      </c>
      <c r="E168" s="23" t="s">
        <v>482</v>
      </c>
      <c r="F168" s="6" t="s">
        <v>483</v>
      </c>
      <c r="G168" s="193">
        <v>1900</v>
      </c>
      <c r="H168" s="193">
        <v>0</v>
      </c>
    </row>
    <row r="169" spans="1:8" x14ac:dyDescent="0.3">
      <c r="A169" s="24" t="s">
        <v>484</v>
      </c>
      <c r="B169" s="5">
        <v>3</v>
      </c>
      <c r="D169" s="5">
        <v>3</v>
      </c>
      <c r="E169" s="25" t="s">
        <v>485</v>
      </c>
      <c r="F169" s="6" t="s">
        <v>486</v>
      </c>
      <c r="G169" s="42">
        <f>SUM(G165:G168)</f>
        <v>8372.41</v>
      </c>
      <c r="H169" s="42">
        <f>SUM(H165:H168)</f>
        <v>0</v>
      </c>
    </row>
    <row r="170" spans="1:8" ht="18" customHeight="1" x14ac:dyDescent="0.3">
      <c r="A170" s="20" t="s">
        <v>487</v>
      </c>
      <c r="B170" s="5">
        <v>34</v>
      </c>
      <c r="D170" s="5">
        <v>2</v>
      </c>
      <c r="E170" s="21" t="s">
        <v>488</v>
      </c>
      <c r="F170" s="6" t="s">
        <v>489</v>
      </c>
      <c r="G170" s="193">
        <v>90003.75</v>
      </c>
      <c r="H170" s="193">
        <v>35851.199999999997</v>
      </c>
    </row>
    <row r="171" spans="1:8" ht="18" customHeight="1" x14ac:dyDescent="0.3">
      <c r="A171" s="20" t="s">
        <v>490</v>
      </c>
      <c r="D171" s="5">
        <v>2</v>
      </c>
      <c r="E171" s="21" t="s">
        <v>491</v>
      </c>
      <c r="F171" s="6" t="s">
        <v>492</v>
      </c>
      <c r="G171" s="28"/>
      <c r="H171" s="28" t="s">
        <v>87</v>
      </c>
    </row>
    <row r="172" spans="1:8" ht="18" customHeight="1" x14ac:dyDescent="0.3">
      <c r="A172" s="23" t="s">
        <v>493</v>
      </c>
      <c r="D172" s="5">
        <v>3</v>
      </c>
      <c r="E172" s="23" t="s">
        <v>494</v>
      </c>
      <c r="F172" s="6" t="s">
        <v>495</v>
      </c>
      <c r="G172" s="28" t="s">
        <v>87</v>
      </c>
      <c r="H172" s="28" t="s">
        <v>87</v>
      </c>
    </row>
    <row r="173" spans="1:8" x14ac:dyDescent="0.3">
      <c r="A173" s="29" t="s">
        <v>180</v>
      </c>
      <c r="B173" s="5">
        <v>1</v>
      </c>
      <c r="D173" s="5">
        <v>4</v>
      </c>
      <c r="E173" s="30" t="s">
        <v>181</v>
      </c>
      <c r="F173" s="6" t="s">
        <v>496</v>
      </c>
      <c r="G173" s="193">
        <v>0</v>
      </c>
      <c r="H173" s="193">
        <v>0</v>
      </c>
    </row>
    <row r="174" spans="1:8" x14ac:dyDescent="0.3">
      <c r="A174" s="29" t="s">
        <v>183</v>
      </c>
      <c r="B174" s="5">
        <v>1</v>
      </c>
      <c r="D174" s="5">
        <v>4</v>
      </c>
      <c r="E174" s="30" t="s">
        <v>184</v>
      </c>
      <c r="F174" s="6" t="s">
        <v>497</v>
      </c>
      <c r="G174" s="193">
        <v>0</v>
      </c>
      <c r="H174" s="193">
        <v>0</v>
      </c>
    </row>
    <row r="175" spans="1:8" x14ac:dyDescent="0.3">
      <c r="A175" s="31" t="s">
        <v>498</v>
      </c>
      <c r="B175" s="5">
        <v>2</v>
      </c>
      <c r="D175" s="5">
        <v>4</v>
      </c>
      <c r="E175" s="30" t="s">
        <v>499</v>
      </c>
      <c r="F175" s="6" t="s">
        <v>500</v>
      </c>
      <c r="G175" s="42">
        <f>SUM(G173:G174)</f>
        <v>0</v>
      </c>
      <c r="H175" s="42">
        <f>SUM(H173:H174)</f>
        <v>0</v>
      </c>
    </row>
    <row r="176" spans="1:8" ht="17.25" customHeight="1" x14ac:dyDescent="0.3">
      <c r="A176" s="23" t="s">
        <v>501</v>
      </c>
      <c r="D176" s="5">
        <v>3</v>
      </c>
      <c r="E176" s="23" t="s">
        <v>502</v>
      </c>
      <c r="F176" s="6" t="s">
        <v>503</v>
      </c>
      <c r="G176" s="28" t="s">
        <v>87</v>
      </c>
      <c r="H176" s="28" t="s">
        <v>87</v>
      </c>
    </row>
    <row r="177" spans="1:8" x14ac:dyDescent="0.3">
      <c r="A177" s="29" t="s">
        <v>180</v>
      </c>
      <c r="B177" s="5">
        <v>1</v>
      </c>
      <c r="D177" s="5">
        <v>4</v>
      </c>
      <c r="E177" s="30" t="s">
        <v>181</v>
      </c>
      <c r="F177" s="6" t="s">
        <v>504</v>
      </c>
      <c r="G177" s="193">
        <v>0</v>
      </c>
      <c r="H177" s="193">
        <v>0</v>
      </c>
    </row>
    <row r="178" spans="1:8" x14ac:dyDescent="0.3">
      <c r="A178" s="29" t="s">
        <v>183</v>
      </c>
      <c r="B178" s="5">
        <v>1</v>
      </c>
      <c r="D178" s="5">
        <v>4</v>
      </c>
      <c r="E178" s="30" t="s">
        <v>184</v>
      </c>
      <c r="F178" s="6" t="s">
        <v>505</v>
      </c>
      <c r="G178" s="193">
        <v>0</v>
      </c>
      <c r="H178" s="193">
        <v>0</v>
      </c>
    </row>
    <row r="179" spans="1:8" x14ac:dyDescent="0.3">
      <c r="A179" s="31" t="s">
        <v>506</v>
      </c>
      <c r="B179" s="5">
        <v>2</v>
      </c>
      <c r="D179" s="5">
        <v>4</v>
      </c>
      <c r="E179" s="30" t="s">
        <v>507</v>
      </c>
      <c r="F179" s="6" t="s">
        <v>508</v>
      </c>
      <c r="G179" s="42">
        <f>SUM(G177:G178)</f>
        <v>0</v>
      </c>
      <c r="H179" s="42">
        <f>SUM(H177:H178)</f>
        <v>0</v>
      </c>
    </row>
    <row r="180" spans="1:8" ht="18" customHeight="1" x14ac:dyDescent="0.3">
      <c r="A180" s="23" t="s">
        <v>509</v>
      </c>
      <c r="D180" s="5">
        <v>3</v>
      </c>
      <c r="E180" s="23" t="s">
        <v>510</v>
      </c>
      <c r="F180" s="6" t="s">
        <v>511</v>
      </c>
      <c r="G180" s="28" t="s">
        <v>87</v>
      </c>
      <c r="H180" s="28" t="s">
        <v>87</v>
      </c>
    </row>
    <row r="181" spans="1:8" x14ac:dyDescent="0.3">
      <c r="A181" s="29" t="s">
        <v>180</v>
      </c>
      <c r="B181" s="5">
        <v>1</v>
      </c>
      <c r="D181" s="5">
        <v>4</v>
      </c>
      <c r="E181" s="30" t="s">
        <v>181</v>
      </c>
      <c r="F181" s="6" t="s">
        <v>512</v>
      </c>
      <c r="G181" s="193">
        <v>850000</v>
      </c>
      <c r="H181" s="193">
        <v>850000</v>
      </c>
    </row>
    <row r="182" spans="1:8" x14ac:dyDescent="0.3">
      <c r="A182" s="29" t="s">
        <v>183</v>
      </c>
      <c r="B182" s="5">
        <v>1</v>
      </c>
      <c r="D182" s="5">
        <v>4</v>
      </c>
      <c r="E182" s="30" t="s">
        <v>184</v>
      </c>
      <c r="F182" s="6" t="s">
        <v>513</v>
      </c>
      <c r="G182" s="193">
        <v>0</v>
      </c>
      <c r="H182" s="193">
        <v>0</v>
      </c>
    </row>
    <row r="183" spans="1:8" x14ac:dyDescent="0.3">
      <c r="A183" s="31" t="s">
        <v>514</v>
      </c>
      <c r="B183" s="5">
        <v>2</v>
      </c>
      <c r="D183" s="5">
        <v>4</v>
      </c>
      <c r="E183" s="30" t="s">
        <v>515</v>
      </c>
      <c r="F183" s="6" t="s">
        <v>516</v>
      </c>
      <c r="G183" s="42">
        <f>SUM(G181:G182)</f>
        <v>850000</v>
      </c>
      <c r="H183" s="42">
        <f>SUM(H181:H182)</f>
        <v>850000</v>
      </c>
    </row>
    <row r="184" spans="1:8" ht="18" customHeight="1" x14ac:dyDescent="0.3">
      <c r="A184" s="23" t="s">
        <v>517</v>
      </c>
      <c r="D184" s="5">
        <v>3</v>
      </c>
      <c r="E184" s="23" t="s">
        <v>518</v>
      </c>
      <c r="F184" s="6" t="s">
        <v>519</v>
      </c>
      <c r="G184" s="28" t="s">
        <v>87</v>
      </c>
      <c r="H184" s="28" t="s">
        <v>87</v>
      </c>
    </row>
    <row r="185" spans="1:8" x14ac:dyDescent="0.3">
      <c r="A185" s="29" t="s">
        <v>180</v>
      </c>
      <c r="B185" s="5">
        <v>1</v>
      </c>
      <c r="D185" s="5">
        <v>4</v>
      </c>
      <c r="E185" s="30" t="s">
        <v>181</v>
      </c>
      <c r="F185" s="6" t="s">
        <v>520</v>
      </c>
      <c r="G185" s="193">
        <v>-107225.33</v>
      </c>
      <c r="H185" s="193">
        <v>202945.85</v>
      </c>
    </row>
    <row r="186" spans="1:8" x14ac:dyDescent="0.3">
      <c r="A186" s="29" t="s">
        <v>183</v>
      </c>
      <c r="B186" s="5">
        <v>1</v>
      </c>
      <c r="D186" s="5">
        <v>4</v>
      </c>
      <c r="E186" s="30" t="s">
        <v>184</v>
      </c>
      <c r="F186" s="6" t="s">
        <v>521</v>
      </c>
      <c r="G186" s="193">
        <v>1766585.59</v>
      </c>
      <c r="H186" s="193">
        <v>1342852.76</v>
      </c>
    </row>
    <row r="187" spans="1:8" x14ac:dyDescent="0.3">
      <c r="A187" s="31" t="s">
        <v>522</v>
      </c>
      <c r="B187" s="5">
        <v>2</v>
      </c>
      <c r="D187" s="5">
        <v>4</v>
      </c>
      <c r="E187" s="30" t="s">
        <v>523</v>
      </c>
      <c r="F187" s="6" t="s">
        <v>524</v>
      </c>
      <c r="G187" s="42">
        <f>SUM(G185:G186)</f>
        <v>1659360.26</v>
      </c>
      <c r="H187" s="42">
        <f>SUM(H185:H186)</f>
        <v>1545798.61</v>
      </c>
    </row>
    <row r="188" spans="1:8" ht="18" customHeight="1" x14ac:dyDescent="0.3">
      <c r="A188" s="23" t="s">
        <v>525</v>
      </c>
      <c r="D188" s="5">
        <v>3</v>
      </c>
      <c r="E188" s="23" t="s">
        <v>526</v>
      </c>
      <c r="F188" s="6" t="s">
        <v>527</v>
      </c>
      <c r="G188" s="28" t="s">
        <v>87</v>
      </c>
      <c r="H188" s="28" t="s">
        <v>87</v>
      </c>
    </row>
    <row r="189" spans="1:8" x14ac:dyDescent="0.3">
      <c r="A189" s="29" t="s">
        <v>180</v>
      </c>
      <c r="B189" s="5">
        <v>1</v>
      </c>
      <c r="D189" s="5">
        <v>4</v>
      </c>
      <c r="E189" s="30" t="s">
        <v>181</v>
      </c>
      <c r="F189" s="6" t="s">
        <v>528</v>
      </c>
      <c r="G189" s="193">
        <v>0</v>
      </c>
      <c r="H189" s="193">
        <v>0</v>
      </c>
    </row>
    <row r="190" spans="1:8" x14ac:dyDescent="0.3">
      <c r="A190" s="29" t="s">
        <v>183</v>
      </c>
      <c r="B190" s="5">
        <v>1</v>
      </c>
      <c r="D190" s="5">
        <v>4</v>
      </c>
      <c r="E190" s="30" t="s">
        <v>184</v>
      </c>
      <c r="F190" s="6" t="s">
        <v>529</v>
      </c>
      <c r="G190" s="193">
        <v>0</v>
      </c>
      <c r="H190" s="193">
        <v>0</v>
      </c>
    </row>
    <row r="191" spans="1:8" x14ac:dyDescent="0.3">
      <c r="A191" s="31" t="s">
        <v>530</v>
      </c>
      <c r="B191" s="5">
        <v>2</v>
      </c>
      <c r="D191" s="5">
        <v>4</v>
      </c>
      <c r="E191" s="30" t="s">
        <v>531</v>
      </c>
      <c r="F191" s="6" t="s">
        <v>532</v>
      </c>
      <c r="G191" s="42">
        <f>SUM(G189:G190)</f>
        <v>0</v>
      </c>
      <c r="H191" s="42">
        <f>SUM(H189:H190)</f>
        <v>0</v>
      </c>
    </row>
    <row r="192" spans="1:8" ht="18" customHeight="1" x14ac:dyDescent="0.3">
      <c r="A192" s="23" t="s">
        <v>533</v>
      </c>
      <c r="D192" s="5">
        <v>3</v>
      </c>
      <c r="E192" s="23" t="s">
        <v>534</v>
      </c>
      <c r="F192" s="6" t="s">
        <v>535</v>
      </c>
      <c r="G192" s="28" t="s">
        <v>87</v>
      </c>
      <c r="H192" s="28" t="s">
        <v>87</v>
      </c>
    </row>
    <row r="193" spans="1:8" x14ac:dyDescent="0.3">
      <c r="A193" s="29" t="s">
        <v>180</v>
      </c>
      <c r="B193" s="5">
        <v>1</v>
      </c>
      <c r="D193" s="5">
        <v>4</v>
      </c>
      <c r="E193" s="30" t="s">
        <v>181</v>
      </c>
      <c r="F193" s="6" t="s">
        <v>536</v>
      </c>
      <c r="G193" s="193">
        <v>0</v>
      </c>
      <c r="H193" s="193">
        <v>802.53</v>
      </c>
    </row>
    <row r="194" spans="1:8" x14ac:dyDescent="0.3">
      <c r="A194" s="29" t="s">
        <v>183</v>
      </c>
      <c r="B194" s="5">
        <v>1</v>
      </c>
      <c r="D194" s="5">
        <v>4</v>
      </c>
      <c r="E194" s="30" t="s">
        <v>184</v>
      </c>
      <c r="F194" s="6" t="s">
        <v>537</v>
      </c>
      <c r="G194" s="193">
        <v>0</v>
      </c>
      <c r="H194" s="193">
        <v>0</v>
      </c>
    </row>
    <row r="195" spans="1:8" x14ac:dyDescent="0.3">
      <c r="A195" s="31" t="s">
        <v>538</v>
      </c>
      <c r="B195" s="5">
        <v>2</v>
      </c>
      <c r="D195" s="5">
        <v>4</v>
      </c>
      <c r="E195" s="30" t="s">
        <v>539</v>
      </c>
      <c r="F195" s="6" t="s">
        <v>540</v>
      </c>
      <c r="G195" s="42">
        <f>SUM(G193:G194)</f>
        <v>0</v>
      </c>
      <c r="H195" s="42">
        <f>SUM(H193:H194)</f>
        <v>802.53</v>
      </c>
    </row>
    <row r="196" spans="1:8" ht="18" customHeight="1" x14ac:dyDescent="0.3">
      <c r="A196" s="23" t="s">
        <v>541</v>
      </c>
      <c r="D196" s="5">
        <v>3</v>
      </c>
      <c r="E196" s="23" t="s">
        <v>542</v>
      </c>
      <c r="F196" s="6" t="s">
        <v>543</v>
      </c>
      <c r="G196" s="28" t="s">
        <v>87</v>
      </c>
      <c r="H196" s="28" t="s">
        <v>87</v>
      </c>
    </row>
    <row r="197" spans="1:8" x14ac:dyDescent="0.3">
      <c r="A197" s="29" t="s">
        <v>180</v>
      </c>
      <c r="B197" s="5">
        <v>1</v>
      </c>
      <c r="D197" s="5">
        <v>4</v>
      </c>
      <c r="E197" s="30" t="s">
        <v>181</v>
      </c>
      <c r="F197" s="6" t="s">
        <v>544</v>
      </c>
      <c r="G197" s="193">
        <v>194092.79999999999</v>
      </c>
      <c r="H197" s="193">
        <v>210252.16</v>
      </c>
    </row>
    <row r="198" spans="1:8" x14ac:dyDescent="0.3">
      <c r="A198" s="29" t="s">
        <v>183</v>
      </c>
      <c r="B198" s="5">
        <v>1</v>
      </c>
      <c r="D198" s="5">
        <v>4</v>
      </c>
      <c r="E198" s="30" t="s">
        <v>184</v>
      </c>
      <c r="F198" s="6" t="s">
        <v>545</v>
      </c>
      <c r="G198" s="193">
        <v>0</v>
      </c>
      <c r="H198" s="193">
        <v>0</v>
      </c>
    </row>
    <row r="199" spans="1:8" x14ac:dyDescent="0.3">
      <c r="A199" s="31" t="s">
        <v>546</v>
      </c>
      <c r="B199" s="5">
        <v>2</v>
      </c>
      <c r="D199" s="5">
        <v>4</v>
      </c>
      <c r="E199" s="30" t="s">
        <v>259</v>
      </c>
      <c r="F199" s="6" t="s">
        <v>547</v>
      </c>
      <c r="G199" s="42">
        <f>SUM(G197:G198)</f>
        <v>194092.79999999999</v>
      </c>
      <c r="H199" s="42">
        <f>SUM(H197:H198)</f>
        <v>210252.16</v>
      </c>
    </row>
    <row r="200" spans="1:8" ht="18" customHeight="1" x14ac:dyDescent="0.3">
      <c r="A200" s="23" t="s">
        <v>548</v>
      </c>
      <c r="D200" s="5">
        <v>3</v>
      </c>
      <c r="E200" s="23" t="s">
        <v>549</v>
      </c>
      <c r="F200" s="6" t="s">
        <v>550</v>
      </c>
      <c r="G200" s="28" t="s">
        <v>87</v>
      </c>
      <c r="H200" s="28" t="s">
        <v>87</v>
      </c>
    </row>
    <row r="201" spans="1:8" x14ac:dyDescent="0.3">
      <c r="A201" s="29" t="s">
        <v>180</v>
      </c>
      <c r="B201" s="5">
        <v>1</v>
      </c>
      <c r="D201" s="5">
        <v>4</v>
      </c>
      <c r="E201" s="30" t="s">
        <v>181</v>
      </c>
      <c r="F201" s="6" t="s">
        <v>551</v>
      </c>
      <c r="G201" s="193">
        <v>0</v>
      </c>
      <c r="H201" s="193">
        <v>0</v>
      </c>
    </row>
    <row r="202" spans="1:8" x14ac:dyDescent="0.3">
      <c r="A202" s="29" t="s">
        <v>183</v>
      </c>
      <c r="B202" s="5">
        <v>1</v>
      </c>
      <c r="D202" s="5">
        <v>4</v>
      </c>
      <c r="E202" s="30" t="s">
        <v>184</v>
      </c>
      <c r="F202" s="6" t="s">
        <v>552</v>
      </c>
      <c r="G202" s="193">
        <v>0</v>
      </c>
      <c r="H202" s="193">
        <v>0</v>
      </c>
    </row>
    <row r="203" spans="1:8" x14ac:dyDescent="0.3">
      <c r="A203" s="31" t="s">
        <v>553</v>
      </c>
      <c r="B203" s="5">
        <v>2</v>
      </c>
      <c r="D203" s="5">
        <v>4</v>
      </c>
      <c r="E203" s="30" t="s">
        <v>554</v>
      </c>
      <c r="F203" s="6" t="s">
        <v>555</v>
      </c>
      <c r="G203" s="42">
        <f>SUM(G201:G202)</f>
        <v>0</v>
      </c>
      <c r="H203" s="42">
        <f>SUM(H201:H202)</f>
        <v>0</v>
      </c>
    </row>
    <row r="204" spans="1:8" ht="18" customHeight="1" x14ac:dyDescent="0.3">
      <c r="A204" s="23" t="s">
        <v>556</v>
      </c>
      <c r="D204" s="5">
        <v>3</v>
      </c>
      <c r="E204" s="23" t="s">
        <v>557</v>
      </c>
      <c r="F204" s="6" t="s">
        <v>558</v>
      </c>
      <c r="G204" s="28" t="s">
        <v>87</v>
      </c>
      <c r="H204" s="28" t="s">
        <v>87</v>
      </c>
    </row>
    <row r="205" spans="1:8" x14ac:dyDescent="0.3">
      <c r="A205" s="29" t="s">
        <v>180</v>
      </c>
      <c r="B205" s="5">
        <v>1</v>
      </c>
      <c r="D205" s="5">
        <v>4</v>
      </c>
      <c r="E205" s="30" t="s">
        <v>181</v>
      </c>
      <c r="F205" s="6" t="s">
        <v>559</v>
      </c>
      <c r="G205" s="193">
        <v>0</v>
      </c>
      <c r="H205" s="193">
        <v>0</v>
      </c>
    </row>
    <row r="206" spans="1:8" x14ac:dyDescent="0.3">
      <c r="A206" s="29" t="s">
        <v>183</v>
      </c>
      <c r="B206" s="5">
        <v>1</v>
      </c>
      <c r="D206" s="5">
        <v>4</v>
      </c>
      <c r="E206" s="30" t="s">
        <v>184</v>
      </c>
      <c r="F206" s="6" t="s">
        <v>560</v>
      </c>
      <c r="G206" s="193">
        <v>0</v>
      </c>
      <c r="H206" s="193">
        <v>0</v>
      </c>
    </row>
    <row r="207" spans="1:8" x14ac:dyDescent="0.3">
      <c r="A207" s="31" t="s">
        <v>561</v>
      </c>
      <c r="B207" s="5">
        <v>2</v>
      </c>
      <c r="D207" s="5">
        <v>4</v>
      </c>
      <c r="E207" s="30" t="s">
        <v>562</v>
      </c>
      <c r="F207" s="6" t="s">
        <v>563</v>
      </c>
      <c r="G207" s="42">
        <f t="shared" ref="G207:H207" si="17">SUM(G205:G206)</f>
        <v>0</v>
      </c>
      <c r="H207" s="42">
        <f t="shared" si="17"/>
        <v>0</v>
      </c>
    </row>
    <row r="208" spans="1:8" ht="18" customHeight="1" x14ac:dyDescent="0.3">
      <c r="A208" s="23" t="s">
        <v>564</v>
      </c>
      <c r="D208" s="5">
        <v>3</v>
      </c>
      <c r="E208" s="23" t="s">
        <v>565</v>
      </c>
      <c r="F208" s="6" t="s">
        <v>566</v>
      </c>
      <c r="G208" s="28" t="s">
        <v>87</v>
      </c>
      <c r="H208" s="28" t="s">
        <v>87</v>
      </c>
    </row>
    <row r="209" spans="1:8" x14ac:dyDescent="0.3">
      <c r="A209" s="29" t="s">
        <v>180</v>
      </c>
      <c r="B209" s="5">
        <v>1</v>
      </c>
      <c r="D209" s="5">
        <v>4</v>
      </c>
      <c r="E209" s="30" t="s">
        <v>181</v>
      </c>
      <c r="F209" s="6" t="s">
        <v>567</v>
      </c>
      <c r="G209" s="193">
        <v>0</v>
      </c>
      <c r="H209" s="193">
        <v>0</v>
      </c>
    </row>
    <row r="210" spans="1:8" x14ac:dyDescent="0.3">
      <c r="A210" s="29" t="s">
        <v>183</v>
      </c>
      <c r="B210" s="5">
        <v>1</v>
      </c>
      <c r="D210" s="5">
        <v>4</v>
      </c>
      <c r="E210" s="30" t="s">
        <v>184</v>
      </c>
      <c r="F210" s="6" t="s">
        <v>568</v>
      </c>
      <c r="G210" s="193">
        <v>0</v>
      </c>
      <c r="H210" s="193">
        <v>0</v>
      </c>
    </row>
    <row r="211" spans="1:8" x14ac:dyDescent="0.3">
      <c r="A211" s="31" t="s">
        <v>569</v>
      </c>
      <c r="B211" s="5">
        <v>2</v>
      </c>
      <c r="D211" s="5">
        <v>4</v>
      </c>
      <c r="E211" s="30" t="s">
        <v>570</v>
      </c>
      <c r="F211" s="6" t="s">
        <v>571</v>
      </c>
      <c r="G211" s="42">
        <f>SUM(G209:G210)</f>
        <v>0</v>
      </c>
      <c r="H211" s="42">
        <f>SUM(H209:H210)</f>
        <v>0</v>
      </c>
    </row>
    <row r="212" spans="1:8" ht="18" customHeight="1" x14ac:dyDescent="0.3">
      <c r="A212" s="23" t="s">
        <v>572</v>
      </c>
      <c r="D212" s="5">
        <v>3</v>
      </c>
      <c r="E212" s="23" t="s">
        <v>573</v>
      </c>
      <c r="F212" s="6" t="s">
        <v>574</v>
      </c>
      <c r="G212" s="28">
        <v>0</v>
      </c>
      <c r="H212" s="28" t="s">
        <v>87</v>
      </c>
    </row>
    <row r="213" spans="1:8" x14ac:dyDescent="0.3">
      <c r="A213" s="29" t="s">
        <v>180</v>
      </c>
      <c r="B213" s="5">
        <v>1</v>
      </c>
      <c r="D213" s="5">
        <v>4</v>
      </c>
      <c r="E213" s="30" t="s">
        <v>181</v>
      </c>
      <c r="F213" s="6" t="s">
        <v>575</v>
      </c>
      <c r="G213" s="193">
        <v>0</v>
      </c>
      <c r="H213" s="193">
        <v>0</v>
      </c>
    </row>
    <row r="214" spans="1:8" x14ac:dyDescent="0.3">
      <c r="A214" s="29" t="s">
        <v>183</v>
      </c>
      <c r="B214" s="5">
        <v>1</v>
      </c>
      <c r="D214" s="5">
        <v>4</v>
      </c>
      <c r="E214" s="30" t="s">
        <v>184</v>
      </c>
      <c r="F214" s="6" t="s">
        <v>576</v>
      </c>
      <c r="G214" s="193">
        <v>0</v>
      </c>
      <c r="H214" s="193">
        <v>0</v>
      </c>
    </row>
    <row r="215" spans="1:8" x14ac:dyDescent="0.3">
      <c r="A215" s="31" t="s">
        <v>577</v>
      </c>
      <c r="B215" s="5">
        <v>2</v>
      </c>
      <c r="D215" s="5">
        <v>4</v>
      </c>
      <c r="E215" s="30" t="s">
        <v>578</v>
      </c>
      <c r="F215" s="6" t="s">
        <v>579</v>
      </c>
      <c r="G215" s="42">
        <f>SUM(G213:G214)</f>
        <v>0</v>
      </c>
      <c r="H215" s="42">
        <f>SUM(H213:H214)</f>
        <v>0</v>
      </c>
    </row>
    <row r="216" spans="1:8" x14ac:dyDescent="0.3">
      <c r="A216" s="80" t="s">
        <v>580</v>
      </c>
      <c r="D216" s="5">
        <v>3</v>
      </c>
      <c r="E216" s="23" t="s">
        <v>573</v>
      </c>
      <c r="F216" s="6" t="s">
        <v>574</v>
      </c>
      <c r="G216" s="28"/>
      <c r="H216" s="28" t="s">
        <v>87</v>
      </c>
    </row>
    <row r="217" spans="1:8" x14ac:dyDescent="0.3">
      <c r="A217" s="29" t="s">
        <v>180</v>
      </c>
      <c r="B217" s="5">
        <v>1</v>
      </c>
      <c r="D217" s="5">
        <v>4</v>
      </c>
      <c r="E217" s="30" t="s">
        <v>181</v>
      </c>
      <c r="F217" s="6" t="s">
        <v>575</v>
      </c>
      <c r="G217" s="193">
        <v>0</v>
      </c>
      <c r="H217" s="193">
        <v>0</v>
      </c>
    </row>
    <row r="218" spans="1:8" x14ac:dyDescent="0.3">
      <c r="A218" s="29" t="s">
        <v>183</v>
      </c>
      <c r="B218" s="5">
        <v>1</v>
      </c>
      <c r="D218" s="5">
        <v>4</v>
      </c>
      <c r="E218" s="30" t="s">
        <v>184</v>
      </c>
      <c r="F218" s="6" t="s">
        <v>576</v>
      </c>
      <c r="G218" s="193">
        <v>0</v>
      </c>
      <c r="H218" s="193">
        <v>0</v>
      </c>
    </row>
    <row r="219" spans="1:8" x14ac:dyDescent="0.3">
      <c r="A219" s="31" t="s">
        <v>577</v>
      </c>
      <c r="B219" s="5">
        <v>2</v>
      </c>
      <c r="D219" s="5">
        <v>4</v>
      </c>
      <c r="E219" s="30" t="s">
        <v>578</v>
      </c>
      <c r="F219" s="6" t="s">
        <v>579</v>
      </c>
      <c r="G219" s="42">
        <f>SUM(G217:G218)</f>
        <v>0</v>
      </c>
      <c r="H219" s="42">
        <f>SUM(H217:H218)</f>
        <v>0</v>
      </c>
    </row>
    <row r="220" spans="1:8" ht="18" customHeight="1" x14ac:dyDescent="0.3">
      <c r="A220" s="23" t="s">
        <v>581</v>
      </c>
      <c r="D220" s="5">
        <v>3</v>
      </c>
      <c r="E220" s="23" t="s">
        <v>582</v>
      </c>
      <c r="F220" s="6" t="s">
        <v>583</v>
      </c>
      <c r="G220" s="28" t="s">
        <v>87</v>
      </c>
      <c r="H220" s="28" t="s">
        <v>87</v>
      </c>
    </row>
    <row r="221" spans="1:8" x14ac:dyDescent="0.3">
      <c r="A221" s="29" t="s">
        <v>180</v>
      </c>
      <c r="B221" s="5">
        <v>1</v>
      </c>
      <c r="D221" s="5">
        <v>4</v>
      </c>
      <c r="E221" s="30" t="s">
        <v>181</v>
      </c>
      <c r="F221" s="6" t="s">
        <v>584</v>
      </c>
      <c r="G221" s="193">
        <v>63228.68</v>
      </c>
      <c r="H221" s="193">
        <v>153790.65</v>
      </c>
    </row>
    <row r="222" spans="1:8" x14ac:dyDescent="0.3">
      <c r="A222" s="29" t="s">
        <v>183</v>
      </c>
      <c r="B222" s="5">
        <v>1</v>
      </c>
      <c r="D222" s="5">
        <v>4</v>
      </c>
      <c r="E222" s="30" t="s">
        <v>184</v>
      </c>
      <c r="F222" s="6" t="s">
        <v>585</v>
      </c>
      <c r="G222" s="193">
        <v>0</v>
      </c>
      <c r="H222" s="193">
        <v>0</v>
      </c>
    </row>
    <row r="223" spans="1:8" x14ac:dyDescent="0.3">
      <c r="A223" s="31" t="s">
        <v>586</v>
      </c>
      <c r="B223" s="5">
        <v>2</v>
      </c>
      <c r="D223" s="5">
        <v>4</v>
      </c>
      <c r="E223" s="30" t="s">
        <v>587</v>
      </c>
      <c r="F223" s="6" t="s">
        <v>588</v>
      </c>
      <c r="G223" s="42">
        <f>SUM(G221:G222)</f>
        <v>63228.68</v>
      </c>
      <c r="H223" s="42">
        <f>SUM(H221:H222)</f>
        <v>153790.65</v>
      </c>
    </row>
    <row r="224" spans="1:8" ht="18" customHeight="1" x14ac:dyDescent="0.3">
      <c r="A224" s="23" t="s">
        <v>589</v>
      </c>
      <c r="D224" s="5">
        <v>3</v>
      </c>
      <c r="E224" s="23" t="s">
        <v>590</v>
      </c>
      <c r="F224" s="6" t="s">
        <v>591</v>
      </c>
      <c r="G224" s="28" t="s">
        <v>87</v>
      </c>
      <c r="H224" s="28" t="s">
        <v>87</v>
      </c>
    </row>
    <row r="225" spans="1:10" x14ac:dyDescent="0.3">
      <c r="A225" s="29" t="s">
        <v>180</v>
      </c>
      <c r="B225" s="5">
        <v>1</v>
      </c>
      <c r="D225" s="5">
        <v>4</v>
      </c>
      <c r="E225" s="30" t="s">
        <v>181</v>
      </c>
      <c r="F225" s="6" t="s">
        <v>592</v>
      </c>
      <c r="G225" s="193">
        <v>11615.99</v>
      </c>
      <c r="H225" s="193">
        <v>5958</v>
      </c>
    </row>
    <row r="226" spans="1:10" x14ac:dyDescent="0.3">
      <c r="A226" s="29" t="s">
        <v>183</v>
      </c>
      <c r="B226" s="5">
        <v>1</v>
      </c>
      <c r="D226" s="5">
        <v>4</v>
      </c>
      <c r="E226" s="30" t="s">
        <v>184</v>
      </c>
      <c r="F226" s="6" t="s">
        <v>593</v>
      </c>
      <c r="G226" s="193">
        <v>0</v>
      </c>
      <c r="H226" s="193">
        <v>0</v>
      </c>
    </row>
    <row r="227" spans="1:10" x14ac:dyDescent="0.3">
      <c r="A227" s="31" t="s">
        <v>594</v>
      </c>
      <c r="B227" s="5">
        <v>2</v>
      </c>
      <c r="D227" s="5">
        <v>4</v>
      </c>
      <c r="E227" s="30" t="s">
        <v>595</v>
      </c>
      <c r="F227" s="6" t="s">
        <v>596</v>
      </c>
      <c r="G227" s="42">
        <f>SUM(G225:G226)</f>
        <v>11615.99</v>
      </c>
      <c r="H227" s="42">
        <f>SUM(H225:H226)</f>
        <v>5958</v>
      </c>
    </row>
    <row r="228" spans="1:10" ht="18" customHeight="1" x14ac:dyDescent="0.3">
      <c r="A228" s="23" t="s">
        <v>597</v>
      </c>
      <c r="D228" s="5">
        <v>3</v>
      </c>
      <c r="E228" s="23" t="s">
        <v>598</v>
      </c>
      <c r="F228" s="6" t="s">
        <v>599</v>
      </c>
      <c r="G228" s="28" t="s">
        <v>87</v>
      </c>
      <c r="H228" s="28" t="s">
        <v>87</v>
      </c>
    </row>
    <row r="229" spans="1:10" x14ac:dyDescent="0.3">
      <c r="A229" s="29" t="s">
        <v>180</v>
      </c>
      <c r="B229" s="5">
        <v>1</v>
      </c>
      <c r="D229" s="5">
        <v>4</v>
      </c>
      <c r="E229" s="30" t="s">
        <v>181</v>
      </c>
      <c r="F229" s="6" t="s">
        <v>600</v>
      </c>
      <c r="G229" s="193">
        <v>25062.16</v>
      </c>
      <c r="H229" s="193">
        <v>69836.42</v>
      </c>
      <c r="J229" s="45"/>
    </row>
    <row r="230" spans="1:10" x14ac:dyDescent="0.3">
      <c r="A230" s="29" t="s">
        <v>183</v>
      </c>
      <c r="B230" s="5">
        <v>1</v>
      </c>
      <c r="D230" s="5">
        <v>4</v>
      </c>
      <c r="E230" s="30" t="s">
        <v>184</v>
      </c>
      <c r="F230" s="6" t="s">
        <v>601</v>
      </c>
      <c r="G230" s="193">
        <v>0</v>
      </c>
      <c r="H230" s="193">
        <v>0</v>
      </c>
      <c r="J230" s="45"/>
    </row>
    <row r="231" spans="1:10" x14ac:dyDescent="0.3">
      <c r="A231" s="31" t="s">
        <v>602</v>
      </c>
      <c r="B231" s="5">
        <v>2</v>
      </c>
      <c r="D231" s="5">
        <v>4</v>
      </c>
      <c r="E231" s="30" t="s">
        <v>603</v>
      </c>
      <c r="F231" s="6" t="s">
        <v>604</v>
      </c>
      <c r="G231" s="42">
        <f>SUM(G229:G230)</f>
        <v>25062.16</v>
      </c>
      <c r="H231" s="42">
        <f>SUM(H229:H230)</f>
        <v>69836.42</v>
      </c>
    </row>
    <row r="232" spans="1:10" x14ac:dyDescent="0.3">
      <c r="A232" s="24" t="s">
        <v>605</v>
      </c>
      <c r="B232" s="5">
        <v>28</v>
      </c>
      <c r="D232" s="5">
        <v>3</v>
      </c>
      <c r="E232" s="25" t="s">
        <v>606</v>
      </c>
      <c r="F232" s="6" t="s">
        <v>607</v>
      </c>
      <c r="G232" s="38">
        <f>+G231+G227+G223+G219+G215+G211+G207+G203+G199+G195+G191+G187+G183+G179+G175</f>
        <v>2803359.89</v>
      </c>
      <c r="H232" s="38">
        <f t="shared" ref="H232" si="18">+H231+H227+H223+H219+H215+H211+H207+H203+H199+H195+H191+H187+H183+H179+H175</f>
        <v>2836438.37</v>
      </c>
    </row>
    <row r="233" spans="1:10" ht="18" customHeight="1" x14ac:dyDescent="0.3">
      <c r="A233" s="20" t="s">
        <v>608</v>
      </c>
      <c r="D233" s="5">
        <v>2</v>
      </c>
      <c r="E233" s="21" t="s">
        <v>609</v>
      </c>
      <c r="F233" s="6" t="s">
        <v>610</v>
      </c>
      <c r="G233" s="28" t="s">
        <v>87</v>
      </c>
      <c r="H233" s="28" t="s">
        <v>87</v>
      </c>
    </row>
    <row r="234" spans="1:10" ht="18" customHeight="1" x14ac:dyDescent="0.3">
      <c r="A234" s="22" t="s">
        <v>611</v>
      </c>
      <c r="B234" s="5">
        <v>2</v>
      </c>
      <c r="D234" s="5">
        <v>3</v>
      </c>
      <c r="E234" s="23" t="s">
        <v>612</v>
      </c>
      <c r="F234" s="6" t="s">
        <v>613</v>
      </c>
      <c r="G234" s="193">
        <v>84374.66</v>
      </c>
      <c r="H234" s="193">
        <v>17906.68</v>
      </c>
    </row>
    <row r="235" spans="1:10" x14ac:dyDescent="0.3">
      <c r="A235" s="22" t="s">
        <v>614</v>
      </c>
      <c r="B235" s="5">
        <v>2</v>
      </c>
      <c r="D235" s="5">
        <v>3</v>
      </c>
      <c r="E235" s="23" t="s">
        <v>615</v>
      </c>
      <c r="F235" s="6" t="s">
        <v>616</v>
      </c>
      <c r="G235" s="193">
        <v>0</v>
      </c>
      <c r="H235" s="193">
        <v>0</v>
      </c>
      <c r="J235" s="45"/>
    </row>
    <row r="236" spans="1:10" x14ac:dyDescent="0.3">
      <c r="A236" s="24" t="s">
        <v>617</v>
      </c>
      <c r="B236" s="5">
        <v>4</v>
      </c>
      <c r="D236" s="5">
        <v>3</v>
      </c>
      <c r="E236" s="25" t="s">
        <v>618</v>
      </c>
      <c r="F236" s="6" t="s">
        <v>619</v>
      </c>
      <c r="G236" s="38">
        <f>SUM(G234:G235)</f>
        <v>84374.66</v>
      </c>
      <c r="H236" s="38">
        <f>SUM(H234:H235)</f>
        <v>17906.68</v>
      </c>
    </row>
    <row r="237" spans="1:10" ht="18" customHeight="1" x14ac:dyDescent="0.3">
      <c r="A237" s="19" t="s">
        <v>620</v>
      </c>
      <c r="B237" s="40">
        <v>311</v>
      </c>
      <c r="C237" s="40"/>
      <c r="D237" s="40">
        <v>2</v>
      </c>
      <c r="E237" s="41" t="s">
        <v>621</v>
      </c>
      <c r="F237" s="40" t="s">
        <v>622</v>
      </c>
      <c r="G237" s="44">
        <f>+G236+G232+G170+G169+G163</f>
        <v>3255344.6900000004</v>
      </c>
      <c r="H237" s="44">
        <f>+H236+H232+H170+H169+H163</f>
        <v>3173019.0400000005</v>
      </c>
      <c r="I237" s="45"/>
    </row>
    <row r="238" spans="1:10" x14ac:dyDescent="0.3">
      <c r="G238" s="45">
        <f t="shared" ref="G238:H238" si="19">+G124-G237</f>
        <v>0</v>
      </c>
      <c r="H238" s="45">
        <f t="shared" si="19"/>
        <v>-9.000000124797225E-2</v>
      </c>
    </row>
    <row r="239" spans="1:10" x14ac:dyDescent="0.3">
      <c r="G239" s="46"/>
      <c r="H239" s="46"/>
    </row>
  </sheetData>
  <conditionalFormatting sqref="A4">
    <cfRule type="expression" dxfId="128" priority="308" stopIfTrue="1">
      <formula>ABS(SUM(A4)-SUM(#REF!))&gt;=1</formula>
    </cfRule>
  </conditionalFormatting>
  <conditionalFormatting sqref="G9:H10 G104:H104 G58:H58 G14:H20 G23:H27 G31:H35 G39:H40 G43:H44 G47:H48 G51:H53 G61:H62">
    <cfRule type="expression" dxfId="127" priority="320" stopIfTrue="1">
      <formula>ABS(SUM(G9)-SUM(#REF!))&gt;=1</formula>
    </cfRule>
  </conditionalFormatting>
  <conditionalFormatting sqref="H6:H8">
    <cfRule type="expression" dxfId="126" priority="164" stopIfTrue="1">
      <formula>ABS(SUM(H6)-SUM(#REF!))&gt;=10</formula>
    </cfRule>
  </conditionalFormatting>
  <conditionalFormatting sqref="H11:H13 H21 H28:H30 H36:H38 H41:H42 H45:H46 H49:H50 H54 H70:H72 H75:H76 H79:H80 H83:H84 H87 H95:H96 H99:H100 H103 H113:H114 H118:H120 H123:H126 H132 H153 H161 H169 H175:H176 H179:H180 H183:H184 H187:H188 H191:H192 H195:H196 H199:H200 H203:H204 H207:H208 H211:H212 H215 H223:H224 H227:H228 H231 H236:H237 H92 H105 H63:H64 H164 H220 H233">
    <cfRule type="expression" dxfId="125" priority="165" stopIfTrue="1">
      <formula>ABS(SUM(H11)-SUM(#REF!))&gt;=1</formula>
    </cfRule>
  </conditionalFormatting>
  <conditionalFormatting sqref="G6:G8">
    <cfRule type="expression" dxfId="124" priority="158" stopIfTrue="1">
      <formula>ABS(SUM(G6)-SUM(#REF!))&gt;=10</formula>
    </cfRule>
  </conditionalFormatting>
  <conditionalFormatting sqref="G11:G13 G21 G28:G30 G36:G38 G41:G42 G45:G46 G49:G50 G54 G70:G71 G75:G76 G79:G80 G83:G84 G87 G95:G96 G99:G100 G103 G113:G114 G118:G120 G123:G126 G132 G153 G161 G169 G175:G176 G179:G180 G183:G184 G187:G188 G191:G192 G195:G196 G199:G200 G203:G204 G207:G208 G211:G212 G215 G223:G224 G227:G228 G231:G233 G236:G237 G92 G105 G63:G64 G163:G164 G220 G155:H155 H163 H232">
    <cfRule type="expression" dxfId="123" priority="159" stopIfTrue="1">
      <formula>ABS(SUM(G11)-SUM(#REF!))&gt;=1</formula>
    </cfRule>
  </conditionalFormatting>
  <conditionalFormatting sqref="G148:H148">
    <cfRule type="expression" dxfId="122" priority="91" stopIfTrue="1">
      <formula>ABS(SUM(G148)-SUM(#REF!))&gt;=1</formula>
    </cfRule>
  </conditionalFormatting>
  <conditionalFormatting sqref="G157:H157">
    <cfRule type="expression" dxfId="121" priority="90" stopIfTrue="1">
      <formula>ABS(SUM(G157)-SUM(#REF!))&gt;=1</formula>
    </cfRule>
  </conditionalFormatting>
  <conditionalFormatting sqref="G172:H172 H171">
    <cfRule type="expression" dxfId="120" priority="88" stopIfTrue="1">
      <formula>ABS(SUM(G171)-SUM(#REF!))&gt;=1</formula>
    </cfRule>
  </conditionalFormatting>
  <conditionalFormatting sqref="G57:H57">
    <cfRule type="expression" dxfId="119" priority="73" stopIfTrue="1">
      <formula>ABS(SUM(G57)-SUM(#REF!))&gt;=1</formula>
    </cfRule>
  </conditionalFormatting>
  <conditionalFormatting sqref="H88 H91">
    <cfRule type="expression" dxfId="118" priority="69" stopIfTrue="1">
      <formula>ABS(SUM(H88)-SUM(#REF!))&gt;=1</formula>
    </cfRule>
  </conditionalFormatting>
  <conditionalFormatting sqref="G88 G91">
    <cfRule type="expression" dxfId="117" priority="68" stopIfTrue="1">
      <formula>ABS(SUM(G88)-SUM(#REF!))&gt;=1</formula>
    </cfRule>
  </conditionalFormatting>
  <conditionalFormatting sqref="G154:H154">
    <cfRule type="expression" dxfId="116" priority="67" stopIfTrue="1">
      <formula>ABS(SUM(G154)-SUM(#REF!))&gt;=1</formula>
    </cfRule>
  </conditionalFormatting>
  <conditionalFormatting sqref="H216 H219">
    <cfRule type="expression" dxfId="115" priority="64" stopIfTrue="1">
      <formula>ABS(SUM(H216)-SUM(#REF!))&gt;=1</formula>
    </cfRule>
  </conditionalFormatting>
  <conditionalFormatting sqref="G216 G219">
    <cfRule type="expression" dxfId="114" priority="63" stopIfTrue="1">
      <formula>ABS(SUM(G216)-SUM(#REF!))&gt;=1</formula>
    </cfRule>
  </conditionalFormatting>
  <conditionalFormatting sqref="H22">
    <cfRule type="expression" dxfId="113" priority="61" stopIfTrue="1">
      <formula>ABS(SUM(H22)-SUM(#REF!))&gt;=1</formula>
    </cfRule>
  </conditionalFormatting>
  <conditionalFormatting sqref="G22">
    <cfRule type="expression" dxfId="112" priority="60" stopIfTrue="1">
      <formula>ABS(SUM(G22)-SUM(#REF!))&gt;=1</formula>
    </cfRule>
  </conditionalFormatting>
  <conditionalFormatting sqref="G72">
    <cfRule type="expression" dxfId="111" priority="57" stopIfTrue="1">
      <formula>ABS(SUM(G72)-SUM(#REF!))&gt;=1</formula>
    </cfRule>
  </conditionalFormatting>
  <conditionalFormatting sqref="G171">
    <cfRule type="expression" dxfId="110" priority="54" stopIfTrue="1">
      <formula>ABS(SUM(G171)-SUM(#REF!))&gt;=1</formula>
    </cfRule>
  </conditionalFormatting>
  <conditionalFormatting sqref="G55:H56">
    <cfRule type="expression" dxfId="109" priority="38" stopIfTrue="1">
      <formula>ABS(SUM(G55)-SUM(#REF!))&gt;=1</formula>
    </cfRule>
  </conditionalFormatting>
  <conditionalFormatting sqref="G59:H60">
    <cfRule type="expression" dxfId="108" priority="37" stopIfTrue="1">
      <formula>ABS(SUM(G59)-SUM(#REF!))&gt;=1</formula>
    </cfRule>
  </conditionalFormatting>
  <conditionalFormatting sqref="G65:H69">
    <cfRule type="expression" dxfId="107" priority="36" stopIfTrue="1">
      <formula>ABS(SUM(G65)-SUM(#REF!))&gt;=1</formula>
    </cfRule>
  </conditionalFormatting>
  <conditionalFormatting sqref="G73:H74">
    <cfRule type="expression" dxfId="106" priority="35" stopIfTrue="1">
      <formula>ABS(SUM(G73)-SUM(#REF!))&gt;=1</formula>
    </cfRule>
  </conditionalFormatting>
  <conditionalFormatting sqref="G77:H78">
    <cfRule type="expression" dxfId="105" priority="34" stopIfTrue="1">
      <formula>ABS(SUM(G77)-SUM(#REF!))&gt;=1</formula>
    </cfRule>
  </conditionalFormatting>
  <conditionalFormatting sqref="G81:H82">
    <cfRule type="expression" dxfId="104" priority="33" stopIfTrue="1">
      <formula>ABS(SUM(G81)-SUM(#REF!))&gt;=1</formula>
    </cfRule>
  </conditionalFormatting>
  <conditionalFormatting sqref="G85:H86">
    <cfRule type="expression" dxfId="103" priority="32" stopIfTrue="1">
      <formula>ABS(SUM(G85)-SUM(#REF!))&gt;=1</formula>
    </cfRule>
  </conditionalFormatting>
  <conditionalFormatting sqref="G89:H90">
    <cfRule type="expression" dxfId="102" priority="31" stopIfTrue="1">
      <formula>ABS(SUM(G89)-SUM(#REF!))&gt;=1</formula>
    </cfRule>
  </conditionalFormatting>
  <conditionalFormatting sqref="G93:H94">
    <cfRule type="expression" dxfId="101" priority="30" stopIfTrue="1">
      <formula>ABS(SUM(G93)-SUM(#REF!))&gt;=1</formula>
    </cfRule>
  </conditionalFormatting>
  <conditionalFormatting sqref="G97:H98">
    <cfRule type="expression" dxfId="100" priority="29" stopIfTrue="1">
      <formula>ABS(SUM(G97)-SUM(#REF!))&gt;=1</formula>
    </cfRule>
  </conditionalFormatting>
  <conditionalFormatting sqref="G101:H102">
    <cfRule type="expression" dxfId="99" priority="28" stopIfTrue="1">
      <formula>ABS(SUM(G101)-SUM(#REF!))&gt;=1</formula>
    </cfRule>
  </conditionalFormatting>
  <conditionalFormatting sqref="G106:H112">
    <cfRule type="expression" dxfId="98" priority="27" stopIfTrue="1">
      <formula>ABS(SUM(G106)-SUM(#REF!))&gt;=1</formula>
    </cfRule>
  </conditionalFormatting>
  <conditionalFormatting sqref="G115:H117">
    <cfRule type="expression" dxfId="97" priority="26" stopIfTrue="1">
      <formula>ABS(SUM(G115)-SUM(#REF!))&gt;=1</formula>
    </cfRule>
  </conditionalFormatting>
  <conditionalFormatting sqref="G121:H122">
    <cfRule type="expression" dxfId="96" priority="25" stopIfTrue="1">
      <formula>ABS(SUM(G121)-SUM(#REF!))&gt;=1</formula>
    </cfRule>
  </conditionalFormatting>
  <conditionalFormatting sqref="G127:H131">
    <cfRule type="expression" dxfId="95" priority="24" stopIfTrue="1">
      <formula>ABS(SUM(G127)-SUM(#REF!))&gt;=1</formula>
    </cfRule>
  </conditionalFormatting>
  <conditionalFormatting sqref="G133:H147">
    <cfRule type="expression" dxfId="94" priority="23" stopIfTrue="1">
      <formula>ABS(SUM(G133)-SUM(#REF!))&gt;=1</formula>
    </cfRule>
  </conditionalFormatting>
  <conditionalFormatting sqref="G149:H152">
    <cfRule type="expression" dxfId="93" priority="22" stopIfTrue="1">
      <formula>ABS(SUM(G149)-SUM(#REF!))&gt;=1</formula>
    </cfRule>
  </conditionalFormatting>
  <conditionalFormatting sqref="G156:H156">
    <cfRule type="expression" dxfId="92" priority="21" stopIfTrue="1">
      <formula>ABS(SUM(G156)-SUM(#REF!))&gt;=1</formula>
    </cfRule>
  </conditionalFormatting>
  <conditionalFormatting sqref="G234:H235">
    <cfRule type="expression" dxfId="91" priority="1" stopIfTrue="1">
      <formula>ABS(SUM(G234)-SUM(#REF!))&gt;=1</formula>
    </cfRule>
  </conditionalFormatting>
  <conditionalFormatting sqref="G158:H160">
    <cfRule type="expression" dxfId="90" priority="20" stopIfTrue="1">
      <formula>ABS(SUM(G158)-SUM(#REF!))&gt;=1</formula>
    </cfRule>
  </conditionalFormatting>
  <conditionalFormatting sqref="G162:H162">
    <cfRule type="expression" dxfId="89" priority="19" stopIfTrue="1">
      <formula>ABS(SUM(G162)-SUM(#REF!))&gt;=1</formula>
    </cfRule>
  </conditionalFormatting>
  <conditionalFormatting sqref="G165:H168">
    <cfRule type="expression" dxfId="88" priority="18" stopIfTrue="1">
      <formula>ABS(SUM(G165)-SUM(#REF!))&gt;=1</formula>
    </cfRule>
  </conditionalFormatting>
  <conditionalFormatting sqref="G170:H170">
    <cfRule type="expression" dxfId="87" priority="17" stopIfTrue="1">
      <formula>ABS(SUM(G170)-SUM(#REF!))&gt;=1</formula>
    </cfRule>
  </conditionalFormatting>
  <conditionalFormatting sqref="G173:H174">
    <cfRule type="expression" dxfId="86" priority="16" stopIfTrue="1">
      <formula>ABS(SUM(G173)-SUM(#REF!))&gt;=1</formula>
    </cfRule>
  </conditionalFormatting>
  <conditionalFormatting sqref="G177:H178">
    <cfRule type="expression" dxfId="85" priority="15" stopIfTrue="1">
      <formula>ABS(SUM(G177)-SUM(#REF!))&gt;=1</formula>
    </cfRule>
  </conditionalFormatting>
  <conditionalFormatting sqref="G181:H182">
    <cfRule type="expression" dxfId="84" priority="14" stopIfTrue="1">
      <formula>ABS(SUM(G181)-SUM(#REF!))&gt;=1</formula>
    </cfRule>
  </conditionalFormatting>
  <conditionalFormatting sqref="G185:H186">
    <cfRule type="expression" dxfId="83" priority="13" stopIfTrue="1">
      <formula>ABS(SUM(G185)-SUM(#REF!))&gt;=1</formula>
    </cfRule>
  </conditionalFormatting>
  <conditionalFormatting sqref="G189:H190">
    <cfRule type="expression" dxfId="82" priority="12" stopIfTrue="1">
      <formula>ABS(SUM(G189)-SUM(#REF!))&gt;=1</formula>
    </cfRule>
  </conditionalFormatting>
  <conditionalFormatting sqref="G193:H194">
    <cfRule type="expression" dxfId="81" priority="11" stopIfTrue="1">
      <formula>ABS(SUM(G193)-SUM(#REF!))&gt;=1</formula>
    </cfRule>
  </conditionalFormatting>
  <conditionalFormatting sqref="G197:H198">
    <cfRule type="expression" dxfId="80" priority="10" stopIfTrue="1">
      <formula>ABS(SUM(G197)-SUM(#REF!))&gt;=1</formula>
    </cfRule>
  </conditionalFormatting>
  <conditionalFormatting sqref="G201:H202">
    <cfRule type="expression" dxfId="79" priority="9" stopIfTrue="1">
      <formula>ABS(SUM(G201)-SUM(#REF!))&gt;=1</formula>
    </cfRule>
  </conditionalFormatting>
  <conditionalFormatting sqref="G205:H206">
    <cfRule type="expression" dxfId="78" priority="8" stopIfTrue="1">
      <formula>ABS(SUM(G205)-SUM(#REF!))&gt;=1</formula>
    </cfRule>
  </conditionalFormatting>
  <conditionalFormatting sqref="G209:H210">
    <cfRule type="expression" dxfId="77" priority="7" stopIfTrue="1">
      <formula>ABS(SUM(G209)-SUM(#REF!))&gt;=1</formula>
    </cfRule>
  </conditionalFormatting>
  <conditionalFormatting sqref="G213:H214">
    <cfRule type="expression" dxfId="76" priority="6" stopIfTrue="1">
      <formula>ABS(SUM(G213)-SUM(#REF!))&gt;=1</formula>
    </cfRule>
  </conditionalFormatting>
  <conditionalFormatting sqref="G217:H218">
    <cfRule type="expression" dxfId="75" priority="5" stopIfTrue="1">
      <formula>ABS(SUM(G217)-SUM(#REF!))&gt;=1</formula>
    </cfRule>
  </conditionalFormatting>
  <conditionalFormatting sqref="G221:H222">
    <cfRule type="expression" dxfId="74" priority="4" stopIfTrue="1">
      <formula>ABS(SUM(G221)-SUM(#REF!))&gt;=1</formula>
    </cfRule>
  </conditionalFormatting>
  <conditionalFormatting sqref="G225:H226">
    <cfRule type="expression" dxfId="73" priority="3" stopIfTrue="1">
      <formula>ABS(SUM(G225)-SUM(#REF!))&gt;=1</formula>
    </cfRule>
  </conditionalFormatting>
  <conditionalFormatting sqref="G229:H230">
    <cfRule type="expression" dxfId="72" priority="2" stopIfTrue="1">
      <formula>ABS(SUM(G229)-SUM(#REF!))&gt;=1</formula>
    </cfRule>
  </conditionalFormatting>
  <dataValidations disablePrompts="1" count="2">
    <dataValidation type="whole" allowBlank="1" showInputMessage="1" showErrorMessage="1" sqref="WVF983062:WVF983277 IT65558:IT65773 SP65558:SP65773 ACL65558:ACL65773 AMH65558:AMH65773 AWD65558:AWD65773 BFZ65558:BFZ65773 BPV65558:BPV65773 BZR65558:BZR65773 CJN65558:CJN65773 CTJ65558:CTJ65773 DDF65558:DDF65773 DNB65558:DNB65773 DWX65558:DWX65773 EGT65558:EGT65773 EQP65558:EQP65773 FAL65558:FAL65773 FKH65558:FKH65773 FUD65558:FUD65773 GDZ65558:GDZ65773 GNV65558:GNV65773 GXR65558:GXR65773 HHN65558:HHN65773 HRJ65558:HRJ65773 IBF65558:IBF65773 ILB65558:ILB65773 IUX65558:IUX65773 JET65558:JET65773 JOP65558:JOP65773 JYL65558:JYL65773 KIH65558:KIH65773 KSD65558:KSD65773 LBZ65558:LBZ65773 LLV65558:LLV65773 LVR65558:LVR65773 MFN65558:MFN65773 MPJ65558:MPJ65773 MZF65558:MZF65773 NJB65558:NJB65773 NSX65558:NSX65773 OCT65558:OCT65773 OMP65558:OMP65773 OWL65558:OWL65773 PGH65558:PGH65773 PQD65558:PQD65773 PZZ65558:PZZ65773 QJV65558:QJV65773 QTR65558:QTR65773 RDN65558:RDN65773 RNJ65558:RNJ65773 RXF65558:RXF65773 SHB65558:SHB65773 SQX65558:SQX65773 TAT65558:TAT65773 TKP65558:TKP65773 TUL65558:TUL65773 UEH65558:UEH65773 UOD65558:UOD65773 UXZ65558:UXZ65773 VHV65558:VHV65773 VRR65558:VRR65773 WBN65558:WBN65773 WLJ65558:WLJ65773 WVF65558:WVF65773 IT131094:IT131309 SP131094:SP131309 ACL131094:ACL131309 AMH131094:AMH131309 AWD131094:AWD131309 BFZ131094:BFZ131309 BPV131094:BPV131309 BZR131094:BZR131309 CJN131094:CJN131309 CTJ131094:CTJ131309 DDF131094:DDF131309 DNB131094:DNB131309 DWX131094:DWX131309 EGT131094:EGT131309 EQP131094:EQP131309 FAL131094:FAL131309 FKH131094:FKH131309 FUD131094:FUD131309 GDZ131094:GDZ131309 GNV131094:GNV131309 GXR131094:GXR131309 HHN131094:HHN131309 HRJ131094:HRJ131309 IBF131094:IBF131309 ILB131094:ILB131309 IUX131094:IUX131309 JET131094:JET131309 JOP131094:JOP131309 JYL131094:JYL131309 KIH131094:KIH131309 KSD131094:KSD131309 LBZ131094:LBZ131309 LLV131094:LLV131309 LVR131094:LVR131309 MFN131094:MFN131309 MPJ131094:MPJ131309 MZF131094:MZF131309 NJB131094:NJB131309 NSX131094:NSX131309 OCT131094:OCT131309 OMP131094:OMP131309 OWL131094:OWL131309 PGH131094:PGH131309 PQD131094:PQD131309 PZZ131094:PZZ131309 QJV131094:QJV131309 QTR131094:QTR131309 RDN131094:RDN131309 RNJ131094:RNJ131309 RXF131094:RXF131309 SHB131094:SHB131309 SQX131094:SQX131309 TAT131094:TAT131309 TKP131094:TKP131309 TUL131094:TUL131309 UEH131094:UEH131309 UOD131094:UOD131309 UXZ131094:UXZ131309 VHV131094:VHV131309 VRR131094:VRR131309 WBN131094:WBN131309 WLJ131094:WLJ131309 WVF131094:WVF131309 IT196630:IT196845 SP196630:SP196845 ACL196630:ACL196845 AMH196630:AMH196845 AWD196630:AWD196845 BFZ196630:BFZ196845 BPV196630:BPV196845 BZR196630:BZR196845 CJN196630:CJN196845 CTJ196630:CTJ196845 DDF196630:DDF196845 DNB196630:DNB196845 DWX196630:DWX196845 EGT196630:EGT196845 EQP196630:EQP196845 FAL196630:FAL196845 FKH196630:FKH196845 FUD196630:FUD196845 GDZ196630:GDZ196845 GNV196630:GNV196845 GXR196630:GXR196845 HHN196630:HHN196845 HRJ196630:HRJ196845 IBF196630:IBF196845 ILB196630:ILB196845 IUX196630:IUX196845 JET196630:JET196845 JOP196630:JOP196845 JYL196630:JYL196845 KIH196630:KIH196845 KSD196630:KSD196845 LBZ196630:LBZ196845 LLV196630:LLV196845 LVR196630:LVR196845 MFN196630:MFN196845 MPJ196630:MPJ196845 MZF196630:MZF196845 NJB196630:NJB196845 NSX196630:NSX196845 OCT196630:OCT196845 OMP196630:OMP196845 OWL196630:OWL196845 PGH196630:PGH196845 PQD196630:PQD196845 PZZ196630:PZZ196845 QJV196630:QJV196845 QTR196630:QTR196845 RDN196630:RDN196845 RNJ196630:RNJ196845 RXF196630:RXF196845 SHB196630:SHB196845 SQX196630:SQX196845 TAT196630:TAT196845 TKP196630:TKP196845 TUL196630:TUL196845 UEH196630:UEH196845 UOD196630:UOD196845 UXZ196630:UXZ196845 VHV196630:VHV196845 VRR196630:VRR196845 WBN196630:WBN196845 WLJ196630:WLJ196845 WVF196630:WVF196845 IT262166:IT262381 SP262166:SP262381 ACL262166:ACL262381 AMH262166:AMH262381 AWD262166:AWD262381 BFZ262166:BFZ262381 BPV262166:BPV262381 BZR262166:BZR262381 CJN262166:CJN262381 CTJ262166:CTJ262381 DDF262166:DDF262381 DNB262166:DNB262381 DWX262166:DWX262381 EGT262166:EGT262381 EQP262166:EQP262381 FAL262166:FAL262381 FKH262166:FKH262381 FUD262166:FUD262381 GDZ262166:GDZ262381 GNV262166:GNV262381 GXR262166:GXR262381 HHN262166:HHN262381 HRJ262166:HRJ262381 IBF262166:IBF262381 ILB262166:ILB262381 IUX262166:IUX262381 JET262166:JET262381 JOP262166:JOP262381 JYL262166:JYL262381 KIH262166:KIH262381 KSD262166:KSD262381 LBZ262166:LBZ262381 LLV262166:LLV262381 LVR262166:LVR262381 MFN262166:MFN262381 MPJ262166:MPJ262381 MZF262166:MZF262381 NJB262166:NJB262381 NSX262166:NSX262381 OCT262166:OCT262381 OMP262166:OMP262381 OWL262166:OWL262381 PGH262166:PGH262381 PQD262166:PQD262381 PZZ262166:PZZ262381 QJV262166:QJV262381 QTR262166:QTR262381 RDN262166:RDN262381 RNJ262166:RNJ262381 RXF262166:RXF262381 SHB262166:SHB262381 SQX262166:SQX262381 TAT262166:TAT262381 TKP262166:TKP262381 TUL262166:TUL262381 UEH262166:UEH262381 UOD262166:UOD262381 UXZ262166:UXZ262381 VHV262166:VHV262381 VRR262166:VRR262381 WBN262166:WBN262381 WLJ262166:WLJ262381 WVF262166:WVF262381 IT327702:IT327917 SP327702:SP327917 ACL327702:ACL327917 AMH327702:AMH327917 AWD327702:AWD327917 BFZ327702:BFZ327917 BPV327702:BPV327917 BZR327702:BZR327917 CJN327702:CJN327917 CTJ327702:CTJ327917 DDF327702:DDF327917 DNB327702:DNB327917 DWX327702:DWX327917 EGT327702:EGT327917 EQP327702:EQP327917 FAL327702:FAL327917 FKH327702:FKH327917 FUD327702:FUD327917 GDZ327702:GDZ327917 GNV327702:GNV327917 GXR327702:GXR327917 HHN327702:HHN327917 HRJ327702:HRJ327917 IBF327702:IBF327917 ILB327702:ILB327917 IUX327702:IUX327917 JET327702:JET327917 JOP327702:JOP327917 JYL327702:JYL327917 KIH327702:KIH327917 KSD327702:KSD327917 LBZ327702:LBZ327917 LLV327702:LLV327917 LVR327702:LVR327917 MFN327702:MFN327917 MPJ327702:MPJ327917 MZF327702:MZF327917 NJB327702:NJB327917 NSX327702:NSX327917 OCT327702:OCT327917 OMP327702:OMP327917 OWL327702:OWL327917 PGH327702:PGH327917 PQD327702:PQD327917 PZZ327702:PZZ327917 QJV327702:QJV327917 QTR327702:QTR327917 RDN327702:RDN327917 RNJ327702:RNJ327917 RXF327702:RXF327917 SHB327702:SHB327917 SQX327702:SQX327917 TAT327702:TAT327917 TKP327702:TKP327917 TUL327702:TUL327917 UEH327702:UEH327917 UOD327702:UOD327917 UXZ327702:UXZ327917 VHV327702:VHV327917 VRR327702:VRR327917 WBN327702:WBN327917 WLJ327702:WLJ327917 WVF327702:WVF327917 IT393238:IT393453 SP393238:SP393453 ACL393238:ACL393453 AMH393238:AMH393453 AWD393238:AWD393453 BFZ393238:BFZ393453 BPV393238:BPV393453 BZR393238:BZR393453 CJN393238:CJN393453 CTJ393238:CTJ393453 DDF393238:DDF393453 DNB393238:DNB393453 DWX393238:DWX393453 EGT393238:EGT393453 EQP393238:EQP393453 FAL393238:FAL393453 FKH393238:FKH393453 FUD393238:FUD393453 GDZ393238:GDZ393453 GNV393238:GNV393453 GXR393238:GXR393453 HHN393238:HHN393453 HRJ393238:HRJ393453 IBF393238:IBF393453 ILB393238:ILB393453 IUX393238:IUX393453 JET393238:JET393453 JOP393238:JOP393453 JYL393238:JYL393453 KIH393238:KIH393453 KSD393238:KSD393453 LBZ393238:LBZ393453 LLV393238:LLV393453 LVR393238:LVR393453 MFN393238:MFN393453 MPJ393238:MPJ393453 MZF393238:MZF393453 NJB393238:NJB393453 NSX393238:NSX393453 OCT393238:OCT393453 OMP393238:OMP393453 OWL393238:OWL393453 PGH393238:PGH393453 PQD393238:PQD393453 PZZ393238:PZZ393453 QJV393238:QJV393453 QTR393238:QTR393453 RDN393238:RDN393453 RNJ393238:RNJ393453 RXF393238:RXF393453 SHB393238:SHB393453 SQX393238:SQX393453 TAT393238:TAT393453 TKP393238:TKP393453 TUL393238:TUL393453 UEH393238:UEH393453 UOD393238:UOD393453 UXZ393238:UXZ393453 VHV393238:VHV393453 VRR393238:VRR393453 WBN393238:WBN393453 WLJ393238:WLJ393453 WVF393238:WVF393453 IT458774:IT458989 SP458774:SP458989 ACL458774:ACL458989 AMH458774:AMH458989 AWD458774:AWD458989 BFZ458774:BFZ458989 BPV458774:BPV458989 BZR458774:BZR458989 CJN458774:CJN458989 CTJ458774:CTJ458989 DDF458774:DDF458989 DNB458774:DNB458989 DWX458774:DWX458989 EGT458774:EGT458989 EQP458774:EQP458989 FAL458774:FAL458989 FKH458774:FKH458989 FUD458774:FUD458989 GDZ458774:GDZ458989 GNV458774:GNV458989 GXR458774:GXR458989 HHN458774:HHN458989 HRJ458774:HRJ458989 IBF458774:IBF458989 ILB458774:ILB458989 IUX458774:IUX458989 JET458774:JET458989 JOP458774:JOP458989 JYL458774:JYL458989 KIH458774:KIH458989 KSD458774:KSD458989 LBZ458774:LBZ458989 LLV458774:LLV458989 LVR458774:LVR458989 MFN458774:MFN458989 MPJ458774:MPJ458989 MZF458774:MZF458989 NJB458774:NJB458989 NSX458774:NSX458989 OCT458774:OCT458989 OMP458774:OMP458989 OWL458774:OWL458989 PGH458774:PGH458989 PQD458774:PQD458989 PZZ458774:PZZ458989 QJV458774:QJV458989 QTR458774:QTR458989 RDN458774:RDN458989 RNJ458774:RNJ458989 RXF458774:RXF458989 SHB458774:SHB458989 SQX458774:SQX458989 TAT458774:TAT458989 TKP458774:TKP458989 TUL458774:TUL458989 UEH458774:UEH458989 UOD458774:UOD458989 UXZ458774:UXZ458989 VHV458774:VHV458989 VRR458774:VRR458989 WBN458774:WBN458989 WLJ458774:WLJ458989 WVF458774:WVF458989 IT524310:IT524525 SP524310:SP524525 ACL524310:ACL524525 AMH524310:AMH524525 AWD524310:AWD524525 BFZ524310:BFZ524525 BPV524310:BPV524525 BZR524310:BZR524525 CJN524310:CJN524525 CTJ524310:CTJ524525 DDF524310:DDF524525 DNB524310:DNB524525 DWX524310:DWX524525 EGT524310:EGT524525 EQP524310:EQP524525 FAL524310:FAL524525 FKH524310:FKH524525 FUD524310:FUD524525 GDZ524310:GDZ524525 GNV524310:GNV524525 GXR524310:GXR524525 HHN524310:HHN524525 HRJ524310:HRJ524525 IBF524310:IBF524525 ILB524310:ILB524525 IUX524310:IUX524525 JET524310:JET524525 JOP524310:JOP524525 JYL524310:JYL524525 KIH524310:KIH524525 KSD524310:KSD524525 LBZ524310:LBZ524525 LLV524310:LLV524525 LVR524310:LVR524525 MFN524310:MFN524525 MPJ524310:MPJ524525 MZF524310:MZF524525 NJB524310:NJB524525 NSX524310:NSX524525 OCT524310:OCT524525 OMP524310:OMP524525 OWL524310:OWL524525 PGH524310:PGH524525 PQD524310:PQD524525 PZZ524310:PZZ524525 QJV524310:QJV524525 QTR524310:QTR524525 RDN524310:RDN524525 RNJ524310:RNJ524525 RXF524310:RXF524525 SHB524310:SHB524525 SQX524310:SQX524525 TAT524310:TAT524525 TKP524310:TKP524525 TUL524310:TUL524525 UEH524310:UEH524525 UOD524310:UOD524525 UXZ524310:UXZ524525 VHV524310:VHV524525 VRR524310:VRR524525 WBN524310:WBN524525 WLJ524310:WLJ524525 WVF524310:WVF524525 IT589846:IT590061 SP589846:SP590061 ACL589846:ACL590061 AMH589846:AMH590061 AWD589846:AWD590061 BFZ589846:BFZ590061 BPV589846:BPV590061 BZR589846:BZR590061 CJN589846:CJN590061 CTJ589846:CTJ590061 DDF589846:DDF590061 DNB589846:DNB590061 DWX589846:DWX590061 EGT589846:EGT590061 EQP589846:EQP590061 FAL589846:FAL590061 FKH589846:FKH590061 FUD589846:FUD590061 GDZ589846:GDZ590061 GNV589846:GNV590061 GXR589846:GXR590061 HHN589846:HHN590061 HRJ589846:HRJ590061 IBF589846:IBF590061 ILB589846:ILB590061 IUX589846:IUX590061 JET589846:JET590061 JOP589846:JOP590061 JYL589846:JYL590061 KIH589846:KIH590061 KSD589846:KSD590061 LBZ589846:LBZ590061 LLV589846:LLV590061 LVR589846:LVR590061 MFN589846:MFN590061 MPJ589846:MPJ590061 MZF589846:MZF590061 NJB589846:NJB590061 NSX589846:NSX590061 OCT589846:OCT590061 OMP589846:OMP590061 OWL589846:OWL590061 PGH589846:PGH590061 PQD589846:PQD590061 PZZ589846:PZZ590061 QJV589846:QJV590061 QTR589846:QTR590061 RDN589846:RDN590061 RNJ589846:RNJ590061 RXF589846:RXF590061 SHB589846:SHB590061 SQX589846:SQX590061 TAT589846:TAT590061 TKP589846:TKP590061 TUL589846:TUL590061 UEH589846:UEH590061 UOD589846:UOD590061 UXZ589846:UXZ590061 VHV589846:VHV590061 VRR589846:VRR590061 WBN589846:WBN590061 WLJ589846:WLJ590061 WVF589846:WVF590061 IT655382:IT655597 SP655382:SP655597 ACL655382:ACL655597 AMH655382:AMH655597 AWD655382:AWD655597 BFZ655382:BFZ655597 BPV655382:BPV655597 BZR655382:BZR655597 CJN655382:CJN655597 CTJ655382:CTJ655597 DDF655382:DDF655597 DNB655382:DNB655597 DWX655382:DWX655597 EGT655382:EGT655597 EQP655382:EQP655597 FAL655382:FAL655597 FKH655382:FKH655597 FUD655382:FUD655597 GDZ655382:GDZ655597 GNV655382:GNV655597 GXR655382:GXR655597 HHN655382:HHN655597 HRJ655382:HRJ655597 IBF655382:IBF655597 ILB655382:ILB655597 IUX655382:IUX655597 JET655382:JET655597 JOP655382:JOP655597 JYL655382:JYL655597 KIH655382:KIH655597 KSD655382:KSD655597 LBZ655382:LBZ655597 LLV655382:LLV655597 LVR655382:LVR655597 MFN655382:MFN655597 MPJ655382:MPJ655597 MZF655382:MZF655597 NJB655382:NJB655597 NSX655382:NSX655597 OCT655382:OCT655597 OMP655382:OMP655597 OWL655382:OWL655597 PGH655382:PGH655597 PQD655382:PQD655597 PZZ655382:PZZ655597 QJV655382:QJV655597 QTR655382:QTR655597 RDN655382:RDN655597 RNJ655382:RNJ655597 RXF655382:RXF655597 SHB655382:SHB655597 SQX655382:SQX655597 TAT655382:TAT655597 TKP655382:TKP655597 TUL655382:TUL655597 UEH655382:UEH655597 UOD655382:UOD655597 UXZ655382:UXZ655597 VHV655382:VHV655597 VRR655382:VRR655597 WBN655382:WBN655597 WLJ655382:WLJ655597 WVF655382:WVF655597 IT720918:IT721133 SP720918:SP721133 ACL720918:ACL721133 AMH720918:AMH721133 AWD720918:AWD721133 BFZ720918:BFZ721133 BPV720918:BPV721133 BZR720918:BZR721133 CJN720918:CJN721133 CTJ720918:CTJ721133 DDF720918:DDF721133 DNB720918:DNB721133 DWX720918:DWX721133 EGT720918:EGT721133 EQP720918:EQP721133 FAL720918:FAL721133 FKH720918:FKH721133 FUD720918:FUD721133 GDZ720918:GDZ721133 GNV720918:GNV721133 GXR720918:GXR721133 HHN720918:HHN721133 HRJ720918:HRJ721133 IBF720918:IBF721133 ILB720918:ILB721133 IUX720918:IUX721133 JET720918:JET721133 JOP720918:JOP721133 JYL720918:JYL721133 KIH720918:KIH721133 KSD720918:KSD721133 LBZ720918:LBZ721133 LLV720918:LLV721133 LVR720918:LVR721133 MFN720918:MFN721133 MPJ720918:MPJ721133 MZF720918:MZF721133 NJB720918:NJB721133 NSX720918:NSX721133 OCT720918:OCT721133 OMP720918:OMP721133 OWL720918:OWL721133 PGH720918:PGH721133 PQD720918:PQD721133 PZZ720918:PZZ721133 QJV720918:QJV721133 QTR720918:QTR721133 RDN720918:RDN721133 RNJ720918:RNJ721133 RXF720918:RXF721133 SHB720918:SHB721133 SQX720918:SQX721133 TAT720918:TAT721133 TKP720918:TKP721133 TUL720918:TUL721133 UEH720918:UEH721133 UOD720918:UOD721133 UXZ720918:UXZ721133 VHV720918:VHV721133 VRR720918:VRR721133 WBN720918:WBN721133 WLJ720918:WLJ721133 WVF720918:WVF721133 IT786454:IT786669 SP786454:SP786669 ACL786454:ACL786669 AMH786454:AMH786669 AWD786454:AWD786669 BFZ786454:BFZ786669 BPV786454:BPV786669 BZR786454:BZR786669 CJN786454:CJN786669 CTJ786454:CTJ786669 DDF786454:DDF786669 DNB786454:DNB786669 DWX786454:DWX786669 EGT786454:EGT786669 EQP786454:EQP786669 FAL786454:FAL786669 FKH786454:FKH786669 FUD786454:FUD786669 GDZ786454:GDZ786669 GNV786454:GNV786669 GXR786454:GXR786669 HHN786454:HHN786669 HRJ786454:HRJ786669 IBF786454:IBF786669 ILB786454:ILB786669 IUX786454:IUX786669 JET786454:JET786669 JOP786454:JOP786669 JYL786454:JYL786669 KIH786454:KIH786669 KSD786454:KSD786669 LBZ786454:LBZ786669 LLV786454:LLV786669 LVR786454:LVR786669 MFN786454:MFN786669 MPJ786454:MPJ786669 MZF786454:MZF786669 NJB786454:NJB786669 NSX786454:NSX786669 OCT786454:OCT786669 OMP786454:OMP786669 OWL786454:OWL786669 PGH786454:PGH786669 PQD786454:PQD786669 PZZ786454:PZZ786669 QJV786454:QJV786669 QTR786454:QTR786669 RDN786454:RDN786669 RNJ786454:RNJ786669 RXF786454:RXF786669 SHB786454:SHB786669 SQX786454:SQX786669 TAT786454:TAT786669 TKP786454:TKP786669 TUL786454:TUL786669 UEH786454:UEH786669 UOD786454:UOD786669 UXZ786454:UXZ786669 VHV786454:VHV786669 VRR786454:VRR786669 WBN786454:WBN786669 WLJ786454:WLJ786669 WVF786454:WVF786669 IT851990:IT852205 SP851990:SP852205 ACL851990:ACL852205 AMH851990:AMH852205 AWD851990:AWD852205 BFZ851990:BFZ852205 BPV851990:BPV852205 BZR851990:BZR852205 CJN851990:CJN852205 CTJ851990:CTJ852205 DDF851990:DDF852205 DNB851990:DNB852205 DWX851990:DWX852205 EGT851990:EGT852205 EQP851990:EQP852205 FAL851990:FAL852205 FKH851990:FKH852205 FUD851990:FUD852205 GDZ851990:GDZ852205 GNV851990:GNV852205 GXR851990:GXR852205 HHN851990:HHN852205 HRJ851990:HRJ852205 IBF851990:IBF852205 ILB851990:ILB852205 IUX851990:IUX852205 JET851990:JET852205 JOP851990:JOP852205 JYL851990:JYL852205 KIH851990:KIH852205 KSD851990:KSD852205 LBZ851990:LBZ852205 LLV851990:LLV852205 LVR851990:LVR852205 MFN851990:MFN852205 MPJ851990:MPJ852205 MZF851990:MZF852205 NJB851990:NJB852205 NSX851990:NSX852205 OCT851990:OCT852205 OMP851990:OMP852205 OWL851990:OWL852205 PGH851990:PGH852205 PQD851990:PQD852205 PZZ851990:PZZ852205 QJV851990:QJV852205 QTR851990:QTR852205 RDN851990:RDN852205 RNJ851990:RNJ852205 RXF851990:RXF852205 SHB851990:SHB852205 SQX851990:SQX852205 TAT851990:TAT852205 TKP851990:TKP852205 TUL851990:TUL852205 UEH851990:UEH852205 UOD851990:UOD852205 UXZ851990:UXZ852205 VHV851990:VHV852205 VRR851990:VRR852205 WBN851990:WBN852205 WLJ851990:WLJ852205 WVF851990:WVF852205 IT917526:IT917741 SP917526:SP917741 ACL917526:ACL917741 AMH917526:AMH917741 AWD917526:AWD917741 BFZ917526:BFZ917741 BPV917526:BPV917741 BZR917526:BZR917741 CJN917526:CJN917741 CTJ917526:CTJ917741 DDF917526:DDF917741 DNB917526:DNB917741 DWX917526:DWX917741 EGT917526:EGT917741 EQP917526:EQP917741 FAL917526:FAL917741 FKH917526:FKH917741 FUD917526:FUD917741 GDZ917526:GDZ917741 GNV917526:GNV917741 GXR917526:GXR917741 HHN917526:HHN917741 HRJ917526:HRJ917741 IBF917526:IBF917741 ILB917526:ILB917741 IUX917526:IUX917741 JET917526:JET917741 JOP917526:JOP917741 JYL917526:JYL917741 KIH917526:KIH917741 KSD917526:KSD917741 LBZ917526:LBZ917741 LLV917526:LLV917741 LVR917526:LVR917741 MFN917526:MFN917741 MPJ917526:MPJ917741 MZF917526:MZF917741 NJB917526:NJB917741 NSX917526:NSX917741 OCT917526:OCT917741 OMP917526:OMP917741 OWL917526:OWL917741 PGH917526:PGH917741 PQD917526:PQD917741 PZZ917526:PZZ917741 QJV917526:QJV917741 QTR917526:QTR917741 RDN917526:RDN917741 RNJ917526:RNJ917741 RXF917526:RXF917741 SHB917526:SHB917741 SQX917526:SQX917741 TAT917526:TAT917741 TKP917526:TKP917741 TUL917526:TUL917741 UEH917526:UEH917741 UOD917526:UOD917741 UXZ917526:UXZ917741 VHV917526:VHV917741 VRR917526:VRR917741 WBN917526:WBN917741 WLJ917526:WLJ917741 WVF917526:WVF917741 IT983062:IT983277 SP983062:SP983277 ACL983062:ACL983277 AMH983062:AMH983277 AWD983062:AWD983277 BFZ983062:BFZ983277 BPV983062:BPV983277 BZR983062:BZR983277 CJN983062:CJN983277 CTJ983062:CTJ983277 DDF983062:DDF983277 DNB983062:DNB983277 DWX983062:DWX983277 EGT983062:EGT983277 EQP983062:EQP983277 FAL983062:FAL983277 FKH983062:FKH983277 FUD983062:FUD983277 GDZ983062:GDZ983277 GNV983062:GNV983277 GXR983062:GXR983277 HHN983062:HHN983277 HRJ983062:HRJ983277 IBF983062:IBF983277 ILB983062:ILB983277 IUX983062:IUX983277 JET983062:JET983277 JOP983062:JOP983277 JYL983062:JYL983277 KIH983062:KIH983277 KSD983062:KSD983277 LBZ983062:LBZ983277 LLV983062:LLV983277 LVR983062:LVR983277 MFN983062:MFN983277 MPJ983062:MPJ983277 MZF983062:MZF983277 NJB983062:NJB983277 NSX983062:NSX983277 OCT983062:OCT983277 OMP983062:OMP983277 OWL983062:OWL983277 PGH983062:PGH983277 PQD983062:PQD983277 PZZ983062:PZZ983277 QJV983062:QJV983277 QTR983062:QTR983277 RDN983062:RDN983277 RNJ983062:RNJ983277 RXF983062:RXF983277 SHB983062:SHB983277 SQX983062:SQX983277 TAT983062:TAT983277 TKP983062:TKP983277 TUL983062:TUL983277 UEH983062:UEH983277 UOD983062:UOD983277 UXZ983062:UXZ983277 VHV983062:VHV983277 VRR983062:VRR983277 WBN983062:WBN983277 WLJ983062:WLJ983277 KSD9:KSD237 KIH9:KIH237 JYL9:JYL237 JOP9:JOP237 JET9:JET237 IUX9:IUX237 ILB9:ILB237 IBF9:IBF237 HRJ9:HRJ237 HHN9:HHN237 GXR9:GXR237 GNV9:GNV237 GDZ9:GDZ237 FUD9:FUD237 FKH9:FKH237 FAL9:FAL237 EQP9:EQP237 EGT9:EGT237 DWX9:DWX237 DNB9:DNB237 DDF9:DDF237 CTJ9:CTJ237 CJN9:CJN237 BZR9:BZR237 BPV9:BPV237 BFZ9:BFZ237 AWD9:AWD237 AMH9:AMH237 ACL9:ACL237 SP9:SP237 IT9:IT237 WVF9:WVF237 WLJ9:WLJ237 WBN9:WBN237 VRR9:VRR237 VHV9:VHV237 UXZ9:UXZ237 UOD9:UOD237 UEH9:UEH237 TUL9:TUL237 TKP9:TKP237 TAT9:TAT237 SQX9:SQX237 SHB9:SHB237 RXF9:RXF237 RNJ9:RNJ237 RDN9:RDN237 QTR9:QTR237 QJV9:QJV237 PZZ9:PZZ237 PQD9:PQD237 PGH9:PGH237 OWL9:OWL237 OMP9:OMP237 OCT9:OCT237 NSX9:NSX237 NJB9:NJB237 MZF9:MZF237 MPJ9:MPJ237 MFN9:MFN237 LVR9:LVR237 LLV9:LLV237 LBZ9:LBZ237">
      <formula1>-9.99999999999999E+31</formula1>
      <formula2>9.99999999999999E+31</formula2>
    </dataValidation>
    <dataValidation type="whole" allowBlank="1" showInputMessage="1" showErrorMessage="1" sqref="IR65558:IR65773 SN65558:SN65773 ACJ65558:ACJ65773 AMF65558:AMF65773 AWB65558:AWB65773 BFX65558:BFX65773 BPT65558:BPT65773 BZP65558:BZP65773 CJL65558:CJL65773 CTH65558:CTH65773 DDD65558:DDD65773 DMZ65558:DMZ65773 DWV65558:DWV65773 EGR65558:EGR65773 EQN65558:EQN65773 FAJ65558:FAJ65773 FKF65558:FKF65773 FUB65558:FUB65773 GDX65558:GDX65773 GNT65558:GNT65773 GXP65558:GXP65773 HHL65558:HHL65773 HRH65558:HRH65773 IBD65558:IBD65773 IKZ65558:IKZ65773 IUV65558:IUV65773 JER65558:JER65773 JON65558:JON65773 JYJ65558:JYJ65773 KIF65558:KIF65773 KSB65558:KSB65773 LBX65558:LBX65773 LLT65558:LLT65773 LVP65558:LVP65773 MFL65558:MFL65773 MPH65558:MPH65773 MZD65558:MZD65773 NIZ65558:NIZ65773 NSV65558:NSV65773 OCR65558:OCR65773 OMN65558:OMN65773 OWJ65558:OWJ65773 PGF65558:PGF65773 PQB65558:PQB65773 PZX65558:PZX65773 QJT65558:QJT65773 QTP65558:QTP65773 RDL65558:RDL65773 RNH65558:RNH65773 RXD65558:RXD65773 SGZ65558:SGZ65773 SQV65558:SQV65773 TAR65558:TAR65773 TKN65558:TKN65773 TUJ65558:TUJ65773 UEF65558:UEF65773 UOB65558:UOB65773 UXX65558:UXX65773 VHT65558:VHT65773 VRP65558:VRP65773 WBL65558:WBL65773 WLH65558:WLH65773 WVD65558:WVD65773 IR131094:IR131309 SN131094:SN131309 ACJ131094:ACJ131309 AMF131094:AMF131309 AWB131094:AWB131309 BFX131094:BFX131309 BPT131094:BPT131309 BZP131094:BZP131309 CJL131094:CJL131309 CTH131094:CTH131309 DDD131094:DDD131309 DMZ131094:DMZ131309 DWV131094:DWV131309 EGR131094:EGR131309 EQN131094:EQN131309 FAJ131094:FAJ131309 FKF131094:FKF131309 FUB131094:FUB131309 GDX131094:GDX131309 GNT131094:GNT131309 GXP131094:GXP131309 HHL131094:HHL131309 HRH131094:HRH131309 IBD131094:IBD131309 IKZ131094:IKZ131309 IUV131094:IUV131309 JER131094:JER131309 JON131094:JON131309 JYJ131094:JYJ131309 KIF131094:KIF131309 KSB131094:KSB131309 LBX131094:LBX131309 LLT131094:LLT131309 LVP131094:LVP131309 MFL131094:MFL131309 MPH131094:MPH131309 MZD131094:MZD131309 NIZ131094:NIZ131309 NSV131094:NSV131309 OCR131094:OCR131309 OMN131094:OMN131309 OWJ131094:OWJ131309 PGF131094:PGF131309 PQB131094:PQB131309 PZX131094:PZX131309 QJT131094:QJT131309 QTP131094:QTP131309 RDL131094:RDL131309 RNH131094:RNH131309 RXD131094:RXD131309 SGZ131094:SGZ131309 SQV131094:SQV131309 TAR131094:TAR131309 TKN131094:TKN131309 TUJ131094:TUJ131309 UEF131094:UEF131309 UOB131094:UOB131309 UXX131094:UXX131309 VHT131094:VHT131309 VRP131094:VRP131309 WBL131094:WBL131309 WLH131094:WLH131309 WVD131094:WVD131309 IR196630:IR196845 SN196630:SN196845 ACJ196630:ACJ196845 AMF196630:AMF196845 AWB196630:AWB196845 BFX196630:BFX196845 BPT196630:BPT196845 BZP196630:BZP196845 CJL196630:CJL196845 CTH196630:CTH196845 DDD196630:DDD196845 DMZ196630:DMZ196845 DWV196630:DWV196845 EGR196630:EGR196845 EQN196630:EQN196845 FAJ196630:FAJ196845 FKF196630:FKF196845 FUB196630:FUB196845 GDX196630:GDX196845 GNT196630:GNT196845 GXP196630:GXP196845 HHL196630:HHL196845 HRH196630:HRH196845 IBD196630:IBD196845 IKZ196630:IKZ196845 IUV196630:IUV196845 JER196630:JER196845 JON196630:JON196845 JYJ196630:JYJ196845 KIF196630:KIF196845 KSB196630:KSB196845 LBX196630:LBX196845 LLT196630:LLT196845 LVP196630:LVP196845 MFL196630:MFL196845 MPH196630:MPH196845 MZD196630:MZD196845 NIZ196630:NIZ196845 NSV196630:NSV196845 OCR196630:OCR196845 OMN196630:OMN196845 OWJ196630:OWJ196845 PGF196630:PGF196845 PQB196630:PQB196845 PZX196630:PZX196845 QJT196630:QJT196845 QTP196630:QTP196845 RDL196630:RDL196845 RNH196630:RNH196845 RXD196630:RXD196845 SGZ196630:SGZ196845 SQV196630:SQV196845 TAR196630:TAR196845 TKN196630:TKN196845 TUJ196630:TUJ196845 UEF196630:UEF196845 UOB196630:UOB196845 UXX196630:UXX196845 VHT196630:VHT196845 VRP196630:VRP196845 WBL196630:WBL196845 WLH196630:WLH196845 WVD196630:WVD196845 IR262166:IR262381 SN262166:SN262381 ACJ262166:ACJ262381 AMF262166:AMF262381 AWB262166:AWB262381 BFX262166:BFX262381 BPT262166:BPT262381 BZP262166:BZP262381 CJL262166:CJL262381 CTH262166:CTH262381 DDD262166:DDD262381 DMZ262166:DMZ262381 DWV262166:DWV262381 EGR262166:EGR262381 EQN262166:EQN262381 FAJ262166:FAJ262381 FKF262166:FKF262381 FUB262166:FUB262381 GDX262166:GDX262381 GNT262166:GNT262381 GXP262166:GXP262381 HHL262166:HHL262381 HRH262166:HRH262381 IBD262166:IBD262381 IKZ262166:IKZ262381 IUV262166:IUV262381 JER262166:JER262381 JON262166:JON262381 JYJ262166:JYJ262381 KIF262166:KIF262381 KSB262166:KSB262381 LBX262166:LBX262381 LLT262166:LLT262381 LVP262166:LVP262381 MFL262166:MFL262381 MPH262166:MPH262381 MZD262166:MZD262381 NIZ262166:NIZ262381 NSV262166:NSV262381 OCR262166:OCR262381 OMN262166:OMN262381 OWJ262166:OWJ262381 PGF262166:PGF262381 PQB262166:PQB262381 PZX262166:PZX262381 QJT262166:QJT262381 QTP262166:QTP262381 RDL262166:RDL262381 RNH262166:RNH262381 RXD262166:RXD262381 SGZ262166:SGZ262381 SQV262166:SQV262381 TAR262166:TAR262381 TKN262166:TKN262381 TUJ262166:TUJ262381 UEF262166:UEF262381 UOB262166:UOB262381 UXX262166:UXX262381 VHT262166:VHT262381 VRP262166:VRP262381 WBL262166:WBL262381 WLH262166:WLH262381 WVD262166:WVD262381 IR327702:IR327917 SN327702:SN327917 ACJ327702:ACJ327917 AMF327702:AMF327917 AWB327702:AWB327917 BFX327702:BFX327917 BPT327702:BPT327917 BZP327702:BZP327917 CJL327702:CJL327917 CTH327702:CTH327917 DDD327702:DDD327917 DMZ327702:DMZ327917 DWV327702:DWV327917 EGR327702:EGR327917 EQN327702:EQN327917 FAJ327702:FAJ327917 FKF327702:FKF327917 FUB327702:FUB327917 GDX327702:GDX327917 GNT327702:GNT327917 GXP327702:GXP327917 HHL327702:HHL327917 HRH327702:HRH327917 IBD327702:IBD327917 IKZ327702:IKZ327917 IUV327702:IUV327917 JER327702:JER327917 JON327702:JON327917 JYJ327702:JYJ327917 KIF327702:KIF327917 KSB327702:KSB327917 LBX327702:LBX327917 LLT327702:LLT327917 LVP327702:LVP327917 MFL327702:MFL327917 MPH327702:MPH327917 MZD327702:MZD327917 NIZ327702:NIZ327917 NSV327702:NSV327917 OCR327702:OCR327917 OMN327702:OMN327917 OWJ327702:OWJ327917 PGF327702:PGF327917 PQB327702:PQB327917 PZX327702:PZX327917 QJT327702:QJT327917 QTP327702:QTP327917 RDL327702:RDL327917 RNH327702:RNH327917 RXD327702:RXD327917 SGZ327702:SGZ327917 SQV327702:SQV327917 TAR327702:TAR327917 TKN327702:TKN327917 TUJ327702:TUJ327917 UEF327702:UEF327917 UOB327702:UOB327917 UXX327702:UXX327917 VHT327702:VHT327917 VRP327702:VRP327917 WBL327702:WBL327917 WLH327702:WLH327917 WVD327702:WVD327917 IR393238:IR393453 SN393238:SN393453 ACJ393238:ACJ393453 AMF393238:AMF393453 AWB393238:AWB393453 BFX393238:BFX393453 BPT393238:BPT393453 BZP393238:BZP393453 CJL393238:CJL393453 CTH393238:CTH393453 DDD393238:DDD393453 DMZ393238:DMZ393453 DWV393238:DWV393453 EGR393238:EGR393453 EQN393238:EQN393453 FAJ393238:FAJ393453 FKF393238:FKF393453 FUB393238:FUB393453 GDX393238:GDX393453 GNT393238:GNT393453 GXP393238:GXP393453 HHL393238:HHL393453 HRH393238:HRH393453 IBD393238:IBD393453 IKZ393238:IKZ393453 IUV393238:IUV393453 JER393238:JER393453 JON393238:JON393453 JYJ393238:JYJ393453 KIF393238:KIF393453 KSB393238:KSB393453 LBX393238:LBX393453 LLT393238:LLT393453 LVP393238:LVP393453 MFL393238:MFL393453 MPH393238:MPH393453 MZD393238:MZD393453 NIZ393238:NIZ393453 NSV393238:NSV393453 OCR393238:OCR393453 OMN393238:OMN393453 OWJ393238:OWJ393453 PGF393238:PGF393453 PQB393238:PQB393453 PZX393238:PZX393453 QJT393238:QJT393453 QTP393238:QTP393453 RDL393238:RDL393453 RNH393238:RNH393453 RXD393238:RXD393453 SGZ393238:SGZ393453 SQV393238:SQV393453 TAR393238:TAR393453 TKN393238:TKN393453 TUJ393238:TUJ393453 UEF393238:UEF393453 UOB393238:UOB393453 UXX393238:UXX393453 VHT393238:VHT393453 VRP393238:VRP393453 WBL393238:WBL393453 WLH393238:WLH393453 WVD393238:WVD393453 IR458774:IR458989 SN458774:SN458989 ACJ458774:ACJ458989 AMF458774:AMF458989 AWB458774:AWB458989 BFX458774:BFX458989 BPT458774:BPT458989 BZP458774:BZP458989 CJL458774:CJL458989 CTH458774:CTH458989 DDD458774:DDD458989 DMZ458774:DMZ458989 DWV458774:DWV458989 EGR458774:EGR458989 EQN458774:EQN458989 FAJ458774:FAJ458989 FKF458774:FKF458989 FUB458774:FUB458989 GDX458774:GDX458989 GNT458774:GNT458989 GXP458774:GXP458989 HHL458774:HHL458989 HRH458774:HRH458989 IBD458774:IBD458989 IKZ458774:IKZ458989 IUV458774:IUV458989 JER458774:JER458989 JON458774:JON458989 JYJ458774:JYJ458989 KIF458774:KIF458989 KSB458774:KSB458989 LBX458774:LBX458989 LLT458774:LLT458989 LVP458774:LVP458989 MFL458774:MFL458989 MPH458774:MPH458989 MZD458774:MZD458989 NIZ458774:NIZ458989 NSV458774:NSV458989 OCR458774:OCR458989 OMN458774:OMN458989 OWJ458774:OWJ458989 PGF458774:PGF458989 PQB458774:PQB458989 PZX458774:PZX458989 QJT458774:QJT458989 QTP458774:QTP458989 RDL458774:RDL458989 RNH458774:RNH458989 RXD458774:RXD458989 SGZ458774:SGZ458989 SQV458774:SQV458989 TAR458774:TAR458989 TKN458774:TKN458989 TUJ458774:TUJ458989 UEF458774:UEF458989 UOB458774:UOB458989 UXX458774:UXX458989 VHT458774:VHT458989 VRP458774:VRP458989 WBL458774:WBL458989 WLH458774:WLH458989 WVD458774:WVD458989 IR524310:IR524525 SN524310:SN524525 ACJ524310:ACJ524525 AMF524310:AMF524525 AWB524310:AWB524525 BFX524310:BFX524525 BPT524310:BPT524525 BZP524310:BZP524525 CJL524310:CJL524525 CTH524310:CTH524525 DDD524310:DDD524525 DMZ524310:DMZ524525 DWV524310:DWV524525 EGR524310:EGR524525 EQN524310:EQN524525 FAJ524310:FAJ524525 FKF524310:FKF524525 FUB524310:FUB524525 GDX524310:GDX524525 GNT524310:GNT524525 GXP524310:GXP524525 HHL524310:HHL524525 HRH524310:HRH524525 IBD524310:IBD524525 IKZ524310:IKZ524525 IUV524310:IUV524525 JER524310:JER524525 JON524310:JON524525 JYJ524310:JYJ524525 KIF524310:KIF524525 KSB524310:KSB524525 LBX524310:LBX524525 LLT524310:LLT524525 LVP524310:LVP524525 MFL524310:MFL524525 MPH524310:MPH524525 MZD524310:MZD524525 NIZ524310:NIZ524525 NSV524310:NSV524525 OCR524310:OCR524525 OMN524310:OMN524525 OWJ524310:OWJ524525 PGF524310:PGF524525 PQB524310:PQB524525 PZX524310:PZX524525 QJT524310:QJT524525 QTP524310:QTP524525 RDL524310:RDL524525 RNH524310:RNH524525 RXD524310:RXD524525 SGZ524310:SGZ524525 SQV524310:SQV524525 TAR524310:TAR524525 TKN524310:TKN524525 TUJ524310:TUJ524525 UEF524310:UEF524525 UOB524310:UOB524525 UXX524310:UXX524525 VHT524310:VHT524525 VRP524310:VRP524525 WBL524310:WBL524525 WLH524310:WLH524525 WVD524310:WVD524525 IR589846:IR590061 SN589846:SN590061 ACJ589846:ACJ590061 AMF589846:AMF590061 AWB589846:AWB590061 BFX589846:BFX590061 BPT589846:BPT590061 BZP589846:BZP590061 CJL589846:CJL590061 CTH589846:CTH590061 DDD589846:DDD590061 DMZ589846:DMZ590061 DWV589846:DWV590061 EGR589846:EGR590061 EQN589846:EQN590061 FAJ589846:FAJ590061 FKF589846:FKF590061 FUB589846:FUB590061 GDX589846:GDX590061 GNT589846:GNT590061 GXP589846:GXP590061 HHL589846:HHL590061 HRH589846:HRH590061 IBD589846:IBD590061 IKZ589846:IKZ590061 IUV589846:IUV590061 JER589846:JER590061 JON589846:JON590061 JYJ589846:JYJ590061 KIF589846:KIF590061 KSB589846:KSB590061 LBX589846:LBX590061 LLT589846:LLT590061 LVP589846:LVP590061 MFL589846:MFL590061 MPH589846:MPH590061 MZD589846:MZD590061 NIZ589846:NIZ590061 NSV589846:NSV590061 OCR589846:OCR590061 OMN589846:OMN590061 OWJ589846:OWJ590061 PGF589846:PGF590061 PQB589846:PQB590061 PZX589846:PZX590061 QJT589846:QJT590061 QTP589846:QTP590061 RDL589846:RDL590061 RNH589846:RNH590061 RXD589846:RXD590061 SGZ589846:SGZ590061 SQV589846:SQV590061 TAR589846:TAR590061 TKN589846:TKN590061 TUJ589846:TUJ590061 UEF589846:UEF590061 UOB589846:UOB590061 UXX589846:UXX590061 VHT589846:VHT590061 VRP589846:VRP590061 WBL589846:WBL590061 WLH589846:WLH590061 WVD589846:WVD590061 IR655382:IR655597 SN655382:SN655597 ACJ655382:ACJ655597 AMF655382:AMF655597 AWB655382:AWB655597 BFX655382:BFX655597 BPT655382:BPT655597 BZP655382:BZP655597 CJL655382:CJL655597 CTH655382:CTH655597 DDD655382:DDD655597 DMZ655382:DMZ655597 DWV655382:DWV655597 EGR655382:EGR655597 EQN655382:EQN655597 FAJ655382:FAJ655597 FKF655382:FKF655597 FUB655382:FUB655597 GDX655382:GDX655597 GNT655382:GNT655597 GXP655382:GXP655597 HHL655382:HHL655597 HRH655382:HRH655597 IBD655382:IBD655597 IKZ655382:IKZ655597 IUV655382:IUV655597 JER655382:JER655597 JON655382:JON655597 JYJ655382:JYJ655597 KIF655382:KIF655597 KSB655382:KSB655597 LBX655382:LBX655597 LLT655382:LLT655597 LVP655382:LVP655597 MFL655382:MFL655597 MPH655382:MPH655597 MZD655382:MZD655597 NIZ655382:NIZ655597 NSV655382:NSV655597 OCR655382:OCR655597 OMN655382:OMN655597 OWJ655382:OWJ655597 PGF655382:PGF655597 PQB655382:PQB655597 PZX655382:PZX655597 QJT655382:QJT655597 QTP655382:QTP655597 RDL655382:RDL655597 RNH655382:RNH655597 RXD655382:RXD655597 SGZ655382:SGZ655597 SQV655382:SQV655597 TAR655382:TAR655597 TKN655382:TKN655597 TUJ655382:TUJ655597 UEF655382:UEF655597 UOB655382:UOB655597 UXX655382:UXX655597 VHT655382:VHT655597 VRP655382:VRP655597 WBL655382:WBL655597 WLH655382:WLH655597 WVD655382:WVD655597 IR720918:IR721133 SN720918:SN721133 ACJ720918:ACJ721133 AMF720918:AMF721133 AWB720918:AWB721133 BFX720918:BFX721133 BPT720918:BPT721133 BZP720918:BZP721133 CJL720918:CJL721133 CTH720918:CTH721133 DDD720918:DDD721133 DMZ720918:DMZ721133 DWV720918:DWV721133 EGR720918:EGR721133 EQN720918:EQN721133 FAJ720918:FAJ721133 FKF720918:FKF721133 FUB720918:FUB721133 GDX720918:GDX721133 GNT720918:GNT721133 GXP720918:GXP721133 HHL720918:HHL721133 HRH720918:HRH721133 IBD720918:IBD721133 IKZ720918:IKZ721133 IUV720918:IUV721133 JER720918:JER721133 JON720918:JON721133 JYJ720918:JYJ721133 KIF720918:KIF721133 KSB720918:KSB721133 LBX720918:LBX721133 LLT720918:LLT721133 LVP720918:LVP721133 MFL720918:MFL721133 MPH720918:MPH721133 MZD720918:MZD721133 NIZ720918:NIZ721133 NSV720918:NSV721133 OCR720918:OCR721133 OMN720918:OMN721133 OWJ720918:OWJ721133 PGF720918:PGF721133 PQB720918:PQB721133 PZX720918:PZX721133 QJT720918:QJT721133 QTP720918:QTP721133 RDL720918:RDL721133 RNH720918:RNH721133 RXD720918:RXD721133 SGZ720918:SGZ721133 SQV720918:SQV721133 TAR720918:TAR721133 TKN720918:TKN721133 TUJ720918:TUJ721133 UEF720918:UEF721133 UOB720918:UOB721133 UXX720918:UXX721133 VHT720918:VHT721133 VRP720918:VRP721133 WBL720918:WBL721133 WLH720918:WLH721133 WVD720918:WVD721133 IR786454:IR786669 SN786454:SN786669 ACJ786454:ACJ786669 AMF786454:AMF786669 AWB786454:AWB786669 BFX786454:BFX786669 BPT786454:BPT786669 BZP786454:BZP786669 CJL786454:CJL786669 CTH786454:CTH786669 DDD786454:DDD786669 DMZ786454:DMZ786669 DWV786454:DWV786669 EGR786454:EGR786669 EQN786454:EQN786669 FAJ786454:FAJ786669 FKF786454:FKF786669 FUB786454:FUB786669 GDX786454:GDX786669 GNT786454:GNT786669 GXP786454:GXP786669 HHL786454:HHL786669 HRH786454:HRH786669 IBD786454:IBD786669 IKZ786454:IKZ786669 IUV786454:IUV786669 JER786454:JER786669 JON786454:JON786669 JYJ786454:JYJ786669 KIF786454:KIF786669 KSB786454:KSB786669 LBX786454:LBX786669 LLT786454:LLT786669 LVP786454:LVP786669 MFL786454:MFL786669 MPH786454:MPH786669 MZD786454:MZD786669 NIZ786454:NIZ786669 NSV786454:NSV786669 OCR786454:OCR786669 OMN786454:OMN786669 OWJ786454:OWJ786669 PGF786454:PGF786669 PQB786454:PQB786669 PZX786454:PZX786669 QJT786454:QJT786669 QTP786454:QTP786669 RDL786454:RDL786669 RNH786454:RNH786669 RXD786454:RXD786669 SGZ786454:SGZ786669 SQV786454:SQV786669 TAR786454:TAR786669 TKN786454:TKN786669 TUJ786454:TUJ786669 UEF786454:UEF786669 UOB786454:UOB786669 UXX786454:UXX786669 VHT786454:VHT786669 VRP786454:VRP786669 WBL786454:WBL786669 WLH786454:WLH786669 WVD786454:WVD786669 IR851990:IR852205 SN851990:SN852205 ACJ851990:ACJ852205 AMF851990:AMF852205 AWB851990:AWB852205 BFX851990:BFX852205 BPT851990:BPT852205 BZP851990:BZP852205 CJL851990:CJL852205 CTH851990:CTH852205 DDD851990:DDD852205 DMZ851990:DMZ852205 DWV851990:DWV852205 EGR851990:EGR852205 EQN851990:EQN852205 FAJ851990:FAJ852205 FKF851990:FKF852205 FUB851990:FUB852205 GDX851990:GDX852205 GNT851990:GNT852205 GXP851990:GXP852205 HHL851990:HHL852205 HRH851990:HRH852205 IBD851990:IBD852205 IKZ851990:IKZ852205 IUV851990:IUV852205 JER851990:JER852205 JON851990:JON852205 JYJ851990:JYJ852205 KIF851990:KIF852205 KSB851990:KSB852205 LBX851990:LBX852205 LLT851990:LLT852205 LVP851990:LVP852205 MFL851990:MFL852205 MPH851990:MPH852205 MZD851990:MZD852205 NIZ851990:NIZ852205 NSV851990:NSV852205 OCR851990:OCR852205 OMN851990:OMN852205 OWJ851990:OWJ852205 PGF851990:PGF852205 PQB851990:PQB852205 PZX851990:PZX852205 QJT851990:QJT852205 QTP851990:QTP852205 RDL851990:RDL852205 RNH851990:RNH852205 RXD851990:RXD852205 SGZ851990:SGZ852205 SQV851990:SQV852205 TAR851990:TAR852205 TKN851990:TKN852205 TUJ851990:TUJ852205 UEF851990:UEF852205 UOB851990:UOB852205 UXX851990:UXX852205 VHT851990:VHT852205 VRP851990:VRP852205 WBL851990:WBL852205 WLH851990:WLH852205 WVD851990:WVD852205 IR917526:IR917741 SN917526:SN917741 ACJ917526:ACJ917741 AMF917526:AMF917741 AWB917526:AWB917741 BFX917526:BFX917741 BPT917526:BPT917741 BZP917526:BZP917741 CJL917526:CJL917741 CTH917526:CTH917741 DDD917526:DDD917741 DMZ917526:DMZ917741 DWV917526:DWV917741 EGR917526:EGR917741 EQN917526:EQN917741 FAJ917526:FAJ917741 FKF917526:FKF917741 FUB917526:FUB917741 GDX917526:GDX917741 GNT917526:GNT917741 GXP917526:GXP917741 HHL917526:HHL917741 HRH917526:HRH917741 IBD917526:IBD917741 IKZ917526:IKZ917741 IUV917526:IUV917741 JER917526:JER917741 JON917526:JON917741 JYJ917526:JYJ917741 KIF917526:KIF917741 KSB917526:KSB917741 LBX917526:LBX917741 LLT917526:LLT917741 LVP917526:LVP917741 MFL917526:MFL917741 MPH917526:MPH917741 MZD917526:MZD917741 NIZ917526:NIZ917741 NSV917526:NSV917741 OCR917526:OCR917741 OMN917526:OMN917741 OWJ917526:OWJ917741 PGF917526:PGF917741 PQB917526:PQB917741 PZX917526:PZX917741 QJT917526:QJT917741 QTP917526:QTP917741 RDL917526:RDL917741 RNH917526:RNH917741 RXD917526:RXD917741 SGZ917526:SGZ917741 SQV917526:SQV917741 TAR917526:TAR917741 TKN917526:TKN917741 TUJ917526:TUJ917741 UEF917526:UEF917741 UOB917526:UOB917741 UXX917526:UXX917741 VHT917526:VHT917741 VRP917526:VRP917741 WBL917526:WBL917741 WLH917526:WLH917741 WVD917526:WVD917741 IR983062:IR983277 SN983062:SN983277 ACJ983062:ACJ983277 AMF983062:AMF983277 AWB983062:AWB983277 BFX983062:BFX983277 BPT983062:BPT983277 BZP983062:BZP983277 CJL983062:CJL983277 CTH983062:CTH983277 DDD983062:DDD983277 DMZ983062:DMZ983277 DWV983062:DWV983277 EGR983062:EGR983277 EQN983062:EQN983277 FAJ983062:FAJ983277 FKF983062:FKF983277 FUB983062:FUB983277 GDX983062:GDX983277 GNT983062:GNT983277 GXP983062:GXP983277 HHL983062:HHL983277 HRH983062:HRH983277 IBD983062:IBD983277 IKZ983062:IKZ983277 IUV983062:IUV983277 JER983062:JER983277 JON983062:JON983277 JYJ983062:JYJ983277 KIF983062:KIF983277 KSB983062:KSB983277 LBX983062:LBX983277 LLT983062:LLT983277 LVP983062:LVP983277 MFL983062:MFL983277 MPH983062:MPH983277 MZD983062:MZD983277 NIZ983062:NIZ983277 NSV983062:NSV983277 OCR983062:OCR983277 OMN983062:OMN983277 OWJ983062:OWJ983277 PGF983062:PGF983277 PQB983062:PQB983277 PZX983062:PZX983277 QJT983062:QJT983277 QTP983062:QTP983277 RDL983062:RDL983277 RNH983062:RNH983277 RXD983062:RXD983277 SGZ983062:SGZ983277 SQV983062:SQV983277 TAR983062:TAR983277 TKN983062:TKN983277 TUJ983062:TUJ983277 UEF983062:UEF983277 UOB983062:UOB983277 UXX983062:UXX983277 VHT983062:VHT983277 VRP983062:VRP983277 WBL983062:WBL983277 WLH983062:WLH983277 WVD983062:WVD983277 KSB9:KSB237 KIF9:KIF237 JYJ9:JYJ237 JON9:JON237 JER9:JER237 IUV9:IUV237 IKZ9:IKZ237 IBD9:IBD237 HRH9:HRH237 HHL9:HHL237 GXP9:GXP237 GNT9:GNT237 GDX9:GDX237 FUB9:FUB237 FKF9:FKF237 FAJ9:FAJ237 EQN9:EQN237 EGR9:EGR237 DWV9:DWV237 DMZ9:DMZ237 DDD9:DDD237 CTH9:CTH237 CJL9:CJL237 BZP9:BZP237 BPT9:BPT237 BFX9:BFX237 AWB9:AWB237 AMF9:AMF237 ACJ9:ACJ237 SN9:SN237 IR9:IR237 WVD9:WVD237 WLH9:WLH237 WBL9:WBL237 VRP9:VRP237 VHT9:VHT237 UXX9:UXX237 UOB9:UOB237 UEF9:UEF237 TUJ9:TUJ237 TKN9:TKN237 TAR9:TAR237 SQV9:SQV237 SGZ9:SGZ237 RXD9:RXD237 RNH9:RNH237 RDL9:RDL237 QTP9:QTP237 QJT9:QJT237 PZX9:PZX237 PQB9:PQB237 PGF9:PGF237 OWJ9:OWJ237 OMN9:OMN237 OCR9:OCR237 NSV9:NSV237 NIZ9:NIZ237 MZD9:MZD237 MPH9:MPH237 MFL9:MFL237 LVP9:LVP237 LLT9:LLT237 LBX9:LBX237">
      <formula1>-9.99999999999999E+30</formula1>
      <formula2>9.99999999999999E+31</formula2>
    </dataValidation>
  </dataValidations>
  <hyperlinks>
    <hyperlink ref="A3" location="Menu!A1" display="MENU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91"/>
  <sheetViews>
    <sheetView showGridLines="0" topLeftCell="A64" workbookViewId="0">
      <selection activeCell="I89" sqref="I89"/>
    </sheetView>
  </sheetViews>
  <sheetFormatPr defaultColWidth="8.6640625" defaultRowHeight="14.4" x14ac:dyDescent="0.3"/>
  <cols>
    <col min="1" max="1" width="84.6640625" style="5" customWidth="1"/>
    <col min="2" max="2" width="10.33203125" style="5" hidden="1" customWidth="1"/>
    <col min="3" max="3" width="8.6640625" style="5" hidden="1" customWidth="1"/>
    <col min="4" max="4" width="6.6640625" style="5" hidden="1" customWidth="1"/>
    <col min="5" max="5" width="58.6640625" style="5" hidden="1" customWidth="1"/>
    <col min="6" max="6" width="33" style="6" hidden="1" customWidth="1"/>
    <col min="7" max="7" width="17.6640625" style="5" bestFit="1" customWidth="1"/>
    <col min="8" max="244" width="8.6640625" style="5"/>
    <col min="245" max="245" width="84.6640625" style="5" customWidth="1"/>
    <col min="246" max="250" width="0" style="5" hidden="1" customWidth="1"/>
    <col min="251" max="254" width="16.6640625" style="5" customWidth="1"/>
    <col min="255" max="500" width="8.6640625" style="5"/>
    <col min="501" max="501" width="84.6640625" style="5" customWidth="1"/>
    <col min="502" max="506" width="0" style="5" hidden="1" customWidth="1"/>
    <col min="507" max="510" width="16.6640625" style="5" customWidth="1"/>
    <col min="511" max="756" width="8.6640625" style="5"/>
    <col min="757" max="757" width="84.6640625" style="5" customWidth="1"/>
    <col min="758" max="762" width="0" style="5" hidden="1" customWidth="1"/>
    <col min="763" max="766" width="16.6640625" style="5" customWidth="1"/>
    <col min="767" max="1012" width="8.6640625" style="5"/>
    <col min="1013" max="1013" width="84.6640625" style="5" customWidth="1"/>
    <col min="1014" max="1018" width="0" style="5" hidden="1" customWidth="1"/>
    <col min="1019" max="1022" width="16.6640625" style="5" customWidth="1"/>
    <col min="1023" max="1268" width="8.6640625" style="5"/>
    <col min="1269" max="1269" width="84.6640625" style="5" customWidth="1"/>
    <col min="1270" max="1274" width="0" style="5" hidden="1" customWidth="1"/>
    <col min="1275" max="1278" width="16.6640625" style="5" customWidth="1"/>
    <col min="1279" max="1524" width="8.6640625" style="5"/>
    <col min="1525" max="1525" width="84.6640625" style="5" customWidth="1"/>
    <col min="1526" max="1530" width="0" style="5" hidden="1" customWidth="1"/>
    <col min="1531" max="1534" width="16.6640625" style="5" customWidth="1"/>
    <col min="1535" max="1780" width="8.6640625" style="5"/>
    <col min="1781" max="1781" width="84.6640625" style="5" customWidth="1"/>
    <col min="1782" max="1786" width="0" style="5" hidden="1" customWidth="1"/>
    <col min="1787" max="1790" width="16.6640625" style="5" customWidth="1"/>
    <col min="1791" max="2036" width="8.6640625" style="5"/>
    <col min="2037" max="2037" width="84.6640625" style="5" customWidth="1"/>
    <col min="2038" max="2042" width="0" style="5" hidden="1" customWidth="1"/>
    <col min="2043" max="2046" width="16.6640625" style="5" customWidth="1"/>
    <col min="2047" max="2292" width="8.6640625" style="5"/>
    <col min="2293" max="2293" width="84.6640625" style="5" customWidth="1"/>
    <col min="2294" max="2298" width="0" style="5" hidden="1" customWidth="1"/>
    <col min="2299" max="2302" width="16.6640625" style="5" customWidth="1"/>
    <col min="2303" max="2548" width="8.6640625" style="5"/>
    <col min="2549" max="2549" width="84.6640625" style="5" customWidth="1"/>
    <col min="2550" max="2554" width="0" style="5" hidden="1" customWidth="1"/>
    <col min="2555" max="2558" width="16.6640625" style="5" customWidth="1"/>
    <col min="2559" max="2804" width="8.6640625" style="5"/>
    <col min="2805" max="2805" width="84.6640625" style="5" customWidth="1"/>
    <col min="2806" max="2810" width="0" style="5" hidden="1" customWidth="1"/>
    <col min="2811" max="2814" width="16.6640625" style="5" customWidth="1"/>
    <col min="2815" max="3060" width="8.6640625" style="5"/>
    <col min="3061" max="3061" width="84.6640625" style="5" customWidth="1"/>
    <col min="3062" max="3066" width="0" style="5" hidden="1" customWidth="1"/>
    <col min="3067" max="3070" width="16.6640625" style="5" customWidth="1"/>
    <col min="3071" max="3316" width="8.6640625" style="5"/>
    <col min="3317" max="3317" width="84.6640625" style="5" customWidth="1"/>
    <col min="3318" max="3322" width="0" style="5" hidden="1" customWidth="1"/>
    <col min="3323" max="3326" width="16.6640625" style="5" customWidth="1"/>
    <col min="3327" max="3572" width="8.6640625" style="5"/>
    <col min="3573" max="3573" width="84.6640625" style="5" customWidth="1"/>
    <col min="3574" max="3578" width="0" style="5" hidden="1" customWidth="1"/>
    <col min="3579" max="3582" width="16.6640625" style="5" customWidth="1"/>
    <col min="3583" max="3828" width="8.6640625" style="5"/>
    <col min="3829" max="3829" width="84.6640625" style="5" customWidth="1"/>
    <col min="3830" max="3834" width="0" style="5" hidden="1" customWidth="1"/>
    <col min="3835" max="3838" width="16.6640625" style="5" customWidth="1"/>
    <col min="3839" max="4084" width="8.6640625" style="5"/>
    <col min="4085" max="4085" width="84.6640625" style="5" customWidth="1"/>
    <col min="4086" max="4090" width="0" style="5" hidden="1" customWidth="1"/>
    <col min="4091" max="4094" width="16.6640625" style="5" customWidth="1"/>
    <col min="4095" max="4340" width="8.6640625" style="5"/>
    <col min="4341" max="4341" width="84.6640625" style="5" customWidth="1"/>
    <col min="4342" max="4346" width="0" style="5" hidden="1" customWidth="1"/>
    <col min="4347" max="4350" width="16.6640625" style="5" customWidth="1"/>
    <col min="4351" max="4596" width="8.6640625" style="5"/>
    <col min="4597" max="4597" width="84.6640625" style="5" customWidth="1"/>
    <col min="4598" max="4602" width="0" style="5" hidden="1" customWidth="1"/>
    <col min="4603" max="4606" width="16.6640625" style="5" customWidth="1"/>
    <col min="4607" max="4852" width="8.6640625" style="5"/>
    <col min="4853" max="4853" width="84.6640625" style="5" customWidth="1"/>
    <col min="4854" max="4858" width="0" style="5" hidden="1" customWidth="1"/>
    <col min="4859" max="4862" width="16.6640625" style="5" customWidth="1"/>
    <col min="4863" max="5108" width="8.6640625" style="5"/>
    <col min="5109" max="5109" width="84.6640625" style="5" customWidth="1"/>
    <col min="5110" max="5114" width="0" style="5" hidden="1" customWidth="1"/>
    <col min="5115" max="5118" width="16.6640625" style="5" customWidth="1"/>
    <col min="5119" max="5364" width="8.6640625" style="5"/>
    <col min="5365" max="5365" width="84.6640625" style="5" customWidth="1"/>
    <col min="5366" max="5370" width="0" style="5" hidden="1" customWidth="1"/>
    <col min="5371" max="5374" width="16.6640625" style="5" customWidth="1"/>
    <col min="5375" max="5620" width="8.6640625" style="5"/>
    <col min="5621" max="5621" width="84.6640625" style="5" customWidth="1"/>
    <col min="5622" max="5626" width="0" style="5" hidden="1" customWidth="1"/>
    <col min="5627" max="5630" width="16.6640625" style="5" customWidth="1"/>
    <col min="5631" max="5876" width="8.6640625" style="5"/>
    <col min="5877" max="5877" width="84.6640625" style="5" customWidth="1"/>
    <col min="5878" max="5882" width="0" style="5" hidden="1" customWidth="1"/>
    <col min="5883" max="5886" width="16.6640625" style="5" customWidth="1"/>
    <col min="5887" max="6132" width="8.6640625" style="5"/>
    <col min="6133" max="6133" width="84.6640625" style="5" customWidth="1"/>
    <col min="6134" max="6138" width="0" style="5" hidden="1" customWidth="1"/>
    <col min="6139" max="6142" width="16.6640625" style="5" customWidth="1"/>
    <col min="6143" max="6388" width="8.6640625" style="5"/>
    <col min="6389" max="6389" width="84.6640625" style="5" customWidth="1"/>
    <col min="6390" max="6394" width="0" style="5" hidden="1" customWidth="1"/>
    <col min="6395" max="6398" width="16.6640625" style="5" customWidth="1"/>
    <col min="6399" max="6644" width="8.6640625" style="5"/>
    <col min="6645" max="6645" width="84.6640625" style="5" customWidth="1"/>
    <col min="6646" max="6650" width="0" style="5" hidden="1" customWidth="1"/>
    <col min="6651" max="6654" width="16.6640625" style="5" customWidth="1"/>
    <col min="6655" max="6900" width="8.6640625" style="5"/>
    <col min="6901" max="6901" width="84.6640625" style="5" customWidth="1"/>
    <col min="6902" max="6906" width="0" style="5" hidden="1" customWidth="1"/>
    <col min="6907" max="6910" width="16.6640625" style="5" customWidth="1"/>
    <col min="6911" max="7156" width="8.6640625" style="5"/>
    <col min="7157" max="7157" width="84.6640625" style="5" customWidth="1"/>
    <col min="7158" max="7162" width="0" style="5" hidden="1" customWidth="1"/>
    <col min="7163" max="7166" width="16.6640625" style="5" customWidth="1"/>
    <col min="7167" max="7412" width="8.6640625" style="5"/>
    <col min="7413" max="7413" width="84.6640625" style="5" customWidth="1"/>
    <col min="7414" max="7418" width="0" style="5" hidden="1" customWidth="1"/>
    <col min="7419" max="7422" width="16.6640625" style="5" customWidth="1"/>
    <col min="7423" max="7668" width="8.6640625" style="5"/>
    <col min="7669" max="7669" width="84.6640625" style="5" customWidth="1"/>
    <col min="7670" max="7674" width="0" style="5" hidden="1" customWidth="1"/>
    <col min="7675" max="7678" width="16.6640625" style="5" customWidth="1"/>
    <col min="7679" max="7924" width="8.6640625" style="5"/>
    <col min="7925" max="7925" width="84.6640625" style="5" customWidth="1"/>
    <col min="7926" max="7930" width="0" style="5" hidden="1" customWidth="1"/>
    <col min="7931" max="7934" width="16.6640625" style="5" customWidth="1"/>
    <col min="7935" max="8180" width="8.6640625" style="5"/>
    <col min="8181" max="8181" width="84.6640625" style="5" customWidth="1"/>
    <col min="8182" max="8186" width="0" style="5" hidden="1" customWidth="1"/>
    <col min="8187" max="8190" width="16.6640625" style="5" customWidth="1"/>
    <col min="8191" max="8436" width="8.6640625" style="5"/>
    <col min="8437" max="8437" width="84.6640625" style="5" customWidth="1"/>
    <col min="8438" max="8442" width="0" style="5" hidden="1" customWidth="1"/>
    <col min="8443" max="8446" width="16.6640625" style="5" customWidth="1"/>
    <col min="8447" max="8692" width="8.6640625" style="5"/>
    <col min="8693" max="8693" width="84.6640625" style="5" customWidth="1"/>
    <col min="8694" max="8698" width="0" style="5" hidden="1" customWidth="1"/>
    <col min="8699" max="8702" width="16.6640625" style="5" customWidth="1"/>
    <col min="8703" max="8948" width="8.6640625" style="5"/>
    <col min="8949" max="8949" width="84.6640625" style="5" customWidth="1"/>
    <col min="8950" max="8954" width="0" style="5" hidden="1" customWidth="1"/>
    <col min="8955" max="8958" width="16.6640625" style="5" customWidth="1"/>
    <col min="8959" max="9204" width="8.6640625" style="5"/>
    <col min="9205" max="9205" width="84.6640625" style="5" customWidth="1"/>
    <col min="9206" max="9210" width="0" style="5" hidden="1" customWidth="1"/>
    <col min="9211" max="9214" width="16.6640625" style="5" customWidth="1"/>
    <col min="9215" max="9460" width="8.6640625" style="5"/>
    <col min="9461" max="9461" width="84.6640625" style="5" customWidth="1"/>
    <col min="9462" max="9466" width="0" style="5" hidden="1" customWidth="1"/>
    <col min="9467" max="9470" width="16.6640625" style="5" customWidth="1"/>
    <col min="9471" max="9716" width="8.6640625" style="5"/>
    <col min="9717" max="9717" width="84.6640625" style="5" customWidth="1"/>
    <col min="9718" max="9722" width="0" style="5" hidden="1" customWidth="1"/>
    <col min="9723" max="9726" width="16.6640625" style="5" customWidth="1"/>
    <col min="9727" max="9972" width="8.6640625" style="5"/>
    <col min="9973" max="9973" width="84.6640625" style="5" customWidth="1"/>
    <col min="9974" max="9978" width="0" style="5" hidden="1" customWidth="1"/>
    <col min="9979" max="9982" width="16.6640625" style="5" customWidth="1"/>
    <col min="9983" max="10228" width="8.6640625" style="5"/>
    <col min="10229" max="10229" width="84.6640625" style="5" customWidth="1"/>
    <col min="10230" max="10234" width="0" style="5" hidden="1" customWidth="1"/>
    <col min="10235" max="10238" width="16.6640625" style="5" customWidth="1"/>
    <col min="10239" max="10484" width="8.6640625" style="5"/>
    <col min="10485" max="10485" width="84.6640625" style="5" customWidth="1"/>
    <col min="10486" max="10490" width="0" style="5" hidden="1" customWidth="1"/>
    <col min="10491" max="10494" width="16.6640625" style="5" customWidth="1"/>
    <col min="10495" max="10740" width="8.6640625" style="5"/>
    <col min="10741" max="10741" width="84.6640625" style="5" customWidth="1"/>
    <col min="10742" max="10746" width="0" style="5" hidden="1" customWidth="1"/>
    <col min="10747" max="10750" width="16.6640625" style="5" customWidth="1"/>
    <col min="10751" max="10996" width="8.6640625" style="5"/>
    <col min="10997" max="10997" width="84.6640625" style="5" customWidth="1"/>
    <col min="10998" max="11002" width="0" style="5" hidden="1" customWidth="1"/>
    <col min="11003" max="11006" width="16.6640625" style="5" customWidth="1"/>
    <col min="11007" max="11252" width="8.6640625" style="5"/>
    <col min="11253" max="11253" width="84.6640625" style="5" customWidth="1"/>
    <col min="11254" max="11258" width="0" style="5" hidden="1" customWidth="1"/>
    <col min="11259" max="11262" width="16.6640625" style="5" customWidth="1"/>
    <col min="11263" max="11508" width="8.6640625" style="5"/>
    <col min="11509" max="11509" width="84.6640625" style="5" customWidth="1"/>
    <col min="11510" max="11514" width="0" style="5" hidden="1" customWidth="1"/>
    <col min="11515" max="11518" width="16.6640625" style="5" customWidth="1"/>
    <col min="11519" max="11764" width="8.6640625" style="5"/>
    <col min="11765" max="11765" width="84.6640625" style="5" customWidth="1"/>
    <col min="11766" max="11770" width="0" style="5" hidden="1" customWidth="1"/>
    <col min="11771" max="11774" width="16.6640625" style="5" customWidth="1"/>
    <col min="11775" max="12020" width="8.6640625" style="5"/>
    <col min="12021" max="12021" width="84.6640625" style="5" customWidth="1"/>
    <col min="12022" max="12026" width="0" style="5" hidden="1" customWidth="1"/>
    <col min="12027" max="12030" width="16.6640625" style="5" customWidth="1"/>
    <col min="12031" max="12276" width="8.6640625" style="5"/>
    <col min="12277" max="12277" width="84.6640625" style="5" customWidth="1"/>
    <col min="12278" max="12282" width="0" style="5" hidden="1" customWidth="1"/>
    <col min="12283" max="12286" width="16.6640625" style="5" customWidth="1"/>
    <col min="12287" max="12532" width="8.6640625" style="5"/>
    <col min="12533" max="12533" width="84.6640625" style="5" customWidth="1"/>
    <col min="12534" max="12538" width="0" style="5" hidden="1" customWidth="1"/>
    <col min="12539" max="12542" width="16.6640625" style="5" customWidth="1"/>
    <col min="12543" max="12788" width="8.6640625" style="5"/>
    <col min="12789" max="12789" width="84.6640625" style="5" customWidth="1"/>
    <col min="12790" max="12794" width="0" style="5" hidden="1" customWidth="1"/>
    <col min="12795" max="12798" width="16.6640625" style="5" customWidth="1"/>
    <col min="12799" max="13044" width="8.6640625" style="5"/>
    <col min="13045" max="13045" width="84.6640625" style="5" customWidth="1"/>
    <col min="13046" max="13050" width="0" style="5" hidden="1" customWidth="1"/>
    <col min="13051" max="13054" width="16.6640625" style="5" customWidth="1"/>
    <col min="13055" max="13300" width="8.6640625" style="5"/>
    <col min="13301" max="13301" width="84.6640625" style="5" customWidth="1"/>
    <col min="13302" max="13306" width="0" style="5" hidden="1" customWidth="1"/>
    <col min="13307" max="13310" width="16.6640625" style="5" customWidth="1"/>
    <col min="13311" max="13556" width="8.6640625" style="5"/>
    <col min="13557" max="13557" width="84.6640625" style="5" customWidth="1"/>
    <col min="13558" max="13562" width="0" style="5" hidden="1" customWidth="1"/>
    <col min="13563" max="13566" width="16.6640625" style="5" customWidth="1"/>
    <col min="13567" max="13812" width="8.6640625" style="5"/>
    <col min="13813" max="13813" width="84.6640625" style="5" customWidth="1"/>
    <col min="13814" max="13818" width="0" style="5" hidden="1" customWidth="1"/>
    <col min="13819" max="13822" width="16.6640625" style="5" customWidth="1"/>
    <col min="13823" max="14068" width="8.6640625" style="5"/>
    <col min="14069" max="14069" width="84.6640625" style="5" customWidth="1"/>
    <col min="14070" max="14074" width="0" style="5" hidden="1" customWidth="1"/>
    <col min="14075" max="14078" width="16.6640625" style="5" customWidth="1"/>
    <col min="14079" max="14324" width="8.6640625" style="5"/>
    <col min="14325" max="14325" width="84.6640625" style="5" customWidth="1"/>
    <col min="14326" max="14330" width="0" style="5" hidden="1" customWidth="1"/>
    <col min="14331" max="14334" width="16.6640625" style="5" customWidth="1"/>
    <col min="14335" max="14580" width="8.6640625" style="5"/>
    <col min="14581" max="14581" width="84.6640625" style="5" customWidth="1"/>
    <col min="14582" max="14586" width="0" style="5" hidden="1" customWidth="1"/>
    <col min="14587" max="14590" width="16.6640625" style="5" customWidth="1"/>
    <col min="14591" max="14836" width="8.6640625" style="5"/>
    <col min="14837" max="14837" width="84.6640625" style="5" customWidth="1"/>
    <col min="14838" max="14842" width="0" style="5" hidden="1" customWidth="1"/>
    <col min="14843" max="14846" width="16.6640625" style="5" customWidth="1"/>
    <col min="14847" max="15092" width="8.6640625" style="5"/>
    <col min="15093" max="15093" width="84.6640625" style="5" customWidth="1"/>
    <col min="15094" max="15098" width="0" style="5" hidden="1" customWidth="1"/>
    <col min="15099" max="15102" width="16.6640625" style="5" customWidth="1"/>
    <col min="15103" max="15348" width="8.6640625" style="5"/>
    <col min="15349" max="15349" width="84.6640625" style="5" customWidth="1"/>
    <col min="15350" max="15354" width="0" style="5" hidden="1" customWidth="1"/>
    <col min="15355" max="15358" width="16.6640625" style="5" customWidth="1"/>
    <col min="15359" max="15604" width="8.6640625" style="5"/>
    <col min="15605" max="15605" width="84.6640625" style="5" customWidth="1"/>
    <col min="15606" max="15610" width="0" style="5" hidden="1" customWidth="1"/>
    <col min="15611" max="15614" width="16.6640625" style="5" customWidth="1"/>
    <col min="15615" max="15860" width="8.6640625" style="5"/>
    <col min="15861" max="15861" width="84.6640625" style="5" customWidth="1"/>
    <col min="15862" max="15866" width="0" style="5" hidden="1" customWidth="1"/>
    <col min="15867" max="15870" width="16.6640625" style="5" customWidth="1"/>
    <col min="15871" max="16116" width="8.6640625" style="5"/>
    <col min="16117" max="16117" width="84.6640625" style="5" customWidth="1"/>
    <col min="16118" max="16122" width="0" style="5" hidden="1" customWidth="1"/>
    <col min="16123" max="16126" width="16.6640625" style="5" customWidth="1"/>
    <col min="16127" max="16384" width="8.6640625" style="5"/>
  </cols>
  <sheetData>
    <row r="1" spans="1:7" ht="13.2" hidden="1" customHeight="1" x14ac:dyDescent="0.3">
      <c r="A1" s="47" t="s">
        <v>65</v>
      </c>
      <c r="B1" s="47" t="s">
        <v>66</v>
      </c>
      <c r="C1" s="48" t="s">
        <v>67</v>
      </c>
      <c r="D1" s="48" t="s">
        <v>68</v>
      </c>
      <c r="E1" s="48" t="s">
        <v>69</v>
      </c>
      <c r="F1" s="49" t="s">
        <v>70</v>
      </c>
      <c r="G1" s="5" t="s">
        <v>71</v>
      </c>
    </row>
    <row r="2" spans="1:7" ht="13.2" hidden="1" customHeight="1" x14ac:dyDescent="0.3">
      <c r="A2" s="50" t="s">
        <v>623</v>
      </c>
      <c r="B2" s="50" t="s">
        <v>624</v>
      </c>
      <c r="C2" s="48">
        <f ca="1">MATCH("Name",INDIRECT(E2&amp;":"&amp;E2),0)+1</f>
        <v>6</v>
      </c>
      <c r="D2" s="48">
        <f ca="1">COUNTA(INDIRECT(E2&amp;C2&amp;":"&amp;E2&amp;"3000"))+firstItemRow-1</f>
        <v>89</v>
      </c>
      <c r="E2" s="48" t="str">
        <f>LEFT(ADDRESS(1,MATCH(E1,5:5,0),4,1),LEN(ADDRESS(1,MATCH(E1,5:5,0),4,1))-1)</f>
        <v>F</v>
      </c>
      <c r="F2" s="51" t="str">
        <f ca="1">RIGHT(CELL("filename",A1),LEN(CELL("filename",A1))-SEARCH("]",CELL("filename",A1)))</f>
        <v>CE</v>
      </c>
      <c r="G2" s="5" t="e">
        <f ca="1">INDIRECT(nomeFoglio&amp;"_istanza!firstItemRow")</f>
        <v>#REF!</v>
      </c>
    </row>
    <row r="3" spans="1:7" ht="18" customHeight="1" x14ac:dyDescent="0.3">
      <c r="A3" s="9" t="s">
        <v>78</v>
      </c>
    </row>
    <row r="4" spans="1:7" ht="25.5" customHeight="1" x14ac:dyDescent="0.3">
      <c r="A4" s="11" t="s">
        <v>79</v>
      </c>
      <c r="F4" s="12"/>
      <c r="G4" s="13">
        <f>+Menu!C4</f>
        <v>2016</v>
      </c>
    </row>
    <row r="5" spans="1:7" s="1" customFormat="1" ht="13.2" x14ac:dyDescent="0.25">
      <c r="B5" s="1" t="s">
        <v>80</v>
      </c>
      <c r="C5" s="15" t="s">
        <v>81</v>
      </c>
      <c r="D5" s="1" t="s">
        <v>82</v>
      </c>
      <c r="E5" s="1" t="s">
        <v>83</v>
      </c>
      <c r="F5" s="1" t="s">
        <v>69</v>
      </c>
      <c r="G5" s="13" t="s">
        <v>625</v>
      </c>
    </row>
    <row r="6" spans="1:7" ht="15.6" x14ac:dyDescent="0.3">
      <c r="A6" s="16" t="s">
        <v>626</v>
      </c>
      <c r="D6" s="5">
        <v>0</v>
      </c>
      <c r="E6" s="16" t="s">
        <v>627</v>
      </c>
      <c r="F6" s="6" t="s">
        <v>628</v>
      </c>
      <c r="G6" s="52" t="s">
        <v>87</v>
      </c>
    </row>
    <row r="7" spans="1:7" x14ac:dyDescent="0.3">
      <c r="A7" s="20" t="s">
        <v>629</v>
      </c>
      <c r="D7" s="5">
        <v>1</v>
      </c>
      <c r="E7" s="19" t="s">
        <v>630</v>
      </c>
      <c r="F7" s="6" t="s">
        <v>631</v>
      </c>
      <c r="G7" s="52" t="s">
        <v>87</v>
      </c>
    </row>
    <row r="8" spans="1:7" x14ac:dyDescent="0.3">
      <c r="A8" s="23" t="s">
        <v>632</v>
      </c>
      <c r="B8" s="5">
        <v>1000</v>
      </c>
      <c r="D8" s="5">
        <v>2</v>
      </c>
      <c r="E8" s="53" t="s">
        <v>633</v>
      </c>
      <c r="F8" s="6" t="s">
        <v>634</v>
      </c>
      <c r="G8" s="193">
        <v>1345909.27</v>
      </c>
    </row>
    <row r="9" spans="1:7" x14ac:dyDescent="0.3">
      <c r="A9" s="23" t="s">
        <v>635</v>
      </c>
      <c r="B9" s="5">
        <v>23</v>
      </c>
      <c r="D9" s="5">
        <v>2</v>
      </c>
      <c r="E9" s="53" t="s">
        <v>636</v>
      </c>
      <c r="F9" s="6" t="s">
        <v>637</v>
      </c>
      <c r="G9" s="193">
        <v>0</v>
      </c>
    </row>
    <row r="10" spans="1:7" x14ac:dyDescent="0.3">
      <c r="A10" s="23" t="s">
        <v>638</v>
      </c>
      <c r="B10" s="5">
        <v>34</v>
      </c>
      <c r="D10" s="5">
        <v>2</v>
      </c>
      <c r="E10" s="53" t="s">
        <v>639</v>
      </c>
      <c r="F10" s="6" t="s">
        <v>640</v>
      </c>
      <c r="G10" s="193">
        <v>0</v>
      </c>
    </row>
    <row r="11" spans="1:7" x14ac:dyDescent="0.3">
      <c r="A11" s="23" t="s">
        <v>641</v>
      </c>
      <c r="B11" s="5">
        <v>2</v>
      </c>
      <c r="D11" s="5">
        <v>2</v>
      </c>
      <c r="E11" s="53" t="s">
        <v>642</v>
      </c>
      <c r="F11" s="6" t="s">
        <v>643</v>
      </c>
      <c r="G11" s="193">
        <v>0</v>
      </c>
    </row>
    <row r="12" spans="1:7" x14ac:dyDescent="0.3">
      <c r="A12" s="23" t="s">
        <v>644</v>
      </c>
      <c r="D12" s="5">
        <v>2</v>
      </c>
      <c r="E12" s="53" t="s">
        <v>645</v>
      </c>
      <c r="F12" s="6" t="s">
        <v>646</v>
      </c>
      <c r="G12" s="52"/>
    </row>
    <row r="13" spans="1:7" x14ac:dyDescent="0.3">
      <c r="A13" s="29" t="s">
        <v>647</v>
      </c>
      <c r="B13" s="5">
        <v>3</v>
      </c>
      <c r="D13" s="5">
        <v>3</v>
      </c>
      <c r="E13" s="23" t="s">
        <v>648</v>
      </c>
      <c r="F13" s="6" t="s">
        <v>649</v>
      </c>
      <c r="G13" s="193">
        <v>31428.720000000001</v>
      </c>
    </row>
    <row r="14" spans="1:7" x14ac:dyDescent="0.3">
      <c r="A14" s="29" t="s">
        <v>650</v>
      </c>
      <c r="B14" s="5">
        <v>4</v>
      </c>
      <c r="D14" s="5">
        <v>3</v>
      </c>
      <c r="E14" s="23" t="s">
        <v>651</v>
      </c>
      <c r="F14" s="6" t="s">
        <v>652</v>
      </c>
      <c r="G14" s="193">
        <v>0</v>
      </c>
    </row>
    <row r="15" spans="1:7" x14ac:dyDescent="0.3">
      <c r="A15" s="31" t="s">
        <v>653</v>
      </c>
      <c r="B15" s="5">
        <v>7</v>
      </c>
      <c r="D15" s="5">
        <v>3</v>
      </c>
      <c r="E15" s="23" t="s">
        <v>654</v>
      </c>
      <c r="F15" s="6" t="s">
        <v>655</v>
      </c>
      <c r="G15" s="45">
        <f t="shared" ref="G15" si="0">+SUM(G13:G14)</f>
        <v>31428.720000000001</v>
      </c>
    </row>
    <row r="16" spans="1:7" x14ac:dyDescent="0.3">
      <c r="A16" s="24" t="s">
        <v>656</v>
      </c>
      <c r="B16" s="5">
        <v>1066</v>
      </c>
      <c r="D16" s="5">
        <v>2</v>
      </c>
      <c r="E16" s="21" t="s">
        <v>657</v>
      </c>
      <c r="F16" s="6" t="s">
        <v>658</v>
      </c>
      <c r="G16" s="26">
        <f>SUM(G8:G14)</f>
        <v>1377337.99</v>
      </c>
    </row>
    <row r="17" spans="1:7" x14ac:dyDescent="0.3">
      <c r="A17" s="20" t="s">
        <v>659</v>
      </c>
      <c r="D17" s="5">
        <v>1</v>
      </c>
      <c r="E17" s="19" t="s">
        <v>660</v>
      </c>
      <c r="F17" s="6" t="s">
        <v>661</v>
      </c>
      <c r="G17" s="52" t="s">
        <v>87</v>
      </c>
    </row>
    <row r="18" spans="1:7" x14ac:dyDescent="0.3">
      <c r="A18" s="23" t="s">
        <v>662</v>
      </c>
      <c r="B18" s="5">
        <v>12</v>
      </c>
      <c r="D18" s="5">
        <v>2</v>
      </c>
      <c r="E18" s="53" t="s">
        <v>663</v>
      </c>
      <c r="F18" s="6" t="s">
        <v>664</v>
      </c>
      <c r="G18" s="193">
        <v>446468.72</v>
      </c>
    </row>
    <row r="19" spans="1:7" x14ac:dyDescent="0.3">
      <c r="A19" s="23" t="s">
        <v>665</v>
      </c>
      <c r="B19" s="5">
        <v>23</v>
      </c>
      <c r="D19" s="5">
        <v>2</v>
      </c>
      <c r="E19" s="53" t="s">
        <v>666</v>
      </c>
      <c r="F19" s="6" t="s">
        <v>667</v>
      </c>
      <c r="G19" s="193">
        <v>189626.98</v>
      </c>
    </row>
    <row r="20" spans="1:7" x14ac:dyDescent="0.3">
      <c r="A20" s="23" t="s">
        <v>668</v>
      </c>
      <c r="B20" s="5">
        <v>2</v>
      </c>
      <c r="D20" s="5">
        <v>2</v>
      </c>
      <c r="E20" s="53" t="s">
        <v>669</v>
      </c>
      <c r="F20" s="6" t="s">
        <v>670</v>
      </c>
      <c r="G20" s="193">
        <v>76697.320000000007</v>
      </c>
    </row>
    <row r="21" spans="1:7" x14ac:dyDescent="0.3">
      <c r="A21" s="23" t="s">
        <v>671</v>
      </c>
      <c r="B21" s="6"/>
      <c r="D21" s="5">
        <v>2</v>
      </c>
      <c r="E21" s="53" t="s">
        <v>672</v>
      </c>
      <c r="F21" s="6" t="s">
        <v>673</v>
      </c>
      <c r="G21" s="26"/>
    </row>
    <row r="22" spans="1:7" x14ac:dyDescent="0.3">
      <c r="A22" s="35" t="s">
        <v>674</v>
      </c>
      <c r="B22" s="5">
        <v>23</v>
      </c>
      <c r="D22" s="5">
        <v>3</v>
      </c>
      <c r="E22" s="23" t="s">
        <v>675</v>
      </c>
      <c r="F22" s="6" t="s">
        <v>676</v>
      </c>
      <c r="G22" s="193">
        <v>206200.73</v>
      </c>
    </row>
    <row r="23" spans="1:7" x14ac:dyDescent="0.3">
      <c r="A23" s="35" t="s">
        <v>677</v>
      </c>
      <c r="B23" s="5">
        <v>12</v>
      </c>
      <c r="D23" s="5">
        <v>3</v>
      </c>
      <c r="E23" s="23" t="s">
        <v>678</v>
      </c>
      <c r="F23" s="6" t="s">
        <v>679</v>
      </c>
      <c r="G23" s="193">
        <v>51158.07</v>
      </c>
    </row>
    <row r="24" spans="1:7" x14ac:dyDescent="0.3">
      <c r="A24" s="35" t="s">
        <v>680</v>
      </c>
      <c r="B24" s="5">
        <v>4</v>
      </c>
      <c r="D24" s="5">
        <v>3</v>
      </c>
      <c r="E24" s="23" t="s">
        <v>681</v>
      </c>
      <c r="F24" s="6" t="s">
        <v>682</v>
      </c>
      <c r="G24" s="193">
        <v>12391.99</v>
      </c>
    </row>
    <row r="25" spans="1:7" x14ac:dyDescent="0.3">
      <c r="A25" s="35" t="s">
        <v>683</v>
      </c>
      <c r="B25" s="5">
        <v>1</v>
      </c>
      <c r="D25" s="5">
        <v>3</v>
      </c>
      <c r="E25" s="23" t="s">
        <v>684</v>
      </c>
      <c r="F25" s="6" t="s">
        <v>685</v>
      </c>
      <c r="G25" s="193">
        <v>0</v>
      </c>
    </row>
    <row r="26" spans="1:7" x14ac:dyDescent="0.3">
      <c r="A26" s="35" t="s">
        <v>686</v>
      </c>
      <c r="B26" s="5">
        <v>1</v>
      </c>
      <c r="D26" s="5">
        <v>3</v>
      </c>
      <c r="E26" s="23" t="s">
        <v>687</v>
      </c>
      <c r="F26" s="6" t="s">
        <v>688</v>
      </c>
      <c r="G26" s="193">
        <v>4700</v>
      </c>
    </row>
    <row r="27" spans="1:7" x14ac:dyDescent="0.3">
      <c r="A27" s="31" t="s">
        <v>689</v>
      </c>
      <c r="B27" s="5">
        <v>41</v>
      </c>
      <c r="D27" s="5">
        <v>3</v>
      </c>
      <c r="E27" s="23" t="s">
        <v>690</v>
      </c>
      <c r="F27" s="6" t="s">
        <v>691</v>
      </c>
      <c r="G27" s="26">
        <f>SUM(G22:G26)</f>
        <v>274450.79000000004</v>
      </c>
    </row>
    <row r="28" spans="1:7" x14ac:dyDescent="0.3">
      <c r="A28" s="54" t="s">
        <v>692</v>
      </c>
      <c r="B28" s="6"/>
      <c r="D28" s="5">
        <v>2</v>
      </c>
      <c r="E28" s="53" t="s">
        <v>693</v>
      </c>
      <c r="F28" s="6" t="s">
        <v>694</v>
      </c>
      <c r="G28" s="55" t="s">
        <v>87</v>
      </c>
    </row>
    <row r="29" spans="1:7" x14ac:dyDescent="0.3">
      <c r="A29" s="35" t="s">
        <v>695</v>
      </c>
      <c r="B29" s="5">
        <v>33</v>
      </c>
      <c r="D29" s="5">
        <v>3</v>
      </c>
      <c r="E29" s="23" t="s">
        <v>696</v>
      </c>
      <c r="F29" s="6" t="s">
        <v>697</v>
      </c>
      <c r="G29" s="193">
        <v>300.12</v>
      </c>
    </row>
    <row r="30" spans="1:7" x14ac:dyDescent="0.3">
      <c r="A30" s="35" t="s">
        <v>698</v>
      </c>
      <c r="B30" s="5">
        <v>11</v>
      </c>
      <c r="D30" s="5">
        <v>3</v>
      </c>
      <c r="E30" s="23" t="s">
        <v>699</v>
      </c>
      <c r="F30" s="6" t="s">
        <v>700</v>
      </c>
      <c r="G30" s="193">
        <v>204233.19</v>
      </c>
    </row>
    <row r="31" spans="1:7" x14ac:dyDescent="0.3">
      <c r="A31" s="35" t="s">
        <v>701</v>
      </c>
      <c r="B31" s="5">
        <v>3</v>
      </c>
      <c r="D31" s="5">
        <v>3</v>
      </c>
      <c r="E31" s="23" t="s">
        <v>702</v>
      </c>
      <c r="F31" s="6" t="s">
        <v>703</v>
      </c>
      <c r="G31" s="193">
        <v>0</v>
      </c>
    </row>
    <row r="32" spans="1:7" x14ac:dyDescent="0.3">
      <c r="A32" s="35" t="s">
        <v>704</v>
      </c>
      <c r="B32" s="5">
        <v>1</v>
      </c>
      <c r="D32" s="5">
        <v>3</v>
      </c>
      <c r="E32" s="23" t="s">
        <v>705</v>
      </c>
      <c r="F32" s="6" t="s">
        <v>706</v>
      </c>
      <c r="G32" s="193">
        <v>1745.25</v>
      </c>
    </row>
    <row r="33" spans="1:7" x14ac:dyDescent="0.3">
      <c r="A33" s="31" t="s">
        <v>707</v>
      </c>
      <c r="B33" s="5">
        <v>48</v>
      </c>
      <c r="D33" s="5">
        <v>3</v>
      </c>
      <c r="E33" s="23" t="s">
        <v>708</v>
      </c>
      <c r="F33" s="6" t="s">
        <v>709</v>
      </c>
      <c r="G33" s="26">
        <f>SUM(G29:G32)</f>
        <v>206278.56</v>
      </c>
    </row>
    <row r="34" spans="1:7" x14ac:dyDescent="0.3">
      <c r="A34" s="23" t="s">
        <v>710</v>
      </c>
      <c r="B34" s="5">
        <v>21</v>
      </c>
      <c r="D34" s="5">
        <v>2</v>
      </c>
      <c r="E34" s="53" t="s">
        <v>711</v>
      </c>
      <c r="F34" s="6" t="s">
        <v>712</v>
      </c>
      <c r="G34" s="193">
        <v>43716.21</v>
      </c>
    </row>
    <row r="35" spans="1:7" x14ac:dyDescent="0.3">
      <c r="A35" s="23" t="s">
        <v>713</v>
      </c>
      <c r="B35" s="5">
        <v>3</v>
      </c>
      <c r="D35" s="5">
        <v>2</v>
      </c>
      <c r="E35" s="53" t="s">
        <v>714</v>
      </c>
      <c r="F35" s="6" t="s">
        <v>715</v>
      </c>
      <c r="G35" s="193">
        <v>0</v>
      </c>
    </row>
    <row r="36" spans="1:7" x14ac:dyDescent="0.3">
      <c r="A36" s="23" t="s">
        <v>716</v>
      </c>
      <c r="B36" s="5">
        <v>2</v>
      </c>
      <c r="D36" s="5">
        <v>2</v>
      </c>
      <c r="E36" s="53" t="s">
        <v>717</v>
      </c>
      <c r="F36" s="6" t="s">
        <v>718</v>
      </c>
      <c r="G36" s="193">
        <v>0</v>
      </c>
    </row>
    <row r="37" spans="1:7" x14ac:dyDescent="0.3">
      <c r="A37" s="23" t="s">
        <v>719</v>
      </c>
      <c r="B37" s="5">
        <v>1</v>
      </c>
      <c r="D37" s="5">
        <v>2</v>
      </c>
      <c r="E37" s="53" t="s">
        <v>720</v>
      </c>
      <c r="F37" s="6" t="s">
        <v>721</v>
      </c>
      <c r="G37" s="193">
        <v>59061.84</v>
      </c>
    </row>
    <row r="38" spans="1:7" x14ac:dyDescent="0.3">
      <c r="A38" s="24" t="s">
        <v>722</v>
      </c>
      <c r="B38" s="5">
        <v>153</v>
      </c>
      <c r="D38" s="5">
        <v>2</v>
      </c>
      <c r="E38" s="21" t="s">
        <v>723</v>
      </c>
      <c r="F38" s="6" t="s">
        <v>724</v>
      </c>
      <c r="G38" s="26">
        <f>+G37+G36+G35+G34+G33+G27+G20+G19+G18</f>
        <v>1296300.42</v>
      </c>
    </row>
    <row r="39" spans="1:7" x14ac:dyDescent="0.3">
      <c r="A39" s="20" t="s">
        <v>725</v>
      </c>
      <c r="B39" s="5">
        <v>913</v>
      </c>
      <c r="D39" s="5">
        <v>1</v>
      </c>
      <c r="E39" s="19" t="s">
        <v>726</v>
      </c>
      <c r="F39" s="6" t="s">
        <v>727</v>
      </c>
      <c r="G39" s="26">
        <f>+G16-G38</f>
        <v>81037.570000000065</v>
      </c>
    </row>
    <row r="40" spans="1:7" x14ac:dyDescent="0.3">
      <c r="A40" s="20" t="s">
        <v>728</v>
      </c>
      <c r="D40" s="5">
        <v>1</v>
      </c>
      <c r="E40" s="19" t="s">
        <v>729</v>
      </c>
      <c r="F40" s="6" t="s">
        <v>730</v>
      </c>
      <c r="G40" s="52" t="s">
        <v>87</v>
      </c>
    </row>
    <row r="41" spans="1:7" ht="24" x14ac:dyDescent="0.3">
      <c r="A41" s="81" t="s">
        <v>731</v>
      </c>
      <c r="B41" s="6"/>
      <c r="D41" s="5">
        <v>2</v>
      </c>
      <c r="E41" s="53" t="s">
        <v>732</v>
      </c>
      <c r="F41" s="6" t="s">
        <v>733</v>
      </c>
      <c r="G41" s="55" t="s">
        <v>87</v>
      </c>
    </row>
    <row r="42" spans="1:7" x14ac:dyDescent="0.3">
      <c r="A42" s="29" t="s">
        <v>734</v>
      </c>
      <c r="B42" s="5">
        <v>1</v>
      </c>
      <c r="D42" s="5">
        <v>3</v>
      </c>
      <c r="E42" s="23" t="s">
        <v>735</v>
      </c>
      <c r="F42" s="6" t="s">
        <v>736</v>
      </c>
      <c r="G42" s="193">
        <v>0</v>
      </c>
    </row>
    <row r="43" spans="1:7" x14ac:dyDescent="0.3">
      <c r="A43" s="29" t="s">
        <v>737</v>
      </c>
      <c r="B43" s="5">
        <v>1</v>
      </c>
      <c r="D43" s="5">
        <v>3</v>
      </c>
      <c r="E43" s="23" t="s">
        <v>738</v>
      </c>
      <c r="F43" s="6" t="s">
        <v>739</v>
      </c>
      <c r="G43" s="193">
        <v>0</v>
      </c>
    </row>
    <row r="44" spans="1:7" x14ac:dyDescent="0.3">
      <c r="A44" s="29" t="s">
        <v>650</v>
      </c>
      <c r="B44" s="5">
        <v>2</v>
      </c>
      <c r="D44" s="5">
        <v>3</v>
      </c>
      <c r="E44" s="23" t="s">
        <v>740</v>
      </c>
      <c r="F44" s="6" t="s">
        <v>741</v>
      </c>
      <c r="G44" s="193">
        <v>0</v>
      </c>
    </row>
    <row r="45" spans="1:7" x14ac:dyDescent="0.3">
      <c r="A45" s="31" t="s">
        <v>742</v>
      </c>
      <c r="B45" s="5">
        <v>4</v>
      </c>
      <c r="D45" s="5">
        <v>3</v>
      </c>
      <c r="E45" s="23" t="s">
        <v>743</v>
      </c>
      <c r="F45" s="6" t="s">
        <v>744</v>
      </c>
      <c r="G45" s="26">
        <f>SUM(G42:G44)</f>
        <v>0</v>
      </c>
    </row>
    <row r="46" spans="1:7" x14ac:dyDescent="0.3">
      <c r="A46" s="23" t="s">
        <v>745</v>
      </c>
      <c r="D46" s="5">
        <v>2</v>
      </c>
      <c r="E46" s="53" t="s">
        <v>746</v>
      </c>
      <c r="F46" s="6" t="s">
        <v>747</v>
      </c>
      <c r="G46" s="52" t="s">
        <v>87</v>
      </c>
    </row>
    <row r="47" spans="1:7" ht="21.6" x14ac:dyDescent="0.3">
      <c r="A47" s="82" t="s">
        <v>748</v>
      </c>
      <c r="B47" s="6"/>
      <c r="D47" s="5">
        <v>3</v>
      </c>
      <c r="E47" s="23" t="s">
        <v>749</v>
      </c>
      <c r="F47" s="6" t="s">
        <v>750</v>
      </c>
      <c r="G47" s="55" t="s">
        <v>87</v>
      </c>
    </row>
    <row r="48" spans="1:7" x14ac:dyDescent="0.3">
      <c r="A48" s="29" t="s">
        <v>734</v>
      </c>
      <c r="B48" s="5">
        <v>1</v>
      </c>
      <c r="D48" s="5">
        <v>4</v>
      </c>
      <c r="E48" s="30" t="s">
        <v>735</v>
      </c>
      <c r="F48" s="6" t="s">
        <v>751</v>
      </c>
      <c r="G48" s="193">
        <v>0</v>
      </c>
    </row>
    <row r="49" spans="1:7" x14ac:dyDescent="0.3">
      <c r="A49" s="29" t="s">
        <v>737</v>
      </c>
      <c r="B49" s="5">
        <v>1</v>
      </c>
      <c r="D49" s="5">
        <v>4</v>
      </c>
      <c r="E49" s="30" t="s">
        <v>738</v>
      </c>
      <c r="F49" s="6" t="s">
        <v>752</v>
      </c>
      <c r="G49" s="193">
        <v>0</v>
      </c>
    </row>
    <row r="50" spans="1:7" x14ac:dyDescent="0.3">
      <c r="A50" s="29" t="s">
        <v>753</v>
      </c>
      <c r="B50" s="5">
        <v>1</v>
      </c>
      <c r="D50" s="5">
        <v>4</v>
      </c>
      <c r="E50" s="30" t="s">
        <v>754</v>
      </c>
      <c r="F50" s="6" t="s">
        <v>755</v>
      </c>
      <c r="G50" s="193">
        <v>0</v>
      </c>
    </row>
    <row r="51" spans="1:7" x14ac:dyDescent="0.3">
      <c r="A51" s="29" t="s">
        <v>650</v>
      </c>
      <c r="B51" s="5">
        <v>1</v>
      </c>
      <c r="D51" s="5">
        <v>4</v>
      </c>
      <c r="E51" s="30" t="s">
        <v>756</v>
      </c>
      <c r="F51" s="6" t="s">
        <v>757</v>
      </c>
      <c r="G51" s="193">
        <v>5353.85</v>
      </c>
    </row>
    <row r="52" spans="1:7" x14ac:dyDescent="0.3">
      <c r="A52" s="31" t="s">
        <v>758</v>
      </c>
      <c r="B52" s="5">
        <v>4</v>
      </c>
      <c r="D52" s="5">
        <v>4</v>
      </c>
      <c r="E52" s="30" t="s">
        <v>759</v>
      </c>
      <c r="F52" s="6" t="s">
        <v>760</v>
      </c>
      <c r="G52" s="26">
        <f>SUM(G48:G51)</f>
        <v>5353.85</v>
      </c>
    </row>
    <row r="53" spans="1:7" x14ac:dyDescent="0.3">
      <c r="A53" s="35" t="s">
        <v>761</v>
      </c>
      <c r="B53" s="5">
        <v>2</v>
      </c>
      <c r="D53" s="5">
        <v>3</v>
      </c>
      <c r="E53" s="23" t="s">
        <v>762</v>
      </c>
      <c r="F53" s="6" t="s">
        <v>763</v>
      </c>
      <c r="G53" s="193">
        <v>0</v>
      </c>
    </row>
    <row r="54" spans="1:7" x14ac:dyDescent="0.3">
      <c r="A54" s="35" t="s">
        <v>764</v>
      </c>
      <c r="B54" s="5">
        <v>2</v>
      </c>
      <c r="D54" s="5">
        <v>3</v>
      </c>
      <c r="E54" s="23" t="s">
        <v>765</v>
      </c>
      <c r="F54" s="6" t="s">
        <v>766</v>
      </c>
      <c r="G54" s="193">
        <v>0</v>
      </c>
    </row>
    <row r="55" spans="1:7" ht="21.6" x14ac:dyDescent="0.3">
      <c r="A55" s="82" t="s">
        <v>767</v>
      </c>
      <c r="D55" s="5">
        <v>3</v>
      </c>
      <c r="E55" s="23" t="s">
        <v>768</v>
      </c>
      <c r="F55" s="6" t="s">
        <v>769</v>
      </c>
      <c r="G55" s="52" t="s">
        <v>87</v>
      </c>
    </row>
    <row r="56" spans="1:7" x14ac:dyDescent="0.3">
      <c r="A56" s="29" t="s">
        <v>734</v>
      </c>
      <c r="B56" s="5">
        <v>1</v>
      </c>
      <c r="D56" s="5">
        <v>4</v>
      </c>
      <c r="E56" s="30" t="s">
        <v>735</v>
      </c>
      <c r="F56" s="6" t="s">
        <v>770</v>
      </c>
      <c r="G56" s="193">
        <v>0</v>
      </c>
    </row>
    <row r="57" spans="1:7" x14ac:dyDescent="0.3">
      <c r="A57" s="29" t="s">
        <v>737</v>
      </c>
      <c r="B57" s="5">
        <v>1</v>
      </c>
      <c r="D57" s="5">
        <v>4</v>
      </c>
      <c r="E57" s="30" t="s">
        <v>738</v>
      </c>
      <c r="F57" s="6" t="s">
        <v>771</v>
      </c>
      <c r="G57" s="193">
        <v>0</v>
      </c>
    </row>
    <row r="58" spans="1:7" x14ac:dyDescent="0.3">
      <c r="A58" s="29" t="s">
        <v>753</v>
      </c>
      <c r="B58" s="5">
        <v>1</v>
      </c>
      <c r="D58" s="5">
        <v>4</v>
      </c>
      <c r="E58" s="30" t="s">
        <v>754</v>
      </c>
      <c r="F58" s="6" t="s">
        <v>772</v>
      </c>
      <c r="G58" s="193">
        <v>0</v>
      </c>
    </row>
    <row r="59" spans="1:7" x14ac:dyDescent="0.3">
      <c r="A59" s="29" t="s">
        <v>650</v>
      </c>
      <c r="B59" s="5">
        <v>1</v>
      </c>
      <c r="D59" s="5">
        <v>4</v>
      </c>
      <c r="E59" s="30" t="s">
        <v>756</v>
      </c>
      <c r="F59" s="6" t="s">
        <v>773</v>
      </c>
      <c r="G59" s="193">
        <v>0</v>
      </c>
    </row>
    <row r="60" spans="1:7" x14ac:dyDescent="0.3">
      <c r="A60" s="31" t="s">
        <v>774</v>
      </c>
      <c r="B60" s="5">
        <v>4</v>
      </c>
      <c r="D60" s="5">
        <v>4</v>
      </c>
      <c r="E60" s="30" t="s">
        <v>775</v>
      </c>
      <c r="F60" s="6" t="s">
        <v>776</v>
      </c>
      <c r="G60" s="26">
        <f>SUM(G56:G59)</f>
        <v>0</v>
      </c>
    </row>
    <row r="61" spans="1:7" x14ac:dyDescent="0.3">
      <c r="A61" s="31" t="s">
        <v>777</v>
      </c>
      <c r="B61" s="5">
        <v>12</v>
      </c>
      <c r="D61" s="5">
        <v>3</v>
      </c>
      <c r="E61" s="23" t="s">
        <v>778</v>
      </c>
      <c r="F61" s="6" t="s">
        <v>779</v>
      </c>
      <c r="G61" s="26">
        <f>+G60+G54+G53+G52</f>
        <v>5353.85</v>
      </c>
    </row>
    <row r="62" spans="1:7" x14ac:dyDescent="0.3">
      <c r="A62" s="23" t="s">
        <v>780</v>
      </c>
      <c r="D62" s="5">
        <v>2</v>
      </c>
      <c r="E62" s="53" t="s">
        <v>781</v>
      </c>
      <c r="F62" s="6" t="s">
        <v>782</v>
      </c>
      <c r="G62" s="52" t="s">
        <v>87</v>
      </c>
    </row>
    <row r="63" spans="1:7" x14ac:dyDescent="0.3">
      <c r="A63" s="29" t="s">
        <v>783</v>
      </c>
      <c r="B63" s="5">
        <v>2</v>
      </c>
      <c r="D63" s="5">
        <v>3</v>
      </c>
      <c r="E63" s="23" t="s">
        <v>784</v>
      </c>
      <c r="F63" s="6" t="s">
        <v>785</v>
      </c>
      <c r="G63" s="193">
        <v>0</v>
      </c>
    </row>
    <row r="64" spans="1:7" x14ac:dyDescent="0.3">
      <c r="A64" s="29" t="s">
        <v>786</v>
      </c>
      <c r="B64" s="5">
        <v>2</v>
      </c>
      <c r="D64" s="5">
        <v>3</v>
      </c>
      <c r="E64" s="23" t="s">
        <v>787</v>
      </c>
      <c r="F64" s="6" t="s">
        <v>788</v>
      </c>
      <c r="G64" s="193">
        <v>0</v>
      </c>
    </row>
    <row r="65" spans="1:7" x14ac:dyDescent="0.3">
      <c r="A65" s="29" t="s">
        <v>789</v>
      </c>
      <c r="B65" s="5">
        <v>2</v>
      </c>
      <c r="D65" s="5">
        <v>3</v>
      </c>
      <c r="E65" s="23" t="s">
        <v>790</v>
      </c>
      <c r="F65" s="6" t="s">
        <v>791</v>
      </c>
      <c r="G65" s="193">
        <v>0</v>
      </c>
    </row>
    <row r="66" spans="1:7" x14ac:dyDescent="0.3">
      <c r="A66" s="29" t="s">
        <v>1072</v>
      </c>
      <c r="B66" s="5">
        <v>23</v>
      </c>
      <c r="D66" s="5">
        <v>3</v>
      </c>
      <c r="E66" s="23" t="s">
        <v>792</v>
      </c>
      <c r="F66" s="6" t="s">
        <v>793</v>
      </c>
      <c r="G66" s="193">
        <f>56636.51+409.19+39.21</f>
        <v>57084.91</v>
      </c>
    </row>
    <row r="67" spans="1:7" x14ac:dyDescent="0.3">
      <c r="A67" s="31" t="s">
        <v>794</v>
      </c>
      <c r="B67" s="5">
        <v>29</v>
      </c>
      <c r="D67" s="5">
        <v>3</v>
      </c>
      <c r="E67" s="23" t="s">
        <v>795</v>
      </c>
      <c r="F67" s="6" t="s">
        <v>796</v>
      </c>
      <c r="G67" s="26">
        <f>SUM(G63:G66)</f>
        <v>57084.91</v>
      </c>
    </row>
    <row r="68" spans="1:7" x14ac:dyDescent="0.3">
      <c r="A68" s="23" t="s">
        <v>797</v>
      </c>
      <c r="B68" s="5">
        <v>3</v>
      </c>
      <c r="D68" s="5">
        <v>2</v>
      </c>
      <c r="E68" s="53" t="s">
        <v>798</v>
      </c>
      <c r="F68" s="6" t="s">
        <v>799</v>
      </c>
      <c r="G68" s="193">
        <v>0</v>
      </c>
    </row>
    <row r="69" spans="1:7" x14ac:dyDescent="0.3">
      <c r="A69" s="24" t="s">
        <v>800</v>
      </c>
      <c r="B69" s="5">
        <v>-10</v>
      </c>
      <c r="D69" s="5">
        <v>2</v>
      </c>
      <c r="E69" s="53" t="s">
        <v>801</v>
      </c>
      <c r="F69" s="6" t="s">
        <v>802</v>
      </c>
      <c r="G69" s="26">
        <f>+G45+G61-G67-G68</f>
        <v>-51731.060000000005</v>
      </c>
    </row>
    <row r="70" spans="1:7" x14ac:dyDescent="0.3">
      <c r="A70" s="20" t="s">
        <v>803</v>
      </c>
      <c r="D70" s="5">
        <v>1</v>
      </c>
      <c r="E70" s="19" t="s">
        <v>804</v>
      </c>
      <c r="F70" s="6" t="s">
        <v>805</v>
      </c>
      <c r="G70" s="52" t="s">
        <v>87</v>
      </c>
    </row>
    <row r="71" spans="1:7" x14ac:dyDescent="0.3">
      <c r="A71" s="23" t="s">
        <v>806</v>
      </c>
      <c r="D71" s="5">
        <v>2</v>
      </c>
      <c r="E71" s="53" t="s">
        <v>807</v>
      </c>
      <c r="F71" s="6" t="s">
        <v>808</v>
      </c>
      <c r="G71" s="52" t="s">
        <v>87</v>
      </c>
    </row>
    <row r="72" spans="1:7" x14ac:dyDescent="0.3">
      <c r="A72" s="35" t="s">
        <v>809</v>
      </c>
      <c r="B72" s="5">
        <v>2</v>
      </c>
      <c r="D72" s="5">
        <v>3</v>
      </c>
      <c r="E72" s="23" t="s">
        <v>810</v>
      </c>
      <c r="F72" s="6" t="s">
        <v>811</v>
      </c>
      <c r="G72" s="193">
        <v>0</v>
      </c>
    </row>
    <row r="73" spans="1:7" x14ac:dyDescent="0.3">
      <c r="A73" s="35" t="s">
        <v>812</v>
      </c>
      <c r="B73" s="5">
        <v>2</v>
      </c>
      <c r="D73" s="5">
        <v>3</v>
      </c>
      <c r="E73" s="23" t="s">
        <v>813</v>
      </c>
      <c r="F73" s="6" t="s">
        <v>814</v>
      </c>
      <c r="G73" s="193">
        <v>0</v>
      </c>
    </row>
    <row r="74" spans="1:7" x14ac:dyDescent="0.3">
      <c r="A74" s="35" t="s">
        <v>815</v>
      </c>
      <c r="B74" s="5">
        <v>2</v>
      </c>
      <c r="D74" s="5">
        <v>3</v>
      </c>
      <c r="E74" s="23" t="s">
        <v>816</v>
      </c>
      <c r="F74" s="6" t="s">
        <v>817</v>
      </c>
      <c r="G74" s="193">
        <v>0</v>
      </c>
    </row>
    <row r="75" spans="1:7" x14ac:dyDescent="0.3">
      <c r="A75" s="83" t="s">
        <v>818</v>
      </c>
      <c r="E75" s="23"/>
      <c r="G75" s="193">
        <v>0</v>
      </c>
    </row>
    <row r="76" spans="1:7" x14ac:dyDescent="0.3">
      <c r="A76" s="31" t="s">
        <v>819</v>
      </c>
      <c r="B76" s="5">
        <v>6</v>
      </c>
      <c r="D76" s="5">
        <v>3</v>
      </c>
      <c r="E76" s="23" t="s">
        <v>820</v>
      </c>
      <c r="F76" s="6" t="s">
        <v>821</v>
      </c>
      <c r="G76" s="26">
        <f>SUM(G72:G75)</f>
        <v>0</v>
      </c>
    </row>
    <row r="77" spans="1:7" x14ac:dyDescent="0.3">
      <c r="A77" s="23" t="s">
        <v>822</v>
      </c>
      <c r="D77" s="5">
        <v>2</v>
      </c>
      <c r="E77" s="53" t="s">
        <v>823</v>
      </c>
      <c r="F77" s="6" t="s">
        <v>824</v>
      </c>
      <c r="G77" s="52" t="s">
        <v>87</v>
      </c>
    </row>
    <row r="78" spans="1:7" x14ac:dyDescent="0.3">
      <c r="A78" s="35" t="s">
        <v>809</v>
      </c>
      <c r="B78" s="5">
        <v>3</v>
      </c>
      <c r="D78" s="5">
        <v>3</v>
      </c>
      <c r="E78" s="23" t="s">
        <v>810</v>
      </c>
      <c r="F78" s="6" t="s">
        <v>825</v>
      </c>
      <c r="G78" s="193">
        <v>0</v>
      </c>
    </row>
    <row r="79" spans="1:7" x14ac:dyDescent="0.3">
      <c r="A79" s="35" t="s">
        <v>812</v>
      </c>
      <c r="B79" s="5">
        <v>3</v>
      </c>
      <c r="D79" s="5">
        <v>3</v>
      </c>
      <c r="E79" s="23" t="s">
        <v>813</v>
      </c>
      <c r="F79" s="6" t="s">
        <v>826</v>
      </c>
      <c r="G79" s="193">
        <v>0</v>
      </c>
    </row>
    <row r="80" spans="1:7" x14ac:dyDescent="0.3">
      <c r="A80" s="35" t="s">
        <v>827</v>
      </c>
      <c r="B80" s="5">
        <v>3</v>
      </c>
      <c r="D80" s="5">
        <v>3</v>
      </c>
      <c r="E80" s="23" t="s">
        <v>816</v>
      </c>
      <c r="F80" s="6" t="s">
        <v>828</v>
      </c>
      <c r="G80" s="193">
        <v>0</v>
      </c>
    </row>
    <row r="81" spans="1:7" x14ac:dyDescent="0.3">
      <c r="A81" s="35" t="s">
        <v>818</v>
      </c>
      <c r="E81" s="23"/>
      <c r="G81" s="193">
        <v>0</v>
      </c>
    </row>
    <row r="82" spans="1:7" x14ac:dyDescent="0.3">
      <c r="A82" s="31" t="s">
        <v>829</v>
      </c>
      <c r="B82" s="5">
        <v>9</v>
      </c>
      <c r="D82" s="5">
        <v>3</v>
      </c>
      <c r="E82" s="23" t="s">
        <v>830</v>
      </c>
      <c r="F82" s="6" t="s">
        <v>831</v>
      </c>
      <c r="G82" s="26">
        <f>SUM(G78:G81)</f>
        <v>0</v>
      </c>
    </row>
    <row r="83" spans="1:7" x14ac:dyDescent="0.3">
      <c r="A83" s="24" t="s">
        <v>832</v>
      </c>
      <c r="B83" s="5">
        <v>-3</v>
      </c>
      <c r="D83" s="5">
        <v>2</v>
      </c>
      <c r="E83" s="53" t="s">
        <v>833</v>
      </c>
      <c r="F83" s="6" t="s">
        <v>834</v>
      </c>
      <c r="G83" s="38">
        <f>+G76-G82</f>
        <v>0</v>
      </c>
    </row>
    <row r="84" spans="1:7" x14ac:dyDescent="0.3">
      <c r="A84" s="20" t="s">
        <v>835</v>
      </c>
      <c r="B84" s="5">
        <v>892</v>
      </c>
      <c r="D84" s="5">
        <v>1</v>
      </c>
      <c r="E84" s="19" t="s">
        <v>836</v>
      </c>
      <c r="F84" s="6" t="s">
        <v>837</v>
      </c>
      <c r="G84" s="26">
        <f>+G39+G69+G83</f>
        <v>29306.51000000006</v>
      </c>
    </row>
    <row r="85" spans="1:7" x14ac:dyDescent="0.3">
      <c r="A85" s="53" t="s">
        <v>838</v>
      </c>
      <c r="D85" s="5">
        <v>1</v>
      </c>
      <c r="E85" s="56" t="s">
        <v>839</v>
      </c>
      <c r="F85" s="6" t="s">
        <v>840</v>
      </c>
      <c r="G85" s="52" t="s">
        <v>87</v>
      </c>
    </row>
    <row r="86" spans="1:7" x14ac:dyDescent="0.3">
      <c r="A86" s="23" t="s">
        <v>841</v>
      </c>
      <c r="B86" s="5">
        <v>30</v>
      </c>
      <c r="D86" s="5">
        <v>2</v>
      </c>
      <c r="E86" s="56" t="s">
        <v>842</v>
      </c>
      <c r="F86" s="6" t="s">
        <v>843</v>
      </c>
      <c r="G86" s="193">
        <v>21314</v>
      </c>
    </row>
    <row r="87" spans="1:7" x14ac:dyDescent="0.3">
      <c r="A87" s="23" t="s">
        <v>844</v>
      </c>
      <c r="B87" s="5">
        <v>4</v>
      </c>
      <c r="D87" s="5">
        <v>2</v>
      </c>
      <c r="E87" s="56" t="s">
        <v>845</v>
      </c>
      <c r="F87" s="6" t="s">
        <v>846</v>
      </c>
      <c r="G87" s="193">
        <v>-5596.3</v>
      </c>
    </row>
    <row r="88" spans="1:7" x14ac:dyDescent="0.3">
      <c r="A88" s="23" t="s">
        <v>847</v>
      </c>
      <c r="B88" s="5">
        <v>4</v>
      </c>
      <c r="D88" s="5">
        <v>2</v>
      </c>
      <c r="E88" s="56" t="s">
        <v>848</v>
      </c>
      <c r="F88" s="6" t="s">
        <v>849</v>
      </c>
      <c r="G88" s="193">
        <v>0</v>
      </c>
    </row>
    <row r="89" spans="1:7" x14ac:dyDescent="0.3">
      <c r="A89" s="23" t="s">
        <v>850</v>
      </c>
      <c r="B89" s="5">
        <v>4</v>
      </c>
      <c r="D89" s="5">
        <v>2</v>
      </c>
      <c r="E89" s="56" t="s">
        <v>851</v>
      </c>
      <c r="F89" s="6" t="s">
        <v>852</v>
      </c>
      <c r="G89" s="193">
        <v>0</v>
      </c>
    </row>
    <row r="90" spans="1:7" x14ac:dyDescent="0.3">
      <c r="A90" s="54" t="s">
        <v>853</v>
      </c>
      <c r="B90" s="5">
        <v>42</v>
      </c>
      <c r="D90" s="5">
        <v>2</v>
      </c>
      <c r="E90" s="56" t="s">
        <v>854</v>
      </c>
      <c r="F90" s="6" t="s">
        <v>855</v>
      </c>
      <c r="G90" s="26">
        <f>+G86+G87+G88-G89</f>
        <v>15717.7</v>
      </c>
    </row>
    <row r="91" spans="1:7" x14ac:dyDescent="0.3">
      <c r="A91" s="20" t="s">
        <v>856</v>
      </c>
      <c r="B91" s="5">
        <v>850</v>
      </c>
      <c r="D91" s="5">
        <v>1</v>
      </c>
      <c r="E91" s="19" t="s">
        <v>456</v>
      </c>
      <c r="F91" s="6" t="s">
        <v>857</v>
      </c>
      <c r="G91" s="26">
        <f>+G84-G90</f>
        <v>13588.81000000006</v>
      </c>
    </row>
  </sheetData>
  <conditionalFormatting sqref="A4">
    <cfRule type="expression" dxfId="71" priority="291" stopIfTrue="1">
      <formula>ABS(SUM(A4)-SUM(#REF!))&gt;=1</formula>
    </cfRule>
  </conditionalFormatting>
  <conditionalFormatting sqref="G21">
    <cfRule type="expression" dxfId="70" priority="308" stopIfTrue="1">
      <formula>ABS(SUM(G21)-SUM(#REF!))&gt;=1</formula>
    </cfRule>
  </conditionalFormatting>
  <conditionalFormatting sqref="G90">
    <cfRule type="expression" dxfId="69" priority="97" stopIfTrue="1">
      <formula>ABS(SUM(G90)-SUM(#REF!))&gt;=1</formula>
    </cfRule>
  </conditionalFormatting>
  <conditionalFormatting sqref="G91">
    <cfRule type="expression" dxfId="68" priority="98" stopIfTrue="1">
      <formula>ABS(SUM(G91)-SUM(#REF!))&gt;=1</formula>
    </cfRule>
  </conditionalFormatting>
  <conditionalFormatting sqref="G84">
    <cfRule type="expression" dxfId="67" priority="99" stopIfTrue="1">
      <formula>ABS(SUM(G84)-SUM(#REF!))&gt;=1</formula>
    </cfRule>
  </conditionalFormatting>
  <conditionalFormatting sqref="G82">
    <cfRule type="expression" dxfId="66" priority="102" stopIfTrue="1">
      <formula>ABS(SUM(G82)-SUM(#REF!))&gt;=1</formula>
    </cfRule>
  </conditionalFormatting>
  <conditionalFormatting sqref="G76">
    <cfRule type="expression" dxfId="65" priority="103" stopIfTrue="1">
      <formula>ABS(SUM(G76)-SUM(#REF!))&gt;=1</formula>
    </cfRule>
  </conditionalFormatting>
  <conditionalFormatting sqref="G69">
    <cfRule type="expression" dxfId="64" priority="104" stopIfTrue="1">
      <formula>ABS(SUM(G69)-SUM(#REF!))&gt;=1</formula>
    </cfRule>
  </conditionalFormatting>
  <conditionalFormatting sqref="G67">
    <cfRule type="expression" dxfId="63" priority="105" stopIfTrue="1">
      <formula>ABS(SUM(G67)-SUM(#REF!))&gt;=1</formula>
    </cfRule>
  </conditionalFormatting>
  <conditionalFormatting sqref="G60:G61">
    <cfRule type="expression" dxfId="62" priority="106" stopIfTrue="1">
      <formula>ABS(SUM(G60)-SUM(#REF!))&gt;=1</formula>
    </cfRule>
  </conditionalFormatting>
  <conditionalFormatting sqref="G52">
    <cfRule type="expression" dxfId="61" priority="107" stopIfTrue="1">
      <formula>ABS(SUM(G52)-SUM(#REF!))&gt;=1</formula>
    </cfRule>
  </conditionalFormatting>
  <conditionalFormatting sqref="G45">
    <cfRule type="expression" dxfId="60" priority="108" stopIfTrue="1">
      <formula>ABS(SUM(G45)-SUM(#REF!))&gt;=1</formula>
    </cfRule>
  </conditionalFormatting>
  <conditionalFormatting sqref="G39">
    <cfRule type="expression" dxfId="59" priority="109" stopIfTrue="1">
      <formula>ABS(SUM(G39)-SUM(#REF!))&gt;=1</formula>
    </cfRule>
  </conditionalFormatting>
  <conditionalFormatting sqref="G38">
    <cfRule type="expression" dxfId="58" priority="110" stopIfTrue="1">
      <formula>ABS(SUM(G38)-SUM(#REF!))&gt;=1</formula>
    </cfRule>
  </conditionalFormatting>
  <conditionalFormatting sqref="G33">
    <cfRule type="expression" dxfId="57" priority="111" stopIfTrue="1">
      <formula>ABS(SUM(G33)-SUM(#REF!))&gt;=1</formula>
    </cfRule>
  </conditionalFormatting>
  <conditionalFormatting sqref="G27">
    <cfRule type="expression" dxfId="56" priority="112" stopIfTrue="1">
      <formula>ABS(SUM(G27)-SUM(#REF!))&gt;=1</formula>
    </cfRule>
  </conditionalFormatting>
  <conditionalFormatting sqref="G6:G7">
    <cfRule type="expression" dxfId="55" priority="114" stopIfTrue="1">
      <formula>ABS(SUM(G6)-SUM(#REF!))&gt;=10</formula>
    </cfRule>
  </conditionalFormatting>
  <conditionalFormatting sqref="G17 G28 G40:G41 G46:G47 G62 G70:G71 G77 G83 G85">
    <cfRule type="expression" dxfId="54" priority="115" stopIfTrue="1">
      <formula>ABS(SUM(G17)-SUM(#REF!))&gt;=1</formula>
    </cfRule>
  </conditionalFormatting>
  <conditionalFormatting sqref="G16">
    <cfRule type="expression" dxfId="53" priority="79" stopIfTrue="1">
      <formula>ABS(SUM(G16)-SUM(#REF!))&gt;=1</formula>
    </cfRule>
  </conditionalFormatting>
  <conditionalFormatting sqref="G12">
    <cfRule type="expression" dxfId="52" priority="67" stopIfTrue="1">
      <formula>ABS(SUM(G12)-SUM(#REF!))&gt;=1</formula>
    </cfRule>
  </conditionalFormatting>
  <conditionalFormatting sqref="G55">
    <cfRule type="expression" dxfId="51" priority="59" stopIfTrue="1">
      <formula>ABS(SUM(G55)-SUM(#REF!))&gt;=1</formula>
    </cfRule>
  </conditionalFormatting>
  <conditionalFormatting sqref="G8:G11">
    <cfRule type="expression" dxfId="50" priority="15" stopIfTrue="1">
      <formula>ABS(SUM(G8)-SUM(#REF!))&gt;=1</formula>
    </cfRule>
  </conditionalFormatting>
  <conditionalFormatting sqref="G13:G14">
    <cfRule type="expression" dxfId="49" priority="14" stopIfTrue="1">
      <formula>ABS(SUM(G13)-SUM(#REF!))&gt;=1</formula>
    </cfRule>
  </conditionalFormatting>
  <conditionalFormatting sqref="G18:G20">
    <cfRule type="expression" dxfId="48" priority="13" stopIfTrue="1">
      <formula>ABS(SUM(G18)-SUM(#REF!))&gt;=1</formula>
    </cfRule>
  </conditionalFormatting>
  <conditionalFormatting sqref="G22:G26">
    <cfRule type="expression" dxfId="47" priority="12" stopIfTrue="1">
      <formula>ABS(SUM(G22)-SUM(#REF!))&gt;=1</formula>
    </cfRule>
  </conditionalFormatting>
  <conditionalFormatting sqref="G29:G32">
    <cfRule type="expression" dxfId="46" priority="11" stopIfTrue="1">
      <formula>ABS(SUM(G29)-SUM(#REF!))&gt;=1</formula>
    </cfRule>
  </conditionalFormatting>
  <conditionalFormatting sqref="G34:G37">
    <cfRule type="expression" dxfId="45" priority="10" stopIfTrue="1">
      <formula>ABS(SUM(G34)-SUM(#REF!))&gt;=1</formula>
    </cfRule>
  </conditionalFormatting>
  <conditionalFormatting sqref="G42:G44">
    <cfRule type="expression" dxfId="44" priority="9" stopIfTrue="1">
      <formula>ABS(SUM(G42)-SUM(#REF!))&gt;=1</formula>
    </cfRule>
  </conditionalFormatting>
  <conditionalFormatting sqref="G48:G51">
    <cfRule type="expression" dxfId="43" priority="8" stopIfTrue="1">
      <formula>ABS(SUM(G48)-SUM(#REF!))&gt;=1</formula>
    </cfRule>
  </conditionalFormatting>
  <conditionalFormatting sqref="G53:G54">
    <cfRule type="expression" dxfId="42" priority="7" stopIfTrue="1">
      <formula>ABS(SUM(G53)-SUM(#REF!))&gt;=1</formula>
    </cfRule>
  </conditionalFormatting>
  <conditionalFormatting sqref="G56:G59">
    <cfRule type="expression" dxfId="41" priority="6" stopIfTrue="1">
      <formula>ABS(SUM(G56)-SUM(#REF!))&gt;=1</formula>
    </cfRule>
  </conditionalFormatting>
  <conditionalFormatting sqref="G63:G66">
    <cfRule type="expression" dxfId="40" priority="5" stopIfTrue="1">
      <formula>ABS(SUM(G63)-SUM(#REF!))&gt;=1</formula>
    </cfRule>
  </conditionalFormatting>
  <conditionalFormatting sqref="G68">
    <cfRule type="expression" dxfId="39" priority="4" stopIfTrue="1">
      <formula>ABS(SUM(G68)-SUM(#REF!))&gt;=1</formula>
    </cfRule>
  </conditionalFormatting>
  <conditionalFormatting sqref="G72:G75">
    <cfRule type="expression" dxfId="38" priority="3" stopIfTrue="1">
      <formula>ABS(SUM(G72)-SUM(#REF!))&gt;=1</formula>
    </cfRule>
  </conditionalFormatting>
  <conditionalFormatting sqref="G78:G81">
    <cfRule type="expression" dxfId="37" priority="2" stopIfTrue="1">
      <formula>ABS(SUM(G78)-SUM(#REF!))&gt;=1</formula>
    </cfRule>
  </conditionalFormatting>
  <conditionalFormatting sqref="G86:G89">
    <cfRule type="expression" dxfId="36" priority="1" stopIfTrue="1">
      <formula>ABS(SUM(G86)-SUM(#REF!))&gt;=1</formula>
    </cfRule>
  </conditionalFormatting>
  <dataValidations count="2">
    <dataValidation type="whole" allowBlank="1" showInputMessage="1" showErrorMessage="1" sqref="IS65533:IS65627 SO65533:SO65627 ACK65533:ACK65627 AMG65533:AMG65627 AWC65533:AWC65627 BFY65533:BFY65627 BPU65533:BPU65627 BZQ65533:BZQ65627 CJM65533:CJM65627 CTI65533:CTI65627 DDE65533:DDE65627 DNA65533:DNA65627 DWW65533:DWW65627 EGS65533:EGS65627 EQO65533:EQO65627 FAK65533:FAK65627 FKG65533:FKG65627 FUC65533:FUC65627 GDY65533:GDY65627 GNU65533:GNU65627 GXQ65533:GXQ65627 HHM65533:HHM65627 HRI65533:HRI65627 IBE65533:IBE65627 ILA65533:ILA65627 IUW65533:IUW65627 JES65533:JES65627 JOO65533:JOO65627 JYK65533:JYK65627 KIG65533:KIG65627 KSC65533:KSC65627 LBY65533:LBY65627 LLU65533:LLU65627 LVQ65533:LVQ65627 MFM65533:MFM65627 MPI65533:MPI65627 MZE65533:MZE65627 NJA65533:NJA65627 NSW65533:NSW65627 OCS65533:OCS65627 OMO65533:OMO65627 OWK65533:OWK65627 PGG65533:PGG65627 PQC65533:PQC65627 PZY65533:PZY65627 QJU65533:QJU65627 QTQ65533:QTQ65627 RDM65533:RDM65627 RNI65533:RNI65627 RXE65533:RXE65627 SHA65533:SHA65627 SQW65533:SQW65627 TAS65533:TAS65627 TKO65533:TKO65627 TUK65533:TUK65627 UEG65533:UEG65627 UOC65533:UOC65627 UXY65533:UXY65627 VHU65533:VHU65627 VRQ65533:VRQ65627 WBM65533:WBM65627 WLI65533:WLI65627 WVE65533:WVE65627 IS131069:IS131163 SO131069:SO131163 ACK131069:ACK131163 AMG131069:AMG131163 AWC131069:AWC131163 BFY131069:BFY131163 BPU131069:BPU131163 BZQ131069:BZQ131163 CJM131069:CJM131163 CTI131069:CTI131163 DDE131069:DDE131163 DNA131069:DNA131163 DWW131069:DWW131163 EGS131069:EGS131163 EQO131069:EQO131163 FAK131069:FAK131163 FKG131069:FKG131163 FUC131069:FUC131163 GDY131069:GDY131163 GNU131069:GNU131163 GXQ131069:GXQ131163 HHM131069:HHM131163 HRI131069:HRI131163 IBE131069:IBE131163 ILA131069:ILA131163 IUW131069:IUW131163 JES131069:JES131163 JOO131069:JOO131163 JYK131069:JYK131163 KIG131069:KIG131163 KSC131069:KSC131163 LBY131069:LBY131163 LLU131069:LLU131163 LVQ131069:LVQ131163 MFM131069:MFM131163 MPI131069:MPI131163 MZE131069:MZE131163 NJA131069:NJA131163 NSW131069:NSW131163 OCS131069:OCS131163 OMO131069:OMO131163 OWK131069:OWK131163 PGG131069:PGG131163 PQC131069:PQC131163 PZY131069:PZY131163 QJU131069:QJU131163 QTQ131069:QTQ131163 RDM131069:RDM131163 RNI131069:RNI131163 RXE131069:RXE131163 SHA131069:SHA131163 SQW131069:SQW131163 TAS131069:TAS131163 TKO131069:TKO131163 TUK131069:TUK131163 UEG131069:UEG131163 UOC131069:UOC131163 UXY131069:UXY131163 VHU131069:VHU131163 VRQ131069:VRQ131163 WBM131069:WBM131163 WLI131069:WLI131163 WVE131069:WVE131163 IS196605:IS196699 SO196605:SO196699 ACK196605:ACK196699 AMG196605:AMG196699 AWC196605:AWC196699 BFY196605:BFY196699 BPU196605:BPU196699 BZQ196605:BZQ196699 CJM196605:CJM196699 CTI196605:CTI196699 DDE196605:DDE196699 DNA196605:DNA196699 DWW196605:DWW196699 EGS196605:EGS196699 EQO196605:EQO196699 FAK196605:FAK196699 FKG196605:FKG196699 FUC196605:FUC196699 GDY196605:GDY196699 GNU196605:GNU196699 GXQ196605:GXQ196699 HHM196605:HHM196699 HRI196605:HRI196699 IBE196605:IBE196699 ILA196605:ILA196699 IUW196605:IUW196699 JES196605:JES196699 JOO196605:JOO196699 JYK196605:JYK196699 KIG196605:KIG196699 KSC196605:KSC196699 LBY196605:LBY196699 LLU196605:LLU196699 LVQ196605:LVQ196699 MFM196605:MFM196699 MPI196605:MPI196699 MZE196605:MZE196699 NJA196605:NJA196699 NSW196605:NSW196699 OCS196605:OCS196699 OMO196605:OMO196699 OWK196605:OWK196699 PGG196605:PGG196699 PQC196605:PQC196699 PZY196605:PZY196699 QJU196605:QJU196699 QTQ196605:QTQ196699 RDM196605:RDM196699 RNI196605:RNI196699 RXE196605:RXE196699 SHA196605:SHA196699 SQW196605:SQW196699 TAS196605:TAS196699 TKO196605:TKO196699 TUK196605:TUK196699 UEG196605:UEG196699 UOC196605:UOC196699 UXY196605:UXY196699 VHU196605:VHU196699 VRQ196605:VRQ196699 WBM196605:WBM196699 WLI196605:WLI196699 WVE196605:WVE196699 IS262141:IS262235 SO262141:SO262235 ACK262141:ACK262235 AMG262141:AMG262235 AWC262141:AWC262235 BFY262141:BFY262235 BPU262141:BPU262235 BZQ262141:BZQ262235 CJM262141:CJM262235 CTI262141:CTI262235 DDE262141:DDE262235 DNA262141:DNA262235 DWW262141:DWW262235 EGS262141:EGS262235 EQO262141:EQO262235 FAK262141:FAK262235 FKG262141:FKG262235 FUC262141:FUC262235 GDY262141:GDY262235 GNU262141:GNU262235 GXQ262141:GXQ262235 HHM262141:HHM262235 HRI262141:HRI262235 IBE262141:IBE262235 ILA262141:ILA262235 IUW262141:IUW262235 JES262141:JES262235 JOO262141:JOO262235 JYK262141:JYK262235 KIG262141:KIG262235 KSC262141:KSC262235 LBY262141:LBY262235 LLU262141:LLU262235 LVQ262141:LVQ262235 MFM262141:MFM262235 MPI262141:MPI262235 MZE262141:MZE262235 NJA262141:NJA262235 NSW262141:NSW262235 OCS262141:OCS262235 OMO262141:OMO262235 OWK262141:OWK262235 PGG262141:PGG262235 PQC262141:PQC262235 PZY262141:PZY262235 QJU262141:QJU262235 QTQ262141:QTQ262235 RDM262141:RDM262235 RNI262141:RNI262235 RXE262141:RXE262235 SHA262141:SHA262235 SQW262141:SQW262235 TAS262141:TAS262235 TKO262141:TKO262235 TUK262141:TUK262235 UEG262141:UEG262235 UOC262141:UOC262235 UXY262141:UXY262235 VHU262141:VHU262235 VRQ262141:VRQ262235 WBM262141:WBM262235 WLI262141:WLI262235 WVE262141:WVE262235 IS327677:IS327771 SO327677:SO327771 ACK327677:ACK327771 AMG327677:AMG327771 AWC327677:AWC327771 BFY327677:BFY327771 BPU327677:BPU327771 BZQ327677:BZQ327771 CJM327677:CJM327771 CTI327677:CTI327771 DDE327677:DDE327771 DNA327677:DNA327771 DWW327677:DWW327771 EGS327677:EGS327771 EQO327677:EQO327771 FAK327677:FAK327771 FKG327677:FKG327771 FUC327677:FUC327771 GDY327677:GDY327771 GNU327677:GNU327771 GXQ327677:GXQ327771 HHM327677:HHM327771 HRI327677:HRI327771 IBE327677:IBE327771 ILA327677:ILA327771 IUW327677:IUW327771 JES327677:JES327771 JOO327677:JOO327771 JYK327677:JYK327771 KIG327677:KIG327771 KSC327677:KSC327771 LBY327677:LBY327771 LLU327677:LLU327771 LVQ327677:LVQ327771 MFM327677:MFM327771 MPI327677:MPI327771 MZE327677:MZE327771 NJA327677:NJA327771 NSW327677:NSW327771 OCS327677:OCS327771 OMO327677:OMO327771 OWK327677:OWK327771 PGG327677:PGG327771 PQC327677:PQC327771 PZY327677:PZY327771 QJU327677:QJU327771 QTQ327677:QTQ327771 RDM327677:RDM327771 RNI327677:RNI327771 RXE327677:RXE327771 SHA327677:SHA327771 SQW327677:SQW327771 TAS327677:TAS327771 TKO327677:TKO327771 TUK327677:TUK327771 UEG327677:UEG327771 UOC327677:UOC327771 UXY327677:UXY327771 VHU327677:VHU327771 VRQ327677:VRQ327771 WBM327677:WBM327771 WLI327677:WLI327771 WVE327677:WVE327771 IS393213:IS393307 SO393213:SO393307 ACK393213:ACK393307 AMG393213:AMG393307 AWC393213:AWC393307 BFY393213:BFY393307 BPU393213:BPU393307 BZQ393213:BZQ393307 CJM393213:CJM393307 CTI393213:CTI393307 DDE393213:DDE393307 DNA393213:DNA393307 DWW393213:DWW393307 EGS393213:EGS393307 EQO393213:EQO393307 FAK393213:FAK393307 FKG393213:FKG393307 FUC393213:FUC393307 GDY393213:GDY393307 GNU393213:GNU393307 GXQ393213:GXQ393307 HHM393213:HHM393307 HRI393213:HRI393307 IBE393213:IBE393307 ILA393213:ILA393307 IUW393213:IUW393307 JES393213:JES393307 JOO393213:JOO393307 JYK393213:JYK393307 KIG393213:KIG393307 KSC393213:KSC393307 LBY393213:LBY393307 LLU393213:LLU393307 LVQ393213:LVQ393307 MFM393213:MFM393307 MPI393213:MPI393307 MZE393213:MZE393307 NJA393213:NJA393307 NSW393213:NSW393307 OCS393213:OCS393307 OMO393213:OMO393307 OWK393213:OWK393307 PGG393213:PGG393307 PQC393213:PQC393307 PZY393213:PZY393307 QJU393213:QJU393307 QTQ393213:QTQ393307 RDM393213:RDM393307 RNI393213:RNI393307 RXE393213:RXE393307 SHA393213:SHA393307 SQW393213:SQW393307 TAS393213:TAS393307 TKO393213:TKO393307 TUK393213:TUK393307 UEG393213:UEG393307 UOC393213:UOC393307 UXY393213:UXY393307 VHU393213:VHU393307 VRQ393213:VRQ393307 WBM393213:WBM393307 WLI393213:WLI393307 WVE393213:WVE393307 IS458749:IS458843 SO458749:SO458843 ACK458749:ACK458843 AMG458749:AMG458843 AWC458749:AWC458843 BFY458749:BFY458843 BPU458749:BPU458843 BZQ458749:BZQ458843 CJM458749:CJM458843 CTI458749:CTI458843 DDE458749:DDE458843 DNA458749:DNA458843 DWW458749:DWW458843 EGS458749:EGS458843 EQO458749:EQO458843 FAK458749:FAK458843 FKG458749:FKG458843 FUC458749:FUC458843 GDY458749:GDY458843 GNU458749:GNU458843 GXQ458749:GXQ458843 HHM458749:HHM458843 HRI458749:HRI458843 IBE458749:IBE458843 ILA458749:ILA458843 IUW458749:IUW458843 JES458749:JES458843 JOO458749:JOO458843 JYK458749:JYK458843 KIG458749:KIG458843 KSC458749:KSC458843 LBY458749:LBY458843 LLU458749:LLU458843 LVQ458749:LVQ458843 MFM458749:MFM458843 MPI458749:MPI458843 MZE458749:MZE458843 NJA458749:NJA458843 NSW458749:NSW458843 OCS458749:OCS458843 OMO458749:OMO458843 OWK458749:OWK458843 PGG458749:PGG458843 PQC458749:PQC458843 PZY458749:PZY458843 QJU458749:QJU458843 QTQ458749:QTQ458843 RDM458749:RDM458843 RNI458749:RNI458843 RXE458749:RXE458843 SHA458749:SHA458843 SQW458749:SQW458843 TAS458749:TAS458843 TKO458749:TKO458843 TUK458749:TUK458843 UEG458749:UEG458843 UOC458749:UOC458843 UXY458749:UXY458843 VHU458749:VHU458843 VRQ458749:VRQ458843 WBM458749:WBM458843 WLI458749:WLI458843 WVE458749:WVE458843 IS524285:IS524379 SO524285:SO524379 ACK524285:ACK524379 AMG524285:AMG524379 AWC524285:AWC524379 BFY524285:BFY524379 BPU524285:BPU524379 BZQ524285:BZQ524379 CJM524285:CJM524379 CTI524285:CTI524379 DDE524285:DDE524379 DNA524285:DNA524379 DWW524285:DWW524379 EGS524285:EGS524379 EQO524285:EQO524379 FAK524285:FAK524379 FKG524285:FKG524379 FUC524285:FUC524379 GDY524285:GDY524379 GNU524285:GNU524379 GXQ524285:GXQ524379 HHM524285:HHM524379 HRI524285:HRI524379 IBE524285:IBE524379 ILA524285:ILA524379 IUW524285:IUW524379 JES524285:JES524379 JOO524285:JOO524379 JYK524285:JYK524379 KIG524285:KIG524379 KSC524285:KSC524379 LBY524285:LBY524379 LLU524285:LLU524379 LVQ524285:LVQ524379 MFM524285:MFM524379 MPI524285:MPI524379 MZE524285:MZE524379 NJA524285:NJA524379 NSW524285:NSW524379 OCS524285:OCS524379 OMO524285:OMO524379 OWK524285:OWK524379 PGG524285:PGG524379 PQC524285:PQC524379 PZY524285:PZY524379 QJU524285:QJU524379 QTQ524285:QTQ524379 RDM524285:RDM524379 RNI524285:RNI524379 RXE524285:RXE524379 SHA524285:SHA524379 SQW524285:SQW524379 TAS524285:TAS524379 TKO524285:TKO524379 TUK524285:TUK524379 UEG524285:UEG524379 UOC524285:UOC524379 UXY524285:UXY524379 VHU524285:VHU524379 VRQ524285:VRQ524379 WBM524285:WBM524379 WLI524285:WLI524379 WVE524285:WVE524379 IS589821:IS589915 SO589821:SO589915 ACK589821:ACK589915 AMG589821:AMG589915 AWC589821:AWC589915 BFY589821:BFY589915 BPU589821:BPU589915 BZQ589821:BZQ589915 CJM589821:CJM589915 CTI589821:CTI589915 DDE589821:DDE589915 DNA589821:DNA589915 DWW589821:DWW589915 EGS589821:EGS589915 EQO589821:EQO589915 FAK589821:FAK589915 FKG589821:FKG589915 FUC589821:FUC589915 GDY589821:GDY589915 GNU589821:GNU589915 GXQ589821:GXQ589915 HHM589821:HHM589915 HRI589821:HRI589915 IBE589821:IBE589915 ILA589821:ILA589915 IUW589821:IUW589915 JES589821:JES589915 JOO589821:JOO589915 JYK589821:JYK589915 KIG589821:KIG589915 KSC589821:KSC589915 LBY589821:LBY589915 LLU589821:LLU589915 LVQ589821:LVQ589915 MFM589821:MFM589915 MPI589821:MPI589915 MZE589821:MZE589915 NJA589821:NJA589915 NSW589821:NSW589915 OCS589821:OCS589915 OMO589821:OMO589915 OWK589821:OWK589915 PGG589821:PGG589915 PQC589821:PQC589915 PZY589821:PZY589915 QJU589821:QJU589915 QTQ589821:QTQ589915 RDM589821:RDM589915 RNI589821:RNI589915 RXE589821:RXE589915 SHA589821:SHA589915 SQW589821:SQW589915 TAS589821:TAS589915 TKO589821:TKO589915 TUK589821:TUK589915 UEG589821:UEG589915 UOC589821:UOC589915 UXY589821:UXY589915 VHU589821:VHU589915 VRQ589821:VRQ589915 WBM589821:WBM589915 WLI589821:WLI589915 WVE589821:WVE589915 IS655357:IS655451 SO655357:SO655451 ACK655357:ACK655451 AMG655357:AMG655451 AWC655357:AWC655451 BFY655357:BFY655451 BPU655357:BPU655451 BZQ655357:BZQ655451 CJM655357:CJM655451 CTI655357:CTI655451 DDE655357:DDE655451 DNA655357:DNA655451 DWW655357:DWW655451 EGS655357:EGS655451 EQO655357:EQO655451 FAK655357:FAK655451 FKG655357:FKG655451 FUC655357:FUC655451 GDY655357:GDY655451 GNU655357:GNU655451 GXQ655357:GXQ655451 HHM655357:HHM655451 HRI655357:HRI655451 IBE655357:IBE655451 ILA655357:ILA655451 IUW655357:IUW655451 JES655357:JES655451 JOO655357:JOO655451 JYK655357:JYK655451 KIG655357:KIG655451 KSC655357:KSC655451 LBY655357:LBY655451 LLU655357:LLU655451 LVQ655357:LVQ655451 MFM655357:MFM655451 MPI655357:MPI655451 MZE655357:MZE655451 NJA655357:NJA655451 NSW655357:NSW655451 OCS655357:OCS655451 OMO655357:OMO655451 OWK655357:OWK655451 PGG655357:PGG655451 PQC655357:PQC655451 PZY655357:PZY655451 QJU655357:QJU655451 QTQ655357:QTQ655451 RDM655357:RDM655451 RNI655357:RNI655451 RXE655357:RXE655451 SHA655357:SHA655451 SQW655357:SQW655451 TAS655357:TAS655451 TKO655357:TKO655451 TUK655357:TUK655451 UEG655357:UEG655451 UOC655357:UOC655451 UXY655357:UXY655451 VHU655357:VHU655451 VRQ655357:VRQ655451 WBM655357:WBM655451 WLI655357:WLI655451 WVE655357:WVE655451 IS720893:IS720987 SO720893:SO720987 ACK720893:ACK720987 AMG720893:AMG720987 AWC720893:AWC720987 BFY720893:BFY720987 BPU720893:BPU720987 BZQ720893:BZQ720987 CJM720893:CJM720987 CTI720893:CTI720987 DDE720893:DDE720987 DNA720893:DNA720987 DWW720893:DWW720987 EGS720893:EGS720987 EQO720893:EQO720987 FAK720893:FAK720987 FKG720893:FKG720987 FUC720893:FUC720987 GDY720893:GDY720987 GNU720893:GNU720987 GXQ720893:GXQ720987 HHM720893:HHM720987 HRI720893:HRI720987 IBE720893:IBE720987 ILA720893:ILA720987 IUW720893:IUW720987 JES720893:JES720987 JOO720893:JOO720987 JYK720893:JYK720987 KIG720893:KIG720987 KSC720893:KSC720987 LBY720893:LBY720987 LLU720893:LLU720987 LVQ720893:LVQ720987 MFM720893:MFM720987 MPI720893:MPI720987 MZE720893:MZE720987 NJA720893:NJA720987 NSW720893:NSW720987 OCS720893:OCS720987 OMO720893:OMO720987 OWK720893:OWK720987 PGG720893:PGG720987 PQC720893:PQC720987 PZY720893:PZY720987 QJU720893:QJU720987 QTQ720893:QTQ720987 RDM720893:RDM720987 RNI720893:RNI720987 RXE720893:RXE720987 SHA720893:SHA720987 SQW720893:SQW720987 TAS720893:TAS720987 TKO720893:TKO720987 TUK720893:TUK720987 UEG720893:UEG720987 UOC720893:UOC720987 UXY720893:UXY720987 VHU720893:VHU720987 VRQ720893:VRQ720987 WBM720893:WBM720987 WLI720893:WLI720987 WVE720893:WVE720987 IS786429:IS786523 SO786429:SO786523 ACK786429:ACK786523 AMG786429:AMG786523 AWC786429:AWC786523 BFY786429:BFY786523 BPU786429:BPU786523 BZQ786429:BZQ786523 CJM786429:CJM786523 CTI786429:CTI786523 DDE786429:DDE786523 DNA786429:DNA786523 DWW786429:DWW786523 EGS786429:EGS786523 EQO786429:EQO786523 FAK786429:FAK786523 FKG786429:FKG786523 FUC786429:FUC786523 GDY786429:GDY786523 GNU786429:GNU786523 GXQ786429:GXQ786523 HHM786429:HHM786523 HRI786429:HRI786523 IBE786429:IBE786523 ILA786429:ILA786523 IUW786429:IUW786523 JES786429:JES786523 JOO786429:JOO786523 JYK786429:JYK786523 KIG786429:KIG786523 KSC786429:KSC786523 LBY786429:LBY786523 LLU786429:LLU786523 LVQ786429:LVQ786523 MFM786429:MFM786523 MPI786429:MPI786523 MZE786429:MZE786523 NJA786429:NJA786523 NSW786429:NSW786523 OCS786429:OCS786523 OMO786429:OMO786523 OWK786429:OWK786523 PGG786429:PGG786523 PQC786429:PQC786523 PZY786429:PZY786523 QJU786429:QJU786523 QTQ786429:QTQ786523 RDM786429:RDM786523 RNI786429:RNI786523 RXE786429:RXE786523 SHA786429:SHA786523 SQW786429:SQW786523 TAS786429:TAS786523 TKO786429:TKO786523 TUK786429:TUK786523 UEG786429:UEG786523 UOC786429:UOC786523 UXY786429:UXY786523 VHU786429:VHU786523 VRQ786429:VRQ786523 WBM786429:WBM786523 WLI786429:WLI786523 WVE786429:WVE786523 IS851965:IS852059 SO851965:SO852059 ACK851965:ACK852059 AMG851965:AMG852059 AWC851965:AWC852059 BFY851965:BFY852059 BPU851965:BPU852059 BZQ851965:BZQ852059 CJM851965:CJM852059 CTI851965:CTI852059 DDE851965:DDE852059 DNA851965:DNA852059 DWW851965:DWW852059 EGS851965:EGS852059 EQO851965:EQO852059 FAK851965:FAK852059 FKG851965:FKG852059 FUC851965:FUC852059 GDY851965:GDY852059 GNU851965:GNU852059 GXQ851965:GXQ852059 HHM851965:HHM852059 HRI851965:HRI852059 IBE851965:IBE852059 ILA851965:ILA852059 IUW851965:IUW852059 JES851965:JES852059 JOO851965:JOO852059 JYK851965:JYK852059 KIG851965:KIG852059 KSC851965:KSC852059 LBY851965:LBY852059 LLU851965:LLU852059 LVQ851965:LVQ852059 MFM851965:MFM852059 MPI851965:MPI852059 MZE851965:MZE852059 NJA851965:NJA852059 NSW851965:NSW852059 OCS851965:OCS852059 OMO851965:OMO852059 OWK851965:OWK852059 PGG851965:PGG852059 PQC851965:PQC852059 PZY851965:PZY852059 QJU851965:QJU852059 QTQ851965:QTQ852059 RDM851965:RDM852059 RNI851965:RNI852059 RXE851965:RXE852059 SHA851965:SHA852059 SQW851965:SQW852059 TAS851965:TAS852059 TKO851965:TKO852059 TUK851965:TUK852059 UEG851965:UEG852059 UOC851965:UOC852059 UXY851965:UXY852059 VHU851965:VHU852059 VRQ851965:VRQ852059 WBM851965:WBM852059 WLI851965:WLI852059 WVE851965:WVE852059 IS917501:IS917595 SO917501:SO917595 ACK917501:ACK917595 AMG917501:AMG917595 AWC917501:AWC917595 BFY917501:BFY917595 BPU917501:BPU917595 BZQ917501:BZQ917595 CJM917501:CJM917595 CTI917501:CTI917595 DDE917501:DDE917595 DNA917501:DNA917595 DWW917501:DWW917595 EGS917501:EGS917595 EQO917501:EQO917595 FAK917501:FAK917595 FKG917501:FKG917595 FUC917501:FUC917595 GDY917501:GDY917595 GNU917501:GNU917595 GXQ917501:GXQ917595 HHM917501:HHM917595 HRI917501:HRI917595 IBE917501:IBE917595 ILA917501:ILA917595 IUW917501:IUW917595 JES917501:JES917595 JOO917501:JOO917595 JYK917501:JYK917595 KIG917501:KIG917595 KSC917501:KSC917595 LBY917501:LBY917595 LLU917501:LLU917595 LVQ917501:LVQ917595 MFM917501:MFM917595 MPI917501:MPI917595 MZE917501:MZE917595 NJA917501:NJA917595 NSW917501:NSW917595 OCS917501:OCS917595 OMO917501:OMO917595 OWK917501:OWK917595 PGG917501:PGG917595 PQC917501:PQC917595 PZY917501:PZY917595 QJU917501:QJU917595 QTQ917501:QTQ917595 RDM917501:RDM917595 RNI917501:RNI917595 RXE917501:RXE917595 SHA917501:SHA917595 SQW917501:SQW917595 TAS917501:TAS917595 TKO917501:TKO917595 TUK917501:TUK917595 UEG917501:UEG917595 UOC917501:UOC917595 UXY917501:UXY917595 VHU917501:VHU917595 VRQ917501:VRQ917595 WBM917501:WBM917595 WLI917501:WLI917595 WVE917501:WVE917595 IS983037:IS983131 SO983037:SO983131 ACK983037:ACK983131 AMG983037:AMG983131 AWC983037:AWC983131 BFY983037:BFY983131 BPU983037:BPU983131 BZQ983037:BZQ983131 CJM983037:CJM983131 CTI983037:CTI983131 DDE983037:DDE983131 DNA983037:DNA983131 DWW983037:DWW983131 EGS983037:EGS983131 EQO983037:EQO983131 FAK983037:FAK983131 FKG983037:FKG983131 FUC983037:FUC983131 GDY983037:GDY983131 GNU983037:GNU983131 GXQ983037:GXQ983131 HHM983037:HHM983131 HRI983037:HRI983131 IBE983037:IBE983131 ILA983037:ILA983131 IUW983037:IUW983131 JES983037:JES983131 JOO983037:JOO983131 JYK983037:JYK983131 KIG983037:KIG983131 KSC983037:KSC983131 LBY983037:LBY983131 LLU983037:LLU983131 LVQ983037:LVQ983131 MFM983037:MFM983131 MPI983037:MPI983131 MZE983037:MZE983131 NJA983037:NJA983131 NSW983037:NSW983131 OCS983037:OCS983131 OMO983037:OMO983131 OWK983037:OWK983131 PGG983037:PGG983131 PQC983037:PQC983131 PZY983037:PZY983131 QJU983037:QJU983131 QTQ983037:QTQ983131 RDM983037:RDM983131 RNI983037:RNI983131 RXE983037:RXE983131 SHA983037:SHA983131 SQW983037:SQW983131 TAS983037:TAS983131 TKO983037:TKO983131 TUK983037:TUK983131 UEG983037:UEG983131 UOC983037:UOC983131 UXY983037:UXY983131 VHU983037:VHU983131 VRQ983037:VRQ983131 WBM983037:WBM983131 WLI983037:WLI983131 WVE983037:WVE983131 WVE8:WVE91 WLI8:WLI91 WBM8:WBM91 VRQ8:VRQ91 VHU8:VHU91 UXY8:UXY91 UOC8:UOC91 UEG8:UEG91 TUK8:TUK91 TKO8:TKO91 TAS8:TAS91 SQW8:SQW91 SHA8:SHA91 RXE8:RXE91 RNI8:RNI91 RDM8:RDM91 QTQ8:QTQ91 QJU8:QJU91 PZY8:PZY91 PQC8:PQC91 PGG8:PGG91 OWK8:OWK91 OMO8:OMO91 OCS8:OCS91 NSW8:NSW91 NJA8:NJA91 MZE8:MZE91 MPI8:MPI91 MFM8:MFM91 LVQ8:LVQ91 LLU8:LLU91 LBY8:LBY91 KSC8:KSC91 KIG8:KIG91 JYK8:JYK91 JOO8:JOO91 JES8:JES91 IUW8:IUW91 ILA8:ILA91 IBE8:IBE91 HRI8:HRI91 HHM8:HHM91 GXQ8:GXQ91 GNU8:GNU91 GDY8:GDY91 FUC8:FUC91 FKG8:FKG91 FAK8:FAK91 EQO8:EQO91 EGS8:EGS91 DWW8:DWW91 DNA8:DNA91 DDE8:DDE91 CTI8:CTI91 CJM8:CJM91 BZQ8:BZQ91 BPU8:BPU91 BFY8:BFY91 AWC8:AWC91 AMG8:AMG91 ACK8:ACK91 SO8:SO91 IS8:IS91">
      <formula1>-9.99999999999999E+30</formula1>
      <formula2>9.99999999999999E+32</formula2>
    </dataValidation>
    <dataValidation type="whole" allowBlank="1" showInputMessage="1" showErrorMessage="1" sqref="WVC983037:WVC983131 RDK983037:RDK983131 IQ65533:IQ65627 SM65533:SM65627 ACI65533:ACI65627 AME65533:AME65627 AWA65533:AWA65627 BFW65533:BFW65627 BPS65533:BPS65627 BZO65533:BZO65627 CJK65533:CJK65627 CTG65533:CTG65627 DDC65533:DDC65627 DMY65533:DMY65627 DWU65533:DWU65627 EGQ65533:EGQ65627 EQM65533:EQM65627 FAI65533:FAI65627 FKE65533:FKE65627 FUA65533:FUA65627 GDW65533:GDW65627 GNS65533:GNS65627 GXO65533:GXO65627 HHK65533:HHK65627 HRG65533:HRG65627 IBC65533:IBC65627 IKY65533:IKY65627 IUU65533:IUU65627 JEQ65533:JEQ65627 JOM65533:JOM65627 JYI65533:JYI65627 KIE65533:KIE65627 KSA65533:KSA65627 LBW65533:LBW65627 LLS65533:LLS65627 LVO65533:LVO65627 MFK65533:MFK65627 MPG65533:MPG65627 MZC65533:MZC65627 NIY65533:NIY65627 NSU65533:NSU65627 OCQ65533:OCQ65627 OMM65533:OMM65627 OWI65533:OWI65627 PGE65533:PGE65627 PQA65533:PQA65627 PZW65533:PZW65627 QJS65533:QJS65627 QTO65533:QTO65627 RDK65533:RDK65627 RNG65533:RNG65627 RXC65533:RXC65627 SGY65533:SGY65627 SQU65533:SQU65627 TAQ65533:TAQ65627 TKM65533:TKM65627 TUI65533:TUI65627 UEE65533:UEE65627 UOA65533:UOA65627 UXW65533:UXW65627 VHS65533:VHS65627 VRO65533:VRO65627 WBK65533:WBK65627 WLG65533:WLG65627 WVC65533:WVC65627 RNG983037:RNG983131 IQ131069:IQ131163 SM131069:SM131163 ACI131069:ACI131163 AME131069:AME131163 AWA131069:AWA131163 BFW131069:BFW131163 BPS131069:BPS131163 BZO131069:BZO131163 CJK131069:CJK131163 CTG131069:CTG131163 DDC131069:DDC131163 DMY131069:DMY131163 DWU131069:DWU131163 EGQ131069:EGQ131163 EQM131069:EQM131163 FAI131069:FAI131163 FKE131069:FKE131163 FUA131069:FUA131163 GDW131069:GDW131163 GNS131069:GNS131163 GXO131069:GXO131163 HHK131069:HHK131163 HRG131069:HRG131163 IBC131069:IBC131163 IKY131069:IKY131163 IUU131069:IUU131163 JEQ131069:JEQ131163 JOM131069:JOM131163 JYI131069:JYI131163 KIE131069:KIE131163 KSA131069:KSA131163 LBW131069:LBW131163 LLS131069:LLS131163 LVO131069:LVO131163 MFK131069:MFK131163 MPG131069:MPG131163 MZC131069:MZC131163 NIY131069:NIY131163 NSU131069:NSU131163 OCQ131069:OCQ131163 OMM131069:OMM131163 OWI131069:OWI131163 PGE131069:PGE131163 PQA131069:PQA131163 PZW131069:PZW131163 QJS131069:QJS131163 QTO131069:QTO131163 RDK131069:RDK131163 RNG131069:RNG131163 RXC131069:RXC131163 SGY131069:SGY131163 SQU131069:SQU131163 TAQ131069:TAQ131163 TKM131069:TKM131163 TUI131069:TUI131163 UEE131069:UEE131163 UOA131069:UOA131163 UXW131069:UXW131163 VHS131069:VHS131163 VRO131069:VRO131163 WBK131069:WBK131163 WLG131069:WLG131163 WVC131069:WVC131163 RXC983037:RXC983131 IQ196605:IQ196699 SM196605:SM196699 ACI196605:ACI196699 AME196605:AME196699 AWA196605:AWA196699 BFW196605:BFW196699 BPS196605:BPS196699 BZO196605:BZO196699 CJK196605:CJK196699 CTG196605:CTG196699 DDC196605:DDC196699 DMY196605:DMY196699 DWU196605:DWU196699 EGQ196605:EGQ196699 EQM196605:EQM196699 FAI196605:FAI196699 FKE196605:FKE196699 FUA196605:FUA196699 GDW196605:GDW196699 GNS196605:GNS196699 GXO196605:GXO196699 HHK196605:HHK196699 HRG196605:HRG196699 IBC196605:IBC196699 IKY196605:IKY196699 IUU196605:IUU196699 JEQ196605:JEQ196699 JOM196605:JOM196699 JYI196605:JYI196699 KIE196605:KIE196699 KSA196605:KSA196699 LBW196605:LBW196699 LLS196605:LLS196699 LVO196605:LVO196699 MFK196605:MFK196699 MPG196605:MPG196699 MZC196605:MZC196699 NIY196605:NIY196699 NSU196605:NSU196699 OCQ196605:OCQ196699 OMM196605:OMM196699 OWI196605:OWI196699 PGE196605:PGE196699 PQA196605:PQA196699 PZW196605:PZW196699 QJS196605:QJS196699 QTO196605:QTO196699 RDK196605:RDK196699 RNG196605:RNG196699 RXC196605:RXC196699 SGY196605:SGY196699 SQU196605:SQU196699 TAQ196605:TAQ196699 TKM196605:TKM196699 TUI196605:TUI196699 UEE196605:UEE196699 UOA196605:UOA196699 UXW196605:UXW196699 VHS196605:VHS196699 VRO196605:VRO196699 WBK196605:WBK196699 WLG196605:WLG196699 WVC196605:WVC196699 SGY983037:SGY983131 IQ262141:IQ262235 SM262141:SM262235 ACI262141:ACI262235 AME262141:AME262235 AWA262141:AWA262235 BFW262141:BFW262235 BPS262141:BPS262235 BZO262141:BZO262235 CJK262141:CJK262235 CTG262141:CTG262235 DDC262141:DDC262235 DMY262141:DMY262235 DWU262141:DWU262235 EGQ262141:EGQ262235 EQM262141:EQM262235 FAI262141:FAI262235 FKE262141:FKE262235 FUA262141:FUA262235 GDW262141:GDW262235 GNS262141:GNS262235 GXO262141:GXO262235 HHK262141:HHK262235 HRG262141:HRG262235 IBC262141:IBC262235 IKY262141:IKY262235 IUU262141:IUU262235 JEQ262141:JEQ262235 JOM262141:JOM262235 JYI262141:JYI262235 KIE262141:KIE262235 KSA262141:KSA262235 LBW262141:LBW262235 LLS262141:LLS262235 LVO262141:LVO262235 MFK262141:MFK262235 MPG262141:MPG262235 MZC262141:MZC262235 NIY262141:NIY262235 NSU262141:NSU262235 OCQ262141:OCQ262235 OMM262141:OMM262235 OWI262141:OWI262235 PGE262141:PGE262235 PQA262141:PQA262235 PZW262141:PZW262235 QJS262141:QJS262235 QTO262141:QTO262235 RDK262141:RDK262235 RNG262141:RNG262235 RXC262141:RXC262235 SGY262141:SGY262235 SQU262141:SQU262235 TAQ262141:TAQ262235 TKM262141:TKM262235 TUI262141:TUI262235 UEE262141:UEE262235 UOA262141:UOA262235 UXW262141:UXW262235 VHS262141:VHS262235 VRO262141:VRO262235 WBK262141:WBK262235 WLG262141:WLG262235 WVC262141:WVC262235 SQU983037:SQU983131 IQ327677:IQ327771 SM327677:SM327771 ACI327677:ACI327771 AME327677:AME327771 AWA327677:AWA327771 BFW327677:BFW327771 BPS327677:BPS327771 BZO327677:BZO327771 CJK327677:CJK327771 CTG327677:CTG327771 DDC327677:DDC327771 DMY327677:DMY327771 DWU327677:DWU327771 EGQ327677:EGQ327771 EQM327677:EQM327771 FAI327677:FAI327771 FKE327677:FKE327771 FUA327677:FUA327771 GDW327677:GDW327771 GNS327677:GNS327771 GXO327677:GXO327771 HHK327677:HHK327771 HRG327677:HRG327771 IBC327677:IBC327771 IKY327677:IKY327771 IUU327677:IUU327771 JEQ327677:JEQ327771 JOM327677:JOM327771 JYI327677:JYI327771 KIE327677:KIE327771 KSA327677:KSA327771 LBW327677:LBW327771 LLS327677:LLS327771 LVO327677:LVO327771 MFK327677:MFK327771 MPG327677:MPG327771 MZC327677:MZC327771 NIY327677:NIY327771 NSU327677:NSU327771 OCQ327677:OCQ327771 OMM327677:OMM327771 OWI327677:OWI327771 PGE327677:PGE327771 PQA327677:PQA327771 PZW327677:PZW327771 QJS327677:QJS327771 QTO327677:QTO327771 RDK327677:RDK327771 RNG327677:RNG327771 RXC327677:RXC327771 SGY327677:SGY327771 SQU327677:SQU327771 TAQ327677:TAQ327771 TKM327677:TKM327771 TUI327677:TUI327771 UEE327677:UEE327771 UOA327677:UOA327771 UXW327677:UXW327771 VHS327677:VHS327771 VRO327677:VRO327771 WBK327677:WBK327771 WLG327677:WLG327771 WVC327677:WVC327771 TAQ983037:TAQ983131 IQ393213:IQ393307 SM393213:SM393307 ACI393213:ACI393307 AME393213:AME393307 AWA393213:AWA393307 BFW393213:BFW393307 BPS393213:BPS393307 BZO393213:BZO393307 CJK393213:CJK393307 CTG393213:CTG393307 DDC393213:DDC393307 DMY393213:DMY393307 DWU393213:DWU393307 EGQ393213:EGQ393307 EQM393213:EQM393307 FAI393213:FAI393307 FKE393213:FKE393307 FUA393213:FUA393307 GDW393213:GDW393307 GNS393213:GNS393307 GXO393213:GXO393307 HHK393213:HHK393307 HRG393213:HRG393307 IBC393213:IBC393307 IKY393213:IKY393307 IUU393213:IUU393307 JEQ393213:JEQ393307 JOM393213:JOM393307 JYI393213:JYI393307 KIE393213:KIE393307 KSA393213:KSA393307 LBW393213:LBW393307 LLS393213:LLS393307 LVO393213:LVO393307 MFK393213:MFK393307 MPG393213:MPG393307 MZC393213:MZC393307 NIY393213:NIY393307 NSU393213:NSU393307 OCQ393213:OCQ393307 OMM393213:OMM393307 OWI393213:OWI393307 PGE393213:PGE393307 PQA393213:PQA393307 PZW393213:PZW393307 QJS393213:QJS393307 QTO393213:QTO393307 RDK393213:RDK393307 RNG393213:RNG393307 RXC393213:RXC393307 SGY393213:SGY393307 SQU393213:SQU393307 TAQ393213:TAQ393307 TKM393213:TKM393307 TUI393213:TUI393307 UEE393213:UEE393307 UOA393213:UOA393307 UXW393213:UXW393307 VHS393213:VHS393307 VRO393213:VRO393307 WBK393213:WBK393307 WLG393213:WLG393307 WVC393213:WVC393307 TKM983037:TKM983131 IQ458749:IQ458843 SM458749:SM458843 ACI458749:ACI458843 AME458749:AME458843 AWA458749:AWA458843 BFW458749:BFW458843 BPS458749:BPS458843 BZO458749:BZO458843 CJK458749:CJK458843 CTG458749:CTG458843 DDC458749:DDC458843 DMY458749:DMY458843 DWU458749:DWU458843 EGQ458749:EGQ458843 EQM458749:EQM458843 FAI458749:FAI458843 FKE458749:FKE458843 FUA458749:FUA458843 GDW458749:GDW458843 GNS458749:GNS458843 GXO458749:GXO458843 HHK458749:HHK458843 HRG458749:HRG458843 IBC458749:IBC458843 IKY458749:IKY458843 IUU458749:IUU458843 JEQ458749:JEQ458843 JOM458749:JOM458843 JYI458749:JYI458843 KIE458749:KIE458843 KSA458749:KSA458843 LBW458749:LBW458843 LLS458749:LLS458843 LVO458749:LVO458843 MFK458749:MFK458843 MPG458749:MPG458843 MZC458749:MZC458843 NIY458749:NIY458843 NSU458749:NSU458843 OCQ458749:OCQ458843 OMM458749:OMM458843 OWI458749:OWI458843 PGE458749:PGE458843 PQA458749:PQA458843 PZW458749:PZW458843 QJS458749:QJS458843 QTO458749:QTO458843 RDK458749:RDK458843 RNG458749:RNG458843 RXC458749:RXC458843 SGY458749:SGY458843 SQU458749:SQU458843 TAQ458749:TAQ458843 TKM458749:TKM458843 TUI458749:TUI458843 UEE458749:UEE458843 UOA458749:UOA458843 UXW458749:UXW458843 VHS458749:VHS458843 VRO458749:VRO458843 WBK458749:WBK458843 WLG458749:WLG458843 WVC458749:WVC458843 TUI983037:TUI983131 IQ524285:IQ524379 SM524285:SM524379 ACI524285:ACI524379 AME524285:AME524379 AWA524285:AWA524379 BFW524285:BFW524379 BPS524285:BPS524379 BZO524285:BZO524379 CJK524285:CJK524379 CTG524285:CTG524379 DDC524285:DDC524379 DMY524285:DMY524379 DWU524285:DWU524379 EGQ524285:EGQ524379 EQM524285:EQM524379 FAI524285:FAI524379 FKE524285:FKE524379 FUA524285:FUA524379 GDW524285:GDW524379 GNS524285:GNS524379 GXO524285:GXO524379 HHK524285:HHK524379 HRG524285:HRG524379 IBC524285:IBC524379 IKY524285:IKY524379 IUU524285:IUU524379 JEQ524285:JEQ524379 JOM524285:JOM524379 JYI524285:JYI524379 KIE524285:KIE524379 KSA524285:KSA524379 LBW524285:LBW524379 LLS524285:LLS524379 LVO524285:LVO524379 MFK524285:MFK524379 MPG524285:MPG524379 MZC524285:MZC524379 NIY524285:NIY524379 NSU524285:NSU524379 OCQ524285:OCQ524379 OMM524285:OMM524379 OWI524285:OWI524379 PGE524285:PGE524379 PQA524285:PQA524379 PZW524285:PZW524379 QJS524285:QJS524379 QTO524285:QTO524379 RDK524285:RDK524379 RNG524285:RNG524379 RXC524285:RXC524379 SGY524285:SGY524379 SQU524285:SQU524379 TAQ524285:TAQ524379 TKM524285:TKM524379 TUI524285:TUI524379 UEE524285:UEE524379 UOA524285:UOA524379 UXW524285:UXW524379 VHS524285:VHS524379 VRO524285:VRO524379 WBK524285:WBK524379 WLG524285:WLG524379 WVC524285:WVC524379 UEE983037:UEE983131 IQ589821:IQ589915 SM589821:SM589915 ACI589821:ACI589915 AME589821:AME589915 AWA589821:AWA589915 BFW589821:BFW589915 BPS589821:BPS589915 BZO589821:BZO589915 CJK589821:CJK589915 CTG589821:CTG589915 DDC589821:DDC589915 DMY589821:DMY589915 DWU589821:DWU589915 EGQ589821:EGQ589915 EQM589821:EQM589915 FAI589821:FAI589915 FKE589821:FKE589915 FUA589821:FUA589915 GDW589821:GDW589915 GNS589821:GNS589915 GXO589821:GXO589915 HHK589821:HHK589915 HRG589821:HRG589915 IBC589821:IBC589915 IKY589821:IKY589915 IUU589821:IUU589915 JEQ589821:JEQ589915 JOM589821:JOM589915 JYI589821:JYI589915 KIE589821:KIE589915 KSA589821:KSA589915 LBW589821:LBW589915 LLS589821:LLS589915 LVO589821:LVO589915 MFK589821:MFK589915 MPG589821:MPG589915 MZC589821:MZC589915 NIY589821:NIY589915 NSU589821:NSU589915 OCQ589821:OCQ589915 OMM589821:OMM589915 OWI589821:OWI589915 PGE589821:PGE589915 PQA589821:PQA589915 PZW589821:PZW589915 QJS589821:QJS589915 QTO589821:QTO589915 RDK589821:RDK589915 RNG589821:RNG589915 RXC589821:RXC589915 SGY589821:SGY589915 SQU589821:SQU589915 TAQ589821:TAQ589915 TKM589821:TKM589915 TUI589821:TUI589915 UEE589821:UEE589915 UOA589821:UOA589915 UXW589821:UXW589915 VHS589821:VHS589915 VRO589821:VRO589915 WBK589821:WBK589915 WLG589821:WLG589915 WVC589821:WVC589915 UOA983037:UOA983131 IQ655357:IQ655451 SM655357:SM655451 ACI655357:ACI655451 AME655357:AME655451 AWA655357:AWA655451 BFW655357:BFW655451 BPS655357:BPS655451 BZO655357:BZO655451 CJK655357:CJK655451 CTG655357:CTG655451 DDC655357:DDC655451 DMY655357:DMY655451 DWU655357:DWU655451 EGQ655357:EGQ655451 EQM655357:EQM655451 FAI655357:FAI655451 FKE655357:FKE655451 FUA655357:FUA655451 GDW655357:GDW655451 GNS655357:GNS655451 GXO655357:GXO655451 HHK655357:HHK655451 HRG655357:HRG655451 IBC655357:IBC655451 IKY655357:IKY655451 IUU655357:IUU655451 JEQ655357:JEQ655451 JOM655357:JOM655451 JYI655357:JYI655451 KIE655357:KIE655451 KSA655357:KSA655451 LBW655357:LBW655451 LLS655357:LLS655451 LVO655357:LVO655451 MFK655357:MFK655451 MPG655357:MPG655451 MZC655357:MZC655451 NIY655357:NIY655451 NSU655357:NSU655451 OCQ655357:OCQ655451 OMM655357:OMM655451 OWI655357:OWI655451 PGE655357:PGE655451 PQA655357:PQA655451 PZW655357:PZW655451 QJS655357:QJS655451 QTO655357:QTO655451 RDK655357:RDK655451 RNG655357:RNG655451 RXC655357:RXC655451 SGY655357:SGY655451 SQU655357:SQU655451 TAQ655357:TAQ655451 TKM655357:TKM655451 TUI655357:TUI655451 UEE655357:UEE655451 UOA655357:UOA655451 UXW655357:UXW655451 VHS655357:VHS655451 VRO655357:VRO655451 WBK655357:WBK655451 WLG655357:WLG655451 WVC655357:WVC655451 UXW983037:UXW983131 IQ720893:IQ720987 SM720893:SM720987 ACI720893:ACI720987 AME720893:AME720987 AWA720893:AWA720987 BFW720893:BFW720987 BPS720893:BPS720987 BZO720893:BZO720987 CJK720893:CJK720987 CTG720893:CTG720987 DDC720893:DDC720987 DMY720893:DMY720987 DWU720893:DWU720987 EGQ720893:EGQ720987 EQM720893:EQM720987 FAI720893:FAI720987 FKE720893:FKE720987 FUA720893:FUA720987 GDW720893:GDW720987 GNS720893:GNS720987 GXO720893:GXO720987 HHK720893:HHK720987 HRG720893:HRG720987 IBC720893:IBC720987 IKY720893:IKY720987 IUU720893:IUU720987 JEQ720893:JEQ720987 JOM720893:JOM720987 JYI720893:JYI720987 KIE720893:KIE720987 KSA720893:KSA720987 LBW720893:LBW720987 LLS720893:LLS720987 LVO720893:LVO720987 MFK720893:MFK720987 MPG720893:MPG720987 MZC720893:MZC720987 NIY720893:NIY720987 NSU720893:NSU720987 OCQ720893:OCQ720987 OMM720893:OMM720987 OWI720893:OWI720987 PGE720893:PGE720987 PQA720893:PQA720987 PZW720893:PZW720987 QJS720893:QJS720987 QTO720893:QTO720987 RDK720893:RDK720987 RNG720893:RNG720987 RXC720893:RXC720987 SGY720893:SGY720987 SQU720893:SQU720987 TAQ720893:TAQ720987 TKM720893:TKM720987 TUI720893:TUI720987 UEE720893:UEE720987 UOA720893:UOA720987 UXW720893:UXW720987 VHS720893:VHS720987 VRO720893:VRO720987 WBK720893:WBK720987 WLG720893:WLG720987 WVC720893:WVC720987 VHS983037:VHS983131 IQ786429:IQ786523 SM786429:SM786523 ACI786429:ACI786523 AME786429:AME786523 AWA786429:AWA786523 BFW786429:BFW786523 BPS786429:BPS786523 BZO786429:BZO786523 CJK786429:CJK786523 CTG786429:CTG786523 DDC786429:DDC786523 DMY786429:DMY786523 DWU786429:DWU786523 EGQ786429:EGQ786523 EQM786429:EQM786523 FAI786429:FAI786523 FKE786429:FKE786523 FUA786429:FUA786523 GDW786429:GDW786523 GNS786429:GNS786523 GXO786429:GXO786523 HHK786429:HHK786523 HRG786429:HRG786523 IBC786429:IBC786523 IKY786429:IKY786523 IUU786429:IUU786523 JEQ786429:JEQ786523 JOM786429:JOM786523 JYI786429:JYI786523 KIE786429:KIE786523 KSA786429:KSA786523 LBW786429:LBW786523 LLS786429:LLS786523 LVO786429:LVO786523 MFK786429:MFK786523 MPG786429:MPG786523 MZC786429:MZC786523 NIY786429:NIY786523 NSU786429:NSU786523 OCQ786429:OCQ786523 OMM786429:OMM786523 OWI786429:OWI786523 PGE786429:PGE786523 PQA786429:PQA786523 PZW786429:PZW786523 QJS786429:QJS786523 QTO786429:QTO786523 RDK786429:RDK786523 RNG786429:RNG786523 RXC786429:RXC786523 SGY786429:SGY786523 SQU786429:SQU786523 TAQ786429:TAQ786523 TKM786429:TKM786523 TUI786429:TUI786523 UEE786429:UEE786523 UOA786429:UOA786523 UXW786429:UXW786523 VHS786429:VHS786523 VRO786429:VRO786523 WBK786429:WBK786523 WLG786429:WLG786523 WVC786429:WVC786523 VRO983037:VRO983131 IQ851965:IQ852059 SM851965:SM852059 ACI851965:ACI852059 AME851965:AME852059 AWA851965:AWA852059 BFW851965:BFW852059 BPS851965:BPS852059 BZO851965:BZO852059 CJK851965:CJK852059 CTG851965:CTG852059 DDC851965:DDC852059 DMY851965:DMY852059 DWU851965:DWU852059 EGQ851965:EGQ852059 EQM851965:EQM852059 FAI851965:FAI852059 FKE851965:FKE852059 FUA851965:FUA852059 GDW851965:GDW852059 GNS851965:GNS852059 GXO851965:GXO852059 HHK851965:HHK852059 HRG851965:HRG852059 IBC851965:IBC852059 IKY851965:IKY852059 IUU851965:IUU852059 JEQ851965:JEQ852059 JOM851965:JOM852059 JYI851965:JYI852059 KIE851965:KIE852059 KSA851965:KSA852059 LBW851965:LBW852059 LLS851965:LLS852059 LVO851965:LVO852059 MFK851965:MFK852059 MPG851965:MPG852059 MZC851965:MZC852059 NIY851965:NIY852059 NSU851965:NSU852059 OCQ851965:OCQ852059 OMM851965:OMM852059 OWI851965:OWI852059 PGE851965:PGE852059 PQA851965:PQA852059 PZW851965:PZW852059 QJS851965:QJS852059 QTO851965:QTO852059 RDK851965:RDK852059 RNG851965:RNG852059 RXC851965:RXC852059 SGY851965:SGY852059 SQU851965:SQU852059 TAQ851965:TAQ852059 TKM851965:TKM852059 TUI851965:TUI852059 UEE851965:UEE852059 UOA851965:UOA852059 UXW851965:UXW852059 VHS851965:VHS852059 VRO851965:VRO852059 WBK851965:WBK852059 WLG851965:WLG852059 WVC851965:WVC852059 WBK983037:WBK983131 IQ917501:IQ917595 SM917501:SM917595 ACI917501:ACI917595 AME917501:AME917595 AWA917501:AWA917595 BFW917501:BFW917595 BPS917501:BPS917595 BZO917501:BZO917595 CJK917501:CJK917595 CTG917501:CTG917595 DDC917501:DDC917595 DMY917501:DMY917595 DWU917501:DWU917595 EGQ917501:EGQ917595 EQM917501:EQM917595 FAI917501:FAI917595 FKE917501:FKE917595 FUA917501:FUA917595 GDW917501:GDW917595 GNS917501:GNS917595 GXO917501:GXO917595 HHK917501:HHK917595 HRG917501:HRG917595 IBC917501:IBC917595 IKY917501:IKY917595 IUU917501:IUU917595 JEQ917501:JEQ917595 JOM917501:JOM917595 JYI917501:JYI917595 KIE917501:KIE917595 KSA917501:KSA917595 LBW917501:LBW917595 LLS917501:LLS917595 LVO917501:LVO917595 MFK917501:MFK917595 MPG917501:MPG917595 MZC917501:MZC917595 NIY917501:NIY917595 NSU917501:NSU917595 OCQ917501:OCQ917595 OMM917501:OMM917595 OWI917501:OWI917595 PGE917501:PGE917595 PQA917501:PQA917595 PZW917501:PZW917595 QJS917501:QJS917595 QTO917501:QTO917595 RDK917501:RDK917595 RNG917501:RNG917595 RXC917501:RXC917595 SGY917501:SGY917595 SQU917501:SQU917595 TAQ917501:TAQ917595 TKM917501:TKM917595 TUI917501:TUI917595 UEE917501:UEE917595 UOA917501:UOA917595 UXW917501:UXW917595 VHS917501:VHS917595 VRO917501:VRO917595 WBK917501:WBK917595 WLG917501:WLG917595 WVC917501:WVC917595 WLG983037:WLG983131 IQ983037:IQ983131 SM983037:SM983131 ACI983037:ACI983131 AME983037:AME983131 AWA983037:AWA983131 BFW983037:BFW983131 BPS983037:BPS983131 BZO983037:BZO983131 CJK983037:CJK983131 CTG983037:CTG983131 DDC983037:DDC983131 DMY983037:DMY983131 DWU983037:DWU983131 EGQ983037:EGQ983131 EQM983037:EQM983131 FAI983037:FAI983131 FKE983037:FKE983131 FUA983037:FUA983131 GDW983037:GDW983131 GNS983037:GNS983131 GXO983037:GXO983131 HHK983037:HHK983131 HRG983037:HRG983131 IBC983037:IBC983131 IKY983037:IKY983131 IUU983037:IUU983131 JEQ983037:JEQ983131 JOM983037:JOM983131 JYI983037:JYI983131 KIE983037:KIE983131 KSA983037:KSA983131 LBW983037:LBW983131 LLS983037:LLS983131 LVO983037:LVO983131 MFK983037:MFK983131 MPG983037:MPG983131 MZC983037:MZC983131 NIY983037:NIY983131 NSU983037:NSU983131 OCQ983037:OCQ983131 OMM983037:OMM983131 OWI983037:OWI983131 PGE983037:PGE983131 PQA983037:PQA983131 PZW983037:PZW983131 QJS983037:QJS983131 QTO983037:QTO983131 WVC8:WVC91 WLG8:WLG91 WBK8:WBK91 VRO8:VRO91 VHS8:VHS91 UXW8:UXW91 UOA8:UOA91 UEE8:UEE91 TUI8:TUI91 TKM8:TKM91 TAQ8:TAQ91 SQU8:SQU91 SGY8:SGY91 RXC8:RXC91 RNG8:RNG91 RDK8:RDK91 QTO8:QTO91 QJS8:QJS91 PZW8:PZW91 PQA8:PQA91 PGE8:PGE91 OWI8:OWI91 OMM8:OMM91 OCQ8:OCQ91 NSU8:NSU91 NIY8:NIY91 MZC8:MZC91 MPG8:MPG91 MFK8:MFK91 LVO8:LVO91 LLS8:LLS91 LBW8:LBW91 KSA8:KSA91 KIE8:KIE91 JYI8:JYI91 JOM8:JOM91 JEQ8:JEQ91 IUU8:IUU91 IKY8:IKY91 IBC8:IBC91 HRG8:HRG91 HHK8:HHK91 GXO8:GXO91 GNS8:GNS91 GDW8:GDW91 FUA8:FUA91 FKE8:FKE91 FAI8:FAI91 EQM8:EQM91 EGQ8:EGQ91 DWU8:DWU91 DMY8:DMY91 DDC8:DDC91 CTG8:CTG91 CJK8:CJK91 BZO8:BZO91 BPS8:BPS91 BFW8:BFW91 AWA8:AWA91 AME8:AME91 ACI8:ACI91 SM8:SM91 IQ8:IQ91">
      <formula1>-9.99999999999999E+30</formula1>
      <formula2>9.99999999999999E+31</formula2>
    </dataValidation>
  </dataValidations>
  <hyperlinks>
    <hyperlink ref="A3" location="Menu!A1" display="MENU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31"/>
  <sheetViews>
    <sheetView showGridLines="0" topLeftCell="C5" workbookViewId="0">
      <selection activeCell="R21" sqref="R21"/>
    </sheetView>
  </sheetViews>
  <sheetFormatPr defaultColWidth="8.6640625" defaultRowHeight="14.4" x14ac:dyDescent="0.3"/>
  <cols>
    <col min="3" max="3" width="49.44140625" customWidth="1"/>
    <col min="4" max="4" width="9.109375" customWidth="1"/>
    <col min="5" max="5" width="11.44140625" bestFit="1" customWidth="1"/>
  </cols>
  <sheetData>
    <row r="1" spans="3:14" ht="15" thickBot="1" x14ac:dyDescent="0.35">
      <c r="C1" s="191" t="s">
        <v>1</v>
      </c>
      <c r="D1" s="2"/>
      <c r="E1" s="192" t="s">
        <v>2</v>
      </c>
      <c r="F1" s="192" t="s">
        <v>3</v>
      </c>
    </row>
    <row r="2" spans="3:14" ht="15" thickBot="1" x14ac:dyDescent="0.35">
      <c r="C2" s="198" t="s">
        <v>4</v>
      </c>
      <c r="E2" s="237">
        <v>0.24</v>
      </c>
      <c r="F2" s="237">
        <v>0.04</v>
      </c>
      <c r="G2" s="63"/>
      <c r="H2" s="63"/>
      <c r="I2" s="63"/>
      <c r="J2" s="63"/>
      <c r="K2" s="63"/>
      <c r="L2" s="63"/>
      <c r="M2" s="63"/>
      <c r="N2" s="63"/>
    </row>
    <row r="3" spans="3:14" x14ac:dyDescent="0.3">
      <c r="C3" s="198" t="s">
        <v>5</v>
      </c>
      <c r="E3" s="236">
        <v>0.22</v>
      </c>
      <c r="F3" s="63"/>
      <c r="G3" s="63"/>
      <c r="H3" s="63"/>
      <c r="I3" s="63"/>
      <c r="J3" s="63"/>
      <c r="K3" s="63"/>
      <c r="L3" s="63"/>
      <c r="M3" s="63"/>
      <c r="N3" s="63"/>
    </row>
    <row r="4" spans="3:14" x14ac:dyDescent="0.3">
      <c r="C4" s="198" t="s">
        <v>6</v>
      </c>
      <c r="E4" s="235">
        <v>0</v>
      </c>
      <c r="F4" s="63"/>
      <c r="G4" s="63"/>
      <c r="H4" s="63"/>
      <c r="I4" s="63"/>
      <c r="J4" s="63"/>
      <c r="K4" s="63"/>
      <c r="L4" s="63"/>
      <c r="M4" s="63"/>
      <c r="N4" s="63"/>
    </row>
    <row r="5" spans="3:14" x14ac:dyDescent="0.3"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3:14" x14ac:dyDescent="0.3"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3:14" s="75" customFormat="1" x14ac:dyDescent="0.3"/>
    <row r="8" spans="3:14" ht="15" thickBot="1" x14ac:dyDescent="0.35">
      <c r="C8" s="191" t="s">
        <v>7</v>
      </c>
      <c r="D8" s="2"/>
      <c r="E8" s="176">
        <f>+Menu!C4+Menu!C2</f>
        <v>2017</v>
      </c>
      <c r="F8" s="176">
        <f>+E8+1</f>
        <v>2018</v>
      </c>
      <c r="G8" s="176">
        <f t="shared" ref="G8:N8" si="0">+F8+1</f>
        <v>2019</v>
      </c>
      <c r="H8" s="176">
        <f t="shared" si="0"/>
        <v>2020</v>
      </c>
      <c r="I8" s="176">
        <f t="shared" si="0"/>
        <v>2021</v>
      </c>
      <c r="J8" s="176">
        <f t="shared" si="0"/>
        <v>2022</v>
      </c>
      <c r="K8" s="176">
        <f t="shared" si="0"/>
        <v>2023</v>
      </c>
      <c r="L8" s="176">
        <f t="shared" si="0"/>
        <v>2024</v>
      </c>
      <c r="M8" s="176">
        <f t="shared" si="0"/>
        <v>2025</v>
      </c>
      <c r="N8" s="176">
        <f t="shared" si="0"/>
        <v>2026</v>
      </c>
    </row>
    <row r="9" spans="3:14" x14ac:dyDescent="0.3">
      <c r="C9" s="198" t="s">
        <v>8</v>
      </c>
      <c r="E9" s="214"/>
      <c r="F9" s="215"/>
      <c r="G9" s="215"/>
      <c r="H9" s="215"/>
      <c r="I9" s="215"/>
      <c r="J9" s="215"/>
      <c r="K9" s="215"/>
      <c r="L9" s="215"/>
      <c r="M9" s="215"/>
      <c r="N9" s="216"/>
    </row>
    <row r="10" spans="3:14" x14ac:dyDescent="0.3">
      <c r="C10" s="198" t="s">
        <v>9</v>
      </c>
      <c r="E10" s="217">
        <v>90</v>
      </c>
      <c r="F10" s="218">
        <v>90</v>
      </c>
      <c r="G10" s="218">
        <v>90</v>
      </c>
      <c r="H10" s="218"/>
      <c r="I10" s="218"/>
      <c r="J10" s="218"/>
      <c r="K10" s="218"/>
      <c r="L10" s="218"/>
      <c r="M10" s="218"/>
      <c r="N10" s="219"/>
    </row>
    <row r="11" spans="3:14" ht="15" thickBot="1" x14ac:dyDescent="0.35">
      <c r="C11" s="198" t="s">
        <v>1077</v>
      </c>
      <c r="E11" s="220">
        <v>100000</v>
      </c>
      <c r="F11" s="221">
        <v>120000</v>
      </c>
      <c r="G11" s="221">
        <v>100000</v>
      </c>
      <c r="H11" s="221">
        <v>100000</v>
      </c>
      <c r="I11" s="221">
        <v>100000</v>
      </c>
      <c r="J11" s="221">
        <v>100000</v>
      </c>
      <c r="K11" s="221">
        <v>100000</v>
      </c>
      <c r="L11" s="221">
        <v>100000</v>
      </c>
      <c r="M11" s="221">
        <v>100000</v>
      </c>
      <c r="N11" s="222">
        <v>100000</v>
      </c>
    </row>
    <row r="12" spans="3:14" x14ac:dyDescent="0.3">
      <c r="E12" s="63"/>
      <c r="F12" s="63"/>
      <c r="G12" s="63"/>
      <c r="H12" s="63"/>
      <c r="I12" s="63"/>
      <c r="J12" s="63"/>
      <c r="K12" s="63"/>
      <c r="L12" s="63"/>
      <c r="M12" s="63"/>
      <c r="N12" s="63"/>
    </row>
    <row r="13" spans="3:14" ht="15" thickBot="1" x14ac:dyDescent="0.35">
      <c r="C13" s="191" t="s">
        <v>10</v>
      </c>
      <c r="D13" s="2"/>
      <c r="E13" s="176">
        <f>+E8</f>
        <v>2017</v>
      </c>
      <c r="F13" s="176">
        <f t="shared" ref="F13:N13" si="1">+F8</f>
        <v>2018</v>
      </c>
      <c r="G13" s="176">
        <f t="shared" si="1"/>
        <v>2019</v>
      </c>
      <c r="H13" s="176">
        <f t="shared" si="1"/>
        <v>2020</v>
      </c>
      <c r="I13" s="176">
        <f t="shared" si="1"/>
        <v>2021</v>
      </c>
      <c r="J13" s="176">
        <f t="shared" si="1"/>
        <v>2022</v>
      </c>
      <c r="K13" s="176">
        <f t="shared" si="1"/>
        <v>2023</v>
      </c>
      <c r="L13" s="176">
        <f t="shared" si="1"/>
        <v>2024</v>
      </c>
      <c r="M13" s="176">
        <f t="shared" si="1"/>
        <v>2025</v>
      </c>
      <c r="N13" s="176">
        <f t="shared" si="1"/>
        <v>2026</v>
      </c>
    </row>
    <row r="14" spans="3:14" x14ac:dyDescent="0.3">
      <c r="C14" s="198" t="s">
        <v>1078</v>
      </c>
      <c r="E14" s="214">
        <v>0.6</v>
      </c>
      <c r="F14" s="215">
        <v>0.6</v>
      </c>
      <c r="G14" s="215">
        <v>0.6</v>
      </c>
      <c r="H14" s="215">
        <v>0.6</v>
      </c>
      <c r="I14" s="215">
        <v>0.6</v>
      </c>
      <c r="J14" s="215">
        <v>0.6</v>
      </c>
      <c r="K14" s="215">
        <v>0.6</v>
      </c>
      <c r="L14" s="215">
        <v>0.6</v>
      </c>
      <c r="M14" s="215">
        <v>0.6</v>
      </c>
      <c r="N14" s="216">
        <v>0.6</v>
      </c>
    </row>
    <row r="15" spans="3:14" x14ac:dyDescent="0.3">
      <c r="C15" s="198" t="s">
        <v>11</v>
      </c>
      <c r="E15" s="217">
        <v>60</v>
      </c>
      <c r="F15" s="218">
        <v>60</v>
      </c>
      <c r="G15" s="218">
        <v>60</v>
      </c>
      <c r="H15" s="218">
        <v>60</v>
      </c>
      <c r="I15" s="218">
        <v>60</v>
      </c>
      <c r="J15" s="218">
        <v>60</v>
      </c>
      <c r="K15" s="218">
        <v>60</v>
      </c>
      <c r="L15" s="218">
        <v>60</v>
      </c>
      <c r="M15" s="218">
        <v>60</v>
      </c>
      <c r="N15" s="219">
        <v>60</v>
      </c>
    </row>
    <row r="16" spans="3:14" ht="15" thickBot="1" x14ac:dyDescent="0.35">
      <c r="C16" s="198" t="s">
        <v>1079</v>
      </c>
      <c r="E16" s="220">
        <v>100000</v>
      </c>
      <c r="F16" s="221">
        <v>120000</v>
      </c>
      <c r="G16" s="221">
        <v>100000</v>
      </c>
      <c r="H16" s="221">
        <v>100000</v>
      </c>
      <c r="I16" s="221">
        <v>100000</v>
      </c>
      <c r="J16" s="221">
        <v>100000</v>
      </c>
      <c r="K16" s="221">
        <v>100000</v>
      </c>
      <c r="L16" s="221">
        <v>100000</v>
      </c>
      <c r="M16" s="221">
        <v>100000</v>
      </c>
      <c r="N16" s="222">
        <v>100000</v>
      </c>
    </row>
    <row r="17" spans="3:14" ht="15" thickBot="1" x14ac:dyDescent="0.35"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3:14" x14ac:dyDescent="0.3">
      <c r="C18" s="198" t="s">
        <v>12</v>
      </c>
      <c r="E18" s="214">
        <v>0.05</v>
      </c>
      <c r="F18" s="215"/>
      <c r="G18" s="215"/>
      <c r="H18" s="215"/>
      <c r="I18" s="215"/>
      <c r="J18" s="215"/>
      <c r="K18" s="215"/>
      <c r="L18" s="215"/>
      <c r="M18" s="215"/>
      <c r="N18" s="216"/>
    </row>
    <row r="19" spans="3:14" ht="15" thickBot="1" x14ac:dyDescent="0.35">
      <c r="C19" s="198" t="s">
        <v>13</v>
      </c>
      <c r="E19" s="223"/>
      <c r="F19" s="224"/>
      <c r="G19" s="224"/>
      <c r="H19" s="224"/>
      <c r="I19" s="224"/>
      <c r="J19" s="224"/>
      <c r="K19" s="224"/>
      <c r="L19" s="224"/>
      <c r="M19" s="224"/>
      <c r="N19" s="225"/>
    </row>
    <row r="20" spans="3:14" x14ac:dyDescent="0.3">
      <c r="E20" s="63"/>
      <c r="F20" s="63"/>
      <c r="G20" s="63"/>
      <c r="H20" s="63"/>
      <c r="I20" s="63"/>
      <c r="J20" s="63"/>
      <c r="K20" s="63"/>
      <c r="L20" s="63"/>
      <c r="M20" s="63"/>
      <c r="N20" s="63"/>
    </row>
    <row r="21" spans="3:14" x14ac:dyDescent="0.3">
      <c r="E21" s="63"/>
      <c r="F21" s="63"/>
      <c r="G21" s="63"/>
      <c r="H21" s="63"/>
      <c r="I21" s="63"/>
      <c r="J21" s="63"/>
      <c r="K21" s="63"/>
      <c r="L21" s="63"/>
      <c r="M21" s="63"/>
      <c r="N21" s="63"/>
    </row>
    <row r="22" spans="3:14" x14ac:dyDescent="0.3"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3:14" ht="15" thickBot="1" x14ac:dyDescent="0.35">
      <c r="C23" s="191" t="s">
        <v>14</v>
      </c>
      <c r="D23" s="2"/>
      <c r="E23" s="176">
        <f>+E8</f>
        <v>2017</v>
      </c>
      <c r="F23" s="176">
        <f t="shared" ref="F23:N23" si="2">+F8</f>
        <v>2018</v>
      </c>
      <c r="G23" s="176">
        <f t="shared" si="2"/>
        <v>2019</v>
      </c>
      <c r="H23" s="176">
        <f t="shared" si="2"/>
        <v>2020</v>
      </c>
      <c r="I23" s="176">
        <f t="shared" si="2"/>
        <v>2021</v>
      </c>
      <c r="J23" s="176">
        <f t="shared" si="2"/>
        <v>2022</v>
      </c>
      <c r="K23" s="176">
        <f t="shared" si="2"/>
        <v>2023</v>
      </c>
      <c r="L23" s="176">
        <f t="shared" si="2"/>
        <v>2024</v>
      </c>
      <c r="M23" s="176">
        <f t="shared" si="2"/>
        <v>2025</v>
      </c>
      <c r="N23" s="176">
        <f t="shared" si="2"/>
        <v>2026</v>
      </c>
    </row>
    <row r="24" spans="3:14" x14ac:dyDescent="0.3">
      <c r="C24" s="198" t="s">
        <v>15</v>
      </c>
      <c r="E24" s="226"/>
      <c r="F24" s="227"/>
      <c r="G24" s="227"/>
      <c r="H24" s="227"/>
      <c r="I24" s="227"/>
      <c r="J24" s="227"/>
      <c r="K24" s="227"/>
      <c r="L24" s="227"/>
      <c r="M24" s="227"/>
      <c r="N24" s="228"/>
    </row>
    <row r="25" spans="3:14" x14ac:dyDescent="0.3">
      <c r="C25" s="198" t="s">
        <v>16</v>
      </c>
      <c r="E25" s="229"/>
      <c r="F25" s="230"/>
      <c r="G25" s="230"/>
      <c r="H25" s="230"/>
      <c r="I25" s="230"/>
      <c r="J25" s="230"/>
      <c r="K25" s="230"/>
      <c r="L25" s="230"/>
      <c r="M25" s="230"/>
      <c r="N25" s="231"/>
    </row>
    <row r="26" spans="3:14" ht="15" thickBot="1" x14ac:dyDescent="0.35">
      <c r="C26" s="198" t="s">
        <v>17</v>
      </c>
      <c r="E26" s="232"/>
      <c r="F26" s="233"/>
      <c r="G26" s="233"/>
      <c r="H26" s="233"/>
      <c r="I26" s="233"/>
      <c r="J26" s="233"/>
      <c r="K26" s="233"/>
      <c r="L26" s="233"/>
      <c r="M26" s="233"/>
      <c r="N26" s="234"/>
    </row>
    <row r="27" spans="3:14" x14ac:dyDescent="0.3">
      <c r="E27" s="63"/>
      <c r="F27" s="63"/>
      <c r="G27" s="63"/>
      <c r="H27" s="63"/>
      <c r="I27" s="63"/>
      <c r="J27" s="63"/>
      <c r="K27" s="63"/>
      <c r="L27" s="63"/>
      <c r="M27" s="63"/>
      <c r="N27" s="63"/>
    </row>
    <row r="28" spans="3:14" ht="15" thickBot="1" x14ac:dyDescent="0.35">
      <c r="C28" s="191" t="s">
        <v>18</v>
      </c>
      <c r="D28" s="2"/>
      <c r="E28" s="176">
        <f>+E8</f>
        <v>2017</v>
      </c>
      <c r="F28" s="176">
        <f t="shared" ref="F28:N28" si="3">+F8</f>
        <v>2018</v>
      </c>
      <c r="G28" s="176">
        <f t="shared" si="3"/>
        <v>2019</v>
      </c>
      <c r="H28" s="176">
        <f t="shared" si="3"/>
        <v>2020</v>
      </c>
      <c r="I28" s="176">
        <f t="shared" si="3"/>
        <v>2021</v>
      </c>
      <c r="J28" s="176">
        <f t="shared" si="3"/>
        <v>2022</v>
      </c>
      <c r="K28" s="176">
        <f t="shared" si="3"/>
        <v>2023</v>
      </c>
      <c r="L28" s="176">
        <f t="shared" si="3"/>
        <v>2024</v>
      </c>
      <c r="M28" s="176">
        <f t="shared" si="3"/>
        <v>2025</v>
      </c>
      <c r="N28" s="176">
        <f t="shared" si="3"/>
        <v>2026</v>
      </c>
    </row>
    <row r="29" spans="3:14" x14ac:dyDescent="0.3">
      <c r="C29" s="198" t="s">
        <v>19</v>
      </c>
      <c r="E29" s="226"/>
      <c r="F29" s="227"/>
      <c r="G29" s="227"/>
      <c r="H29" s="227"/>
      <c r="I29" s="227"/>
      <c r="J29" s="227"/>
      <c r="K29" s="227"/>
      <c r="L29" s="227"/>
      <c r="M29" s="227"/>
      <c r="N29" s="228"/>
    </row>
    <row r="30" spans="3:14" x14ac:dyDescent="0.3">
      <c r="C30" s="198" t="s">
        <v>20</v>
      </c>
      <c r="E30" s="229"/>
      <c r="F30" s="230"/>
      <c r="G30" s="230"/>
      <c r="H30" s="230"/>
      <c r="I30" s="230"/>
      <c r="J30" s="230"/>
      <c r="K30" s="230"/>
      <c r="L30" s="230"/>
      <c r="M30" s="230"/>
      <c r="N30" s="231"/>
    </row>
    <row r="31" spans="3:14" ht="15" thickBot="1" x14ac:dyDescent="0.35">
      <c r="C31" s="198" t="s">
        <v>21</v>
      </c>
      <c r="E31" s="232"/>
      <c r="F31" s="233"/>
      <c r="G31" s="233"/>
      <c r="H31" s="233"/>
      <c r="I31" s="233"/>
      <c r="J31" s="233"/>
      <c r="K31" s="233"/>
      <c r="L31" s="233"/>
      <c r="M31" s="233"/>
      <c r="N31" s="234"/>
    </row>
  </sheetData>
  <conditionalFormatting sqref="E9:N9">
    <cfRule type="expression" dxfId="35" priority="39" stopIfTrue="1">
      <formula>ABS(SUM(E9)-SUM(#REF!))&gt;=1</formula>
    </cfRule>
  </conditionalFormatting>
  <conditionalFormatting sqref="E10:N10">
    <cfRule type="expression" dxfId="34" priority="38" stopIfTrue="1">
      <formula>ABS(SUM(E10)-SUM(#REF!))&gt;=1</formula>
    </cfRule>
  </conditionalFormatting>
  <conditionalFormatting sqref="E14:N14">
    <cfRule type="expression" dxfId="33" priority="36" stopIfTrue="1">
      <formula>ABS(SUM(E14)-SUM(#REF!))&gt;=1</formula>
    </cfRule>
  </conditionalFormatting>
  <conditionalFormatting sqref="E15:N15">
    <cfRule type="expression" dxfId="32" priority="34" stopIfTrue="1">
      <formula>ABS(SUM(E15)-SUM(#REF!))&gt;=1</formula>
    </cfRule>
  </conditionalFormatting>
  <conditionalFormatting sqref="E18:N19">
    <cfRule type="expression" dxfId="31" priority="33" stopIfTrue="1">
      <formula>ABS(SUM(E18)-SUM(#REF!))&gt;=1</formula>
    </cfRule>
  </conditionalFormatting>
  <conditionalFormatting sqref="E24:E26 F25:N26">
    <cfRule type="expression" dxfId="30" priority="28" stopIfTrue="1">
      <formula>ABS(SUM(E24)-SUM(#REF!))&gt;=1</formula>
    </cfRule>
  </conditionalFormatting>
  <conditionalFormatting sqref="E2:F2">
    <cfRule type="expression" dxfId="29" priority="21" stopIfTrue="1">
      <formula>ABS(SUM(E2)-SUM(#REF!))&gt;=1</formula>
    </cfRule>
  </conditionalFormatting>
  <conditionalFormatting sqref="E3:E4">
    <cfRule type="expression" dxfId="28" priority="20" stopIfTrue="1">
      <formula>ABS(SUM(E3)-SUM(#REF!))&gt;=1</formula>
    </cfRule>
  </conditionalFormatting>
  <conditionalFormatting sqref="F24:N24">
    <cfRule type="expression" dxfId="27" priority="7" stopIfTrue="1">
      <formula>ABS(SUM(F24)-SUM(#REF!))&gt;=1</formula>
    </cfRule>
  </conditionalFormatting>
  <conditionalFormatting sqref="E16:N16">
    <cfRule type="expression" dxfId="26" priority="4" stopIfTrue="1">
      <formula>ABS(SUM(E16)-SUM(#REF!))&gt;=1</formula>
    </cfRule>
  </conditionalFormatting>
  <conditionalFormatting sqref="E11:N11">
    <cfRule type="expression" dxfId="25" priority="3" stopIfTrue="1">
      <formula>ABS(SUM(E11)-SUM(#REF!))&gt;=1</formula>
    </cfRule>
  </conditionalFormatting>
  <conditionalFormatting sqref="E29:E31 F30:N31">
    <cfRule type="expression" dxfId="24" priority="2" stopIfTrue="1">
      <formula>ABS(SUM(E29)-SUM(#REF!))&gt;=1</formula>
    </cfRule>
  </conditionalFormatting>
  <conditionalFormatting sqref="F29:N29">
    <cfRule type="expression" dxfId="23" priority="1" stopIfTrue="1">
      <formula>ABS(SUM(F29)-SUM(#REF!))&gt;=1</formula>
    </cfRule>
  </conditionalFormatting>
  <pageMargins left="0.7" right="0.7" top="0.75" bottom="0.75" header="0.3" footer="0.3"/>
  <pageSetup paperSize="9" orientation="portrait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9"/>
  <sheetViews>
    <sheetView showGridLines="0" workbookViewId="0">
      <selection activeCell="D24" sqref="D24"/>
    </sheetView>
  </sheetViews>
  <sheetFormatPr defaultColWidth="8.6640625" defaultRowHeight="14.4" x14ac:dyDescent="0.3"/>
  <cols>
    <col min="2" max="2" width="34.109375" bestFit="1" customWidth="1"/>
    <col min="3" max="3" width="17.6640625" customWidth="1"/>
    <col min="4" max="4" width="22.33203125" bestFit="1" customWidth="1"/>
    <col min="5" max="5" width="9.21875" bestFit="1" customWidth="1"/>
    <col min="6" max="14" width="9" bestFit="1" customWidth="1"/>
  </cols>
  <sheetData>
    <row r="3" spans="2:14" x14ac:dyDescent="0.3">
      <c r="B3" s="73"/>
      <c r="C3" s="73"/>
    </row>
    <row r="4" spans="2:14" ht="15" thickBot="1" x14ac:dyDescent="0.35">
      <c r="C4" s="192">
        <f>+E4-1</f>
        <v>2016</v>
      </c>
      <c r="D4" s="88"/>
      <c r="E4" s="176">
        <f>+'Scheda Inv'!D14</f>
        <v>2017</v>
      </c>
      <c r="F4" s="176">
        <f>+'Scheda Inv'!E14</f>
        <v>2018</v>
      </c>
      <c r="G4" s="176">
        <f>+'Scheda Inv'!F14</f>
        <v>2019</v>
      </c>
      <c r="H4" s="176">
        <f>+'Scheda Inv'!G14</f>
        <v>2020</v>
      </c>
      <c r="I4" s="176">
        <f>+'Scheda Inv'!H14</f>
        <v>2021</v>
      </c>
      <c r="J4" s="176">
        <f>+'Scheda Inv'!I14</f>
        <v>2022</v>
      </c>
      <c r="K4" s="176">
        <f>+'Scheda Inv'!J14</f>
        <v>2023</v>
      </c>
      <c r="L4" s="176">
        <f>+'Scheda Inv'!K14</f>
        <v>2024</v>
      </c>
      <c r="M4" s="176">
        <f>+'Scheda Inv'!L14</f>
        <v>2025</v>
      </c>
      <c r="N4" s="176">
        <f>+'Scheda Inv'!M14</f>
        <v>2026</v>
      </c>
    </row>
    <row r="5" spans="2:14" x14ac:dyDescent="0.3">
      <c r="B5" s="198" t="s">
        <v>22</v>
      </c>
      <c r="C5" s="199">
        <f>+'SP Previsionale'!D50</f>
        <v>1342852.76</v>
      </c>
      <c r="D5" s="198" t="s">
        <v>23</v>
      </c>
      <c r="E5" s="166"/>
      <c r="F5" s="167"/>
      <c r="G5" s="167"/>
      <c r="H5" s="167"/>
      <c r="I5" s="167"/>
      <c r="J5" s="167"/>
      <c r="K5" s="167"/>
      <c r="L5" s="167"/>
      <c r="M5" s="167"/>
      <c r="N5" s="168"/>
    </row>
    <row r="6" spans="2:14" ht="15" thickBot="1" x14ac:dyDescent="0.35">
      <c r="C6" s="89"/>
      <c r="D6" s="198" t="s">
        <v>24</v>
      </c>
      <c r="E6" s="172"/>
      <c r="F6" s="173"/>
      <c r="G6" s="173"/>
      <c r="H6" s="173"/>
      <c r="I6" s="173"/>
      <c r="J6" s="173"/>
      <c r="K6" s="173"/>
      <c r="L6" s="173"/>
      <c r="M6" s="173"/>
      <c r="N6" s="174"/>
    </row>
    <row r="7" spans="2:14" x14ac:dyDescent="0.3">
      <c r="C7" s="89"/>
    </row>
    <row r="8" spans="2:14" ht="15" thickBot="1" x14ac:dyDescent="0.35">
      <c r="C8" s="89"/>
    </row>
    <row r="9" spans="2:14" x14ac:dyDescent="0.3">
      <c r="B9" s="198" t="s">
        <v>25</v>
      </c>
      <c r="C9" s="199">
        <f>+'SP Previsionale'!D51</f>
        <v>35851.199999999997</v>
      </c>
      <c r="D9" s="198" t="s">
        <v>1142</v>
      </c>
      <c r="E9" s="166"/>
      <c r="F9" s="167"/>
      <c r="G9" s="167"/>
      <c r="H9" s="167"/>
      <c r="I9" s="167"/>
      <c r="J9" s="167"/>
      <c r="K9" s="167"/>
      <c r="L9" s="167"/>
      <c r="M9" s="167"/>
      <c r="N9" s="168"/>
    </row>
    <row r="10" spans="2:14" x14ac:dyDescent="0.3">
      <c r="B10" s="198" t="s">
        <v>26</v>
      </c>
      <c r="C10" s="199">
        <f>+'SP Previsionale'!D52</f>
        <v>0</v>
      </c>
      <c r="D10" s="198" t="s">
        <v>1142</v>
      </c>
      <c r="E10" s="169"/>
      <c r="F10" s="170"/>
      <c r="G10" s="170"/>
      <c r="H10" s="170"/>
      <c r="I10" s="170"/>
      <c r="J10" s="170"/>
      <c r="K10" s="170"/>
      <c r="L10" s="170"/>
      <c r="M10" s="170"/>
      <c r="N10" s="171"/>
    </row>
    <row r="11" spans="2:14" x14ac:dyDescent="0.3">
      <c r="B11" s="198" t="s">
        <v>27</v>
      </c>
      <c r="C11" s="199">
        <f>+'SP Previsionale'!D53</f>
        <v>0</v>
      </c>
      <c r="D11" s="198" t="s">
        <v>1143</v>
      </c>
      <c r="E11" s="169"/>
      <c r="F11" s="170"/>
      <c r="G11" s="170"/>
      <c r="H11" s="170"/>
      <c r="I11" s="170"/>
      <c r="J11" s="170"/>
      <c r="K11" s="170"/>
      <c r="L11" s="170"/>
      <c r="M11" s="170"/>
      <c r="N11" s="171"/>
    </row>
    <row r="12" spans="2:14" ht="15" thickBot="1" x14ac:dyDescent="0.35">
      <c r="B12" s="198" t="s">
        <v>28</v>
      </c>
      <c r="C12" s="199">
        <f>+'SP Previsionale'!D54</f>
        <v>0</v>
      </c>
      <c r="D12" s="198" t="s">
        <v>1143</v>
      </c>
      <c r="E12" s="172"/>
      <c r="F12" s="173"/>
      <c r="G12" s="173"/>
      <c r="H12" s="173"/>
      <c r="I12" s="173"/>
      <c r="J12" s="173"/>
      <c r="K12" s="173"/>
      <c r="L12" s="173"/>
      <c r="M12" s="173"/>
      <c r="N12" s="174"/>
    </row>
    <row r="13" spans="2:14" ht="15" thickBot="1" x14ac:dyDescent="0.35">
      <c r="C13" s="90"/>
    </row>
    <row r="14" spans="2:14" x14ac:dyDescent="0.3">
      <c r="B14" s="198" t="s">
        <v>1140</v>
      </c>
      <c r="C14" s="199">
        <f>+'SP Previsionale'!D41</f>
        <v>210252.16</v>
      </c>
      <c r="D14" s="198" t="s">
        <v>1143</v>
      </c>
      <c r="E14" s="166">
        <v>210252</v>
      </c>
      <c r="F14" s="167"/>
      <c r="G14" s="167"/>
      <c r="H14" s="167"/>
      <c r="I14" s="167"/>
      <c r="J14" s="167"/>
      <c r="K14" s="167"/>
      <c r="L14" s="167"/>
      <c r="M14" s="167"/>
      <c r="N14" s="168"/>
    </row>
    <row r="15" spans="2:14" x14ac:dyDescent="0.3">
      <c r="B15" s="198" t="s">
        <v>29</v>
      </c>
      <c r="C15" s="199">
        <f>+'SP Previsionale'!D42</f>
        <v>5958</v>
      </c>
      <c r="D15" s="198" t="s">
        <v>1143</v>
      </c>
      <c r="E15" s="169">
        <v>5958</v>
      </c>
      <c r="F15" s="170"/>
      <c r="G15" s="170"/>
      <c r="H15" s="170"/>
      <c r="I15" s="170"/>
      <c r="J15" s="170"/>
      <c r="K15" s="170"/>
      <c r="L15" s="170"/>
      <c r="M15" s="170"/>
      <c r="N15" s="171"/>
    </row>
    <row r="16" spans="2:14" x14ac:dyDescent="0.3">
      <c r="B16" s="198" t="s">
        <v>30</v>
      </c>
      <c r="C16" s="199">
        <f>+'SP Previsionale'!D43</f>
        <v>153790.65</v>
      </c>
      <c r="D16" s="198" t="s">
        <v>1143</v>
      </c>
      <c r="E16" s="169">
        <v>153791</v>
      </c>
      <c r="F16" s="170"/>
      <c r="G16" s="170"/>
      <c r="H16" s="170"/>
      <c r="I16" s="170"/>
      <c r="J16" s="170"/>
      <c r="K16" s="170"/>
      <c r="L16" s="170"/>
      <c r="M16" s="170"/>
      <c r="N16" s="171"/>
    </row>
    <row r="17" spans="2:14" x14ac:dyDescent="0.3">
      <c r="B17" s="198" t="s">
        <v>31</v>
      </c>
      <c r="C17" s="199">
        <f>+'SP Previsionale'!D44</f>
        <v>70638.95</v>
      </c>
      <c r="D17" s="198" t="s">
        <v>1143</v>
      </c>
      <c r="E17" s="169">
        <v>70639</v>
      </c>
      <c r="F17" s="170"/>
      <c r="G17" s="170"/>
      <c r="H17" s="170"/>
      <c r="I17" s="170"/>
      <c r="J17" s="170"/>
      <c r="K17" s="170"/>
      <c r="L17" s="170"/>
      <c r="M17" s="170"/>
      <c r="N17" s="171"/>
    </row>
    <row r="18" spans="2:14" ht="15" thickBot="1" x14ac:dyDescent="0.35">
      <c r="B18" s="198" t="s">
        <v>32</v>
      </c>
      <c r="C18" s="199">
        <f>+'SP Previsionale'!D45</f>
        <v>17906.68</v>
      </c>
      <c r="D18" s="198" t="s">
        <v>1143</v>
      </c>
      <c r="E18" s="172">
        <v>17907</v>
      </c>
      <c r="F18" s="173"/>
      <c r="G18" s="173"/>
      <c r="H18" s="173"/>
      <c r="I18" s="173"/>
      <c r="J18" s="173"/>
      <c r="K18" s="173"/>
      <c r="L18" s="173"/>
      <c r="M18" s="173"/>
      <c r="N18" s="174"/>
    </row>
    <row r="19" spans="2:14" x14ac:dyDescent="0.3">
      <c r="C19" s="89"/>
    </row>
  </sheetData>
  <conditionalFormatting sqref="E5:N6">
    <cfRule type="expression" dxfId="22" priority="5" stopIfTrue="1">
      <formula>ABS(SUM(E5)-SUM(#REF!))&gt;=1</formula>
    </cfRule>
  </conditionalFormatting>
  <conditionalFormatting sqref="E9:N9">
    <cfRule type="expression" dxfId="21" priority="4" stopIfTrue="1">
      <formula>ABS(SUM(E9)-SUM(#REF!))&gt;=1</formula>
    </cfRule>
  </conditionalFormatting>
  <conditionalFormatting sqref="E10:N12">
    <cfRule type="expression" dxfId="20" priority="3" stopIfTrue="1">
      <formula>ABS(SUM(E10)-SUM(#REF!))&gt;=1</formula>
    </cfRule>
  </conditionalFormatting>
  <conditionalFormatting sqref="E15:N18">
    <cfRule type="expression" dxfId="19" priority="2" stopIfTrue="1">
      <formula>ABS(SUM(E15)-SUM(#REF!))&gt;=1</formula>
    </cfRule>
  </conditionalFormatting>
  <conditionalFormatting sqref="E14:N14">
    <cfRule type="expression" dxfId="18" priority="1" stopIfTrue="1">
      <formula>ABS(SUM(E14)-SUM(#REF!))&gt;=1</formula>
    </cfRule>
  </conditionalFormatting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0"/>
  <sheetViews>
    <sheetView showGridLines="0" workbookViewId="0">
      <selection activeCell="C6" sqref="C6"/>
    </sheetView>
  </sheetViews>
  <sheetFormatPr defaultColWidth="8.6640625" defaultRowHeight="14.4" x14ac:dyDescent="0.3"/>
  <cols>
    <col min="2" max="2" width="34.109375" bestFit="1" customWidth="1"/>
    <col min="3" max="3" width="17.6640625" customWidth="1"/>
    <col min="4" max="4" width="22.33203125" bestFit="1" customWidth="1"/>
  </cols>
  <sheetData>
    <row r="3" spans="2:14" x14ac:dyDescent="0.3">
      <c r="B3" s="73"/>
      <c r="C3" s="73"/>
    </row>
    <row r="4" spans="2:14" x14ac:dyDescent="0.3">
      <c r="C4" s="192">
        <f>+E4-1</f>
        <v>2016</v>
      </c>
      <c r="D4" s="91"/>
      <c r="E4" s="176">
        <f>+'Scheda Inv'!D14</f>
        <v>2017</v>
      </c>
      <c r="F4" s="176">
        <f>+'Scheda Inv'!E14</f>
        <v>2018</v>
      </c>
      <c r="G4" s="176">
        <f>+'Scheda Inv'!F14</f>
        <v>2019</v>
      </c>
      <c r="H4" s="176">
        <f>+'Scheda Inv'!G14</f>
        <v>2020</v>
      </c>
      <c r="I4" s="176">
        <f>+'Scheda Inv'!H14</f>
        <v>2021</v>
      </c>
      <c r="J4" s="176">
        <f>+'Scheda Inv'!I14</f>
        <v>2022</v>
      </c>
      <c r="K4" s="176">
        <f>+'Scheda Inv'!J14</f>
        <v>2023</v>
      </c>
      <c r="L4" s="176">
        <f>+'Scheda Inv'!K14</f>
        <v>2024</v>
      </c>
      <c r="M4" s="176">
        <f>+'Scheda Inv'!L14</f>
        <v>2025</v>
      </c>
      <c r="N4" s="176">
        <f>+'Scheda Inv'!M14</f>
        <v>2026</v>
      </c>
    </row>
    <row r="5" spans="2:14" ht="15" thickBot="1" x14ac:dyDescent="0.35"/>
    <row r="6" spans="2:14" x14ac:dyDescent="0.3">
      <c r="B6" s="198" t="s">
        <v>33</v>
      </c>
      <c r="C6" s="199">
        <f>+'SP Previsionale'!D8</f>
        <v>343762.73</v>
      </c>
      <c r="D6" s="198" t="s">
        <v>1141</v>
      </c>
      <c r="E6" s="166">
        <v>343763</v>
      </c>
      <c r="F6" s="167"/>
      <c r="G6" s="167"/>
      <c r="H6" s="167"/>
      <c r="I6" s="167"/>
      <c r="J6" s="167"/>
      <c r="K6" s="167"/>
      <c r="L6" s="167"/>
      <c r="M6" s="167"/>
      <c r="N6" s="168"/>
    </row>
    <row r="7" spans="2:14" x14ac:dyDescent="0.3">
      <c r="B7" s="198" t="s">
        <v>34</v>
      </c>
      <c r="C7" s="199">
        <f>+'SP Previsionale'!D9</f>
        <v>20616.28</v>
      </c>
      <c r="D7" s="198" t="s">
        <v>1141</v>
      </c>
      <c r="E7" s="169"/>
      <c r="F7" s="170"/>
      <c r="G7" s="170"/>
      <c r="H7" s="170"/>
      <c r="I7" s="170"/>
      <c r="J7" s="170"/>
      <c r="K7" s="170"/>
      <c r="L7" s="170"/>
      <c r="M7" s="170"/>
      <c r="N7" s="171"/>
    </row>
    <row r="8" spans="2:14" x14ac:dyDescent="0.3">
      <c r="B8" s="198" t="s">
        <v>35</v>
      </c>
      <c r="C8" s="199">
        <f>+'SP Previsionale'!D10</f>
        <v>35964.9</v>
      </c>
      <c r="D8" s="198" t="s">
        <v>1141</v>
      </c>
      <c r="E8" s="169"/>
      <c r="F8" s="170"/>
      <c r="G8" s="170"/>
      <c r="H8" s="170"/>
      <c r="I8" s="170"/>
      <c r="J8" s="170"/>
      <c r="K8" s="170"/>
      <c r="L8" s="170"/>
      <c r="M8" s="170"/>
      <c r="N8" s="171"/>
    </row>
    <row r="9" spans="2:14" ht="15" thickBot="1" x14ac:dyDescent="0.35">
      <c r="B9" s="198" t="s">
        <v>36</v>
      </c>
      <c r="C9" s="199">
        <f>+'SP Previsionale'!D11</f>
        <v>82235.600000000006</v>
      </c>
      <c r="D9" s="198" t="s">
        <v>1141</v>
      </c>
      <c r="E9" s="172"/>
      <c r="F9" s="173"/>
      <c r="G9" s="173"/>
      <c r="H9" s="173"/>
      <c r="I9" s="173"/>
      <c r="J9" s="173"/>
      <c r="K9" s="173"/>
      <c r="L9" s="173"/>
      <c r="M9" s="173"/>
      <c r="N9" s="174"/>
    </row>
    <row r="10" spans="2:14" x14ac:dyDescent="0.3">
      <c r="C10" s="66"/>
    </row>
  </sheetData>
  <conditionalFormatting sqref="E6:N9">
    <cfRule type="expression" dxfId="17" priority="1" stopIfTrue="1">
      <formula>ABS(SUM(E6)-SUM(#REF!))&gt;=1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3"/>
  <sheetViews>
    <sheetView showGridLines="0" workbookViewId="0">
      <selection activeCell="B12" sqref="B12"/>
    </sheetView>
  </sheetViews>
  <sheetFormatPr defaultColWidth="8.6640625" defaultRowHeight="14.4" x14ac:dyDescent="0.3"/>
  <cols>
    <col min="2" max="2" width="31.6640625" bestFit="1" customWidth="1"/>
    <col min="3" max="3" width="23" bestFit="1" customWidth="1"/>
    <col min="4" max="4" width="29.44140625" bestFit="1" customWidth="1"/>
    <col min="5" max="13" width="9.44140625" bestFit="1" customWidth="1"/>
  </cols>
  <sheetData>
    <row r="1" spans="2:13" x14ac:dyDescent="0.3">
      <c r="B1" s="192" t="s">
        <v>928</v>
      </c>
    </row>
    <row r="3" spans="2:13" ht="15" thickBot="1" x14ac:dyDescent="0.35">
      <c r="B3" s="192" t="s">
        <v>37</v>
      </c>
      <c r="C3" s="192" t="s">
        <v>38</v>
      </c>
      <c r="D3" s="192" t="s">
        <v>39</v>
      </c>
    </row>
    <row r="4" spans="2:13" x14ac:dyDescent="0.3">
      <c r="B4" s="198" t="s">
        <v>40</v>
      </c>
      <c r="C4" s="199">
        <f>+'SP Previsionale'!D19</f>
        <v>1988414.54</v>
      </c>
      <c r="D4" s="200"/>
    </row>
    <row r="5" spans="2:13" x14ac:dyDescent="0.3">
      <c r="B5" s="198" t="s">
        <v>41</v>
      </c>
      <c r="C5" s="199">
        <f>+'SP Previsionale'!D21</f>
        <v>46898.14</v>
      </c>
      <c r="D5" s="201"/>
    </row>
    <row r="6" spans="2:13" x14ac:dyDescent="0.3">
      <c r="B6" s="198" t="s">
        <v>42</v>
      </c>
      <c r="C6" s="199">
        <f>+'SP Previsionale'!D22</f>
        <v>158998.82999999999</v>
      </c>
      <c r="D6" s="201"/>
    </row>
    <row r="7" spans="2:13" ht="15" thickBot="1" x14ac:dyDescent="0.35">
      <c r="B7" s="198" t="s">
        <v>43</v>
      </c>
      <c r="C7" s="199">
        <f>+'SP Previsionale'!D23</f>
        <v>149318.29999999999</v>
      </c>
      <c r="D7" s="202"/>
    </row>
    <row r="9" spans="2:13" ht="15" thickBot="1" x14ac:dyDescent="0.35">
      <c r="B9" s="2" t="s">
        <v>44</v>
      </c>
      <c r="C9" s="2" t="s">
        <v>38</v>
      </c>
      <c r="D9" s="65" t="s">
        <v>39</v>
      </c>
    </row>
    <row r="10" spans="2:13" x14ac:dyDescent="0.3">
      <c r="B10" s="198" t="s">
        <v>45</v>
      </c>
      <c r="C10" s="199">
        <f>+'SP Previsionale'!D27</f>
        <v>0</v>
      </c>
      <c r="D10" s="200">
        <v>0</v>
      </c>
    </row>
    <row r="11" spans="2:13" x14ac:dyDescent="0.3">
      <c r="B11" s="198" t="s">
        <v>46</v>
      </c>
      <c r="C11" s="199">
        <v>2000</v>
      </c>
      <c r="D11" s="201">
        <v>0</v>
      </c>
    </row>
    <row r="12" spans="2:13" x14ac:dyDescent="0.3">
      <c r="B12" s="198" t="s">
        <v>47</v>
      </c>
      <c r="C12" s="199">
        <f>+'SP Previsionale'!D29</f>
        <v>0</v>
      </c>
      <c r="D12" s="201">
        <v>0</v>
      </c>
    </row>
    <row r="14" spans="2:13" x14ac:dyDescent="0.3">
      <c r="D14" s="192">
        <f>+'CE Previsionale'!D2</f>
        <v>2017</v>
      </c>
      <c r="E14" s="192">
        <f>+'CE Previsionale'!E2</f>
        <v>2018</v>
      </c>
      <c r="F14" s="192">
        <f>+'CE Previsionale'!F2</f>
        <v>2019</v>
      </c>
      <c r="G14" s="192">
        <f>+'CE Previsionale'!G2</f>
        <v>2020</v>
      </c>
      <c r="H14" s="192">
        <f>+'CE Previsionale'!H2</f>
        <v>2021</v>
      </c>
      <c r="I14" s="192">
        <f>+'CE Previsionale'!I2</f>
        <v>2022</v>
      </c>
      <c r="J14" s="192">
        <f>+'CE Previsionale'!J2</f>
        <v>2023</v>
      </c>
      <c r="K14" s="192">
        <f>+'CE Previsionale'!K2</f>
        <v>2024</v>
      </c>
      <c r="L14" s="192">
        <f>+'CE Previsionale'!L2</f>
        <v>2025</v>
      </c>
      <c r="M14" s="192">
        <f>+'CE Previsionale'!M2</f>
        <v>2026</v>
      </c>
    </row>
    <row r="15" spans="2:13" x14ac:dyDescent="0.3">
      <c r="B15" s="198" t="s">
        <v>48</v>
      </c>
      <c r="C15" s="199">
        <f>+'SP Previsionale'!D31</f>
        <v>559.4</v>
      </c>
      <c r="D15" s="201">
        <v>0</v>
      </c>
      <c r="E15" s="201">
        <v>0</v>
      </c>
      <c r="F15" s="201">
        <v>0</v>
      </c>
      <c r="G15" s="201">
        <v>0</v>
      </c>
      <c r="H15" s="201">
        <v>0</v>
      </c>
      <c r="I15" s="201">
        <v>0</v>
      </c>
      <c r="J15" s="201">
        <v>0</v>
      </c>
      <c r="K15" s="201">
        <v>0</v>
      </c>
      <c r="L15" s="201">
        <v>0</v>
      </c>
      <c r="M15" s="201">
        <v>0</v>
      </c>
    </row>
    <row r="20" spans="2:13" x14ac:dyDescent="0.3">
      <c r="B20" s="192" t="s">
        <v>49</v>
      </c>
    </row>
    <row r="22" spans="2:13" ht="15" thickBot="1" x14ac:dyDescent="0.35">
      <c r="B22" s="192" t="str">
        <f>+B3</f>
        <v>Immobilizzazioni Materiali</v>
      </c>
      <c r="C22" s="192" t="s">
        <v>50</v>
      </c>
      <c r="D22" s="192">
        <f t="shared" ref="D22:M22" si="0">+D14</f>
        <v>2017</v>
      </c>
      <c r="E22" s="192">
        <f t="shared" si="0"/>
        <v>2018</v>
      </c>
      <c r="F22" s="192">
        <f t="shared" si="0"/>
        <v>2019</v>
      </c>
      <c r="G22" s="192">
        <f t="shared" si="0"/>
        <v>2020</v>
      </c>
      <c r="H22" s="192">
        <f t="shared" si="0"/>
        <v>2021</v>
      </c>
      <c r="I22" s="192">
        <f t="shared" si="0"/>
        <v>2022</v>
      </c>
      <c r="J22" s="192">
        <f t="shared" si="0"/>
        <v>2023</v>
      </c>
      <c r="K22" s="192">
        <f t="shared" si="0"/>
        <v>2024</v>
      </c>
      <c r="L22" s="192">
        <f t="shared" si="0"/>
        <v>2025</v>
      </c>
      <c r="M22" s="192">
        <f t="shared" si="0"/>
        <v>2026</v>
      </c>
    </row>
    <row r="23" spans="2:13" x14ac:dyDescent="0.3">
      <c r="B23" s="198" t="str">
        <f>+B4</f>
        <v>Fabbricati</v>
      </c>
      <c r="C23" s="212">
        <v>0.1</v>
      </c>
      <c r="D23" s="203"/>
      <c r="E23" s="204"/>
      <c r="F23" s="204"/>
      <c r="G23" s="204"/>
      <c r="H23" s="204"/>
      <c r="I23" s="204"/>
      <c r="J23" s="204"/>
      <c r="K23" s="204"/>
      <c r="L23" s="204"/>
      <c r="M23" s="205"/>
    </row>
    <row r="24" spans="2:13" x14ac:dyDescent="0.3">
      <c r="B24" s="198" t="str">
        <f>+B5</f>
        <v>Impianti e Macchinari</v>
      </c>
      <c r="C24" s="212">
        <v>0.2</v>
      </c>
      <c r="D24" s="206"/>
      <c r="E24" s="207"/>
      <c r="F24" s="207"/>
      <c r="G24" s="207"/>
      <c r="H24" s="207"/>
      <c r="I24" s="207"/>
      <c r="J24" s="207"/>
      <c r="K24" s="207"/>
      <c r="L24" s="207"/>
      <c r="M24" s="208"/>
    </row>
    <row r="25" spans="2:13" x14ac:dyDescent="0.3">
      <c r="B25" s="198" t="str">
        <f>+B6</f>
        <v>Attrezzature industriali e commerciali</v>
      </c>
      <c r="C25" s="212">
        <v>0.1</v>
      </c>
      <c r="D25" s="206"/>
      <c r="E25" s="207"/>
      <c r="F25" s="207"/>
      <c r="G25" s="207"/>
      <c r="H25" s="207"/>
      <c r="I25" s="207"/>
      <c r="J25" s="207"/>
      <c r="K25" s="207"/>
      <c r="L25" s="207"/>
      <c r="M25" s="208"/>
    </row>
    <row r="26" spans="2:13" ht="15" thickBot="1" x14ac:dyDescent="0.35">
      <c r="B26" s="198" t="str">
        <f>+B7</f>
        <v>Altri beni</v>
      </c>
      <c r="C26" s="212">
        <v>0.1</v>
      </c>
      <c r="D26" s="209"/>
      <c r="E26" s="210"/>
      <c r="F26" s="210"/>
      <c r="G26" s="210"/>
      <c r="H26" s="210"/>
      <c r="I26" s="210"/>
      <c r="J26" s="210"/>
      <c r="K26" s="210"/>
      <c r="L26" s="210"/>
      <c r="M26" s="211"/>
    </row>
    <row r="29" spans="2:13" ht="15" thickBot="1" x14ac:dyDescent="0.35">
      <c r="B29" s="192" t="str">
        <f>+B9</f>
        <v>Immobilizzazioni Immateriali</v>
      </c>
      <c r="C29" s="192" t="str">
        <f>+C22</f>
        <v>Aliquota Amm.to</v>
      </c>
      <c r="D29" s="192">
        <f t="shared" ref="D29:M29" si="1">+D14</f>
        <v>2017</v>
      </c>
      <c r="E29" s="192">
        <f t="shared" si="1"/>
        <v>2018</v>
      </c>
      <c r="F29" s="192">
        <f t="shared" si="1"/>
        <v>2019</v>
      </c>
      <c r="G29" s="192">
        <f t="shared" si="1"/>
        <v>2020</v>
      </c>
      <c r="H29" s="192">
        <f t="shared" si="1"/>
        <v>2021</v>
      </c>
      <c r="I29" s="192">
        <f t="shared" si="1"/>
        <v>2022</v>
      </c>
      <c r="J29" s="192">
        <f t="shared" si="1"/>
        <v>2023</v>
      </c>
      <c r="K29" s="192">
        <f t="shared" si="1"/>
        <v>2024</v>
      </c>
      <c r="L29" s="192">
        <f t="shared" si="1"/>
        <v>2025</v>
      </c>
      <c r="M29" s="192">
        <f t="shared" si="1"/>
        <v>2026</v>
      </c>
    </row>
    <row r="30" spans="2:13" x14ac:dyDescent="0.3">
      <c r="B30" s="198" t="str">
        <f>+B10</f>
        <v>Costi d'impianto e ampliamento</v>
      </c>
      <c r="C30" s="212">
        <v>0.1</v>
      </c>
      <c r="D30" s="203"/>
      <c r="E30" s="204"/>
      <c r="F30" s="204"/>
      <c r="G30" s="204"/>
      <c r="H30" s="204"/>
      <c r="I30" s="204"/>
      <c r="J30" s="204"/>
      <c r="K30" s="204"/>
      <c r="L30" s="204"/>
      <c r="M30" s="205"/>
    </row>
    <row r="31" spans="2:13" x14ac:dyDescent="0.3">
      <c r="B31" s="198" t="str">
        <f>+B11</f>
        <v>Ricerca&amp; Sviluppo</v>
      </c>
      <c r="C31" s="212">
        <v>0.2</v>
      </c>
      <c r="D31" s="206"/>
      <c r="E31" s="207"/>
      <c r="F31" s="207"/>
      <c r="G31" s="207"/>
      <c r="H31" s="207"/>
      <c r="I31" s="207"/>
      <c r="J31" s="207"/>
      <c r="K31" s="207"/>
      <c r="L31" s="207"/>
      <c r="M31" s="208"/>
    </row>
    <row r="32" spans="2:13" x14ac:dyDescent="0.3">
      <c r="B32" s="198" t="str">
        <f>+B12</f>
        <v>Altre immobilizzazioni immateriali</v>
      </c>
      <c r="C32" s="212">
        <v>0.2</v>
      </c>
      <c r="D32" s="206"/>
      <c r="E32" s="207"/>
      <c r="F32" s="207"/>
      <c r="G32" s="207"/>
      <c r="H32" s="207"/>
      <c r="I32" s="207"/>
      <c r="J32" s="207"/>
      <c r="K32" s="207"/>
      <c r="L32" s="207"/>
      <c r="M32" s="208"/>
    </row>
    <row r="34" spans="2:13" ht="15" thickBot="1" x14ac:dyDescent="0.35">
      <c r="D34" s="192">
        <f>+D29</f>
        <v>2017</v>
      </c>
      <c r="E34" s="192">
        <f t="shared" ref="E34:M34" si="2">+E29</f>
        <v>2018</v>
      </c>
      <c r="F34" s="192">
        <f t="shared" si="2"/>
        <v>2019</v>
      </c>
      <c r="G34" s="192">
        <f t="shared" si="2"/>
        <v>2020</v>
      </c>
      <c r="H34" s="192">
        <f t="shared" si="2"/>
        <v>2021</v>
      </c>
      <c r="I34" s="192">
        <f t="shared" si="2"/>
        <v>2022</v>
      </c>
      <c r="J34" s="192">
        <f t="shared" si="2"/>
        <v>2023</v>
      </c>
      <c r="K34" s="192">
        <f t="shared" si="2"/>
        <v>2024</v>
      </c>
      <c r="L34" s="192">
        <f t="shared" si="2"/>
        <v>2025</v>
      </c>
      <c r="M34" s="192">
        <f t="shared" si="2"/>
        <v>2026</v>
      </c>
    </row>
    <row r="35" spans="2:13" x14ac:dyDescent="0.3">
      <c r="B35" s="192" t="s">
        <v>48</v>
      </c>
      <c r="D35" s="203"/>
      <c r="E35" s="204"/>
      <c r="F35" s="204"/>
      <c r="G35" s="204"/>
      <c r="H35" s="204"/>
      <c r="I35" s="204"/>
      <c r="J35" s="204"/>
      <c r="K35" s="204"/>
      <c r="L35" s="204"/>
      <c r="M35" s="205"/>
    </row>
    <row r="38" spans="2:13" x14ac:dyDescent="0.3">
      <c r="B38" s="192" t="s">
        <v>51</v>
      </c>
      <c r="C38" s="192" t="s">
        <v>5</v>
      </c>
      <c r="D38" s="192">
        <f>+D34</f>
        <v>2017</v>
      </c>
      <c r="E38" s="192">
        <f t="shared" ref="E38:M38" si="3">+E34</f>
        <v>2018</v>
      </c>
      <c r="F38" s="192">
        <f t="shared" si="3"/>
        <v>2019</v>
      </c>
      <c r="G38" s="192">
        <f t="shared" si="3"/>
        <v>2020</v>
      </c>
      <c r="H38" s="192">
        <f t="shared" si="3"/>
        <v>2021</v>
      </c>
      <c r="I38" s="192">
        <f t="shared" si="3"/>
        <v>2022</v>
      </c>
      <c r="J38" s="192">
        <f t="shared" si="3"/>
        <v>2023</v>
      </c>
      <c r="K38" s="192">
        <f t="shared" si="3"/>
        <v>2024</v>
      </c>
      <c r="L38" s="192">
        <f t="shared" si="3"/>
        <v>2025</v>
      </c>
      <c r="M38" s="192">
        <f t="shared" si="3"/>
        <v>2026</v>
      </c>
    </row>
    <row r="39" spans="2:13" x14ac:dyDescent="0.3">
      <c r="B39" s="198" t="str">
        <f>+B23</f>
        <v>Fabbricati</v>
      </c>
      <c r="C39" s="212">
        <v>0.22</v>
      </c>
      <c r="D39" s="213">
        <f>+$C39*D23</f>
        <v>0</v>
      </c>
      <c r="E39" s="213">
        <f t="shared" ref="E39:M39" si="4">+$C39*E23</f>
        <v>0</v>
      </c>
      <c r="F39" s="213">
        <f t="shared" si="4"/>
        <v>0</v>
      </c>
      <c r="G39" s="213">
        <f t="shared" si="4"/>
        <v>0</v>
      </c>
      <c r="H39" s="213">
        <f t="shared" si="4"/>
        <v>0</v>
      </c>
      <c r="I39" s="213">
        <f t="shared" si="4"/>
        <v>0</v>
      </c>
      <c r="J39" s="213">
        <f t="shared" si="4"/>
        <v>0</v>
      </c>
      <c r="K39" s="213">
        <f t="shared" si="4"/>
        <v>0</v>
      </c>
      <c r="L39" s="213">
        <f t="shared" si="4"/>
        <v>0</v>
      </c>
      <c r="M39" s="213">
        <f t="shared" si="4"/>
        <v>0</v>
      </c>
    </row>
    <row r="40" spans="2:13" x14ac:dyDescent="0.3">
      <c r="B40" s="198" t="str">
        <f t="shared" ref="B40:B48" si="5">+B24</f>
        <v>Impianti e Macchinari</v>
      </c>
      <c r="C40" s="212">
        <v>0.22</v>
      </c>
      <c r="D40" s="213">
        <f t="shared" ref="D40:M42" si="6">+$C40*D24</f>
        <v>0</v>
      </c>
      <c r="E40" s="213">
        <f t="shared" si="6"/>
        <v>0</v>
      </c>
      <c r="F40" s="213">
        <f t="shared" si="6"/>
        <v>0</v>
      </c>
      <c r="G40" s="213">
        <f t="shared" si="6"/>
        <v>0</v>
      </c>
      <c r="H40" s="213">
        <f t="shared" si="6"/>
        <v>0</v>
      </c>
      <c r="I40" s="213">
        <f t="shared" si="6"/>
        <v>0</v>
      </c>
      <c r="J40" s="213">
        <f t="shared" si="6"/>
        <v>0</v>
      </c>
      <c r="K40" s="213">
        <f t="shared" si="6"/>
        <v>0</v>
      </c>
      <c r="L40" s="213">
        <f t="shared" si="6"/>
        <v>0</v>
      </c>
      <c r="M40" s="213">
        <f t="shared" si="6"/>
        <v>0</v>
      </c>
    </row>
    <row r="41" spans="2:13" x14ac:dyDescent="0.3">
      <c r="B41" s="198" t="str">
        <f t="shared" si="5"/>
        <v>Attrezzature industriali e commerciali</v>
      </c>
      <c r="C41" s="212">
        <v>0.22</v>
      </c>
      <c r="D41" s="213">
        <f t="shared" si="6"/>
        <v>0</v>
      </c>
      <c r="E41" s="213">
        <f t="shared" si="6"/>
        <v>0</v>
      </c>
      <c r="F41" s="213">
        <f t="shared" si="6"/>
        <v>0</v>
      </c>
      <c r="G41" s="213">
        <f t="shared" si="6"/>
        <v>0</v>
      </c>
      <c r="H41" s="213">
        <f t="shared" si="6"/>
        <v>0</v>
      </c>
      <c r="I41" s="213">
        <f t="shared" si="6"/>
        <v>0</v>
      </c>
      <c r="J41" s="213">
        <f t="shared" si="6"/>
        <v>0</v>
      </c>
      <c r="K41" s="213">
        <f t="shared" si="6"/>
        <v>0</v>
      </c>
      <c r="L41" s="213">
        <f t="shared" si="6"/>
        <v>0</v>
      </c>
      <c r="M41" s="213">
        <f t="shared" si="6"/>
        <v>0</v>
      </c>
    </row>
    <row r="42" spans="2:13" x14ac:dyDescent="0.3">
      <c r="B42" s="198" t="str">
        <f t="shared" si="5"/>
        <v>Altri beni</v>
      </c>
      <c r="C42" s="212">
        <v>0.22</v>
      </c>
      <c r="D42" s="213">
        <f t="shared" si="6"/>
        <v>0</v>
      </c>
      <c r="E42" s="213">
        <f t="shared" si="6"/>
        <v>0</v>
      </c>
      <c r="F42" s="213">
        <f t="shared" si="6"/>
        <v>0</v>
      </c>
      <c r="G42" s="213">
        <f t="shared" si="6"/>
        <v>0</v>
      </c>
      <c r="H42" s="213">
        <f t="shared" si="6"/>
        <v>0</v>
      </c>
      <c r="I42" s="213">
        <f t="shared" si="6"/>
        <v>0</v>
      </c>
      <c r="J42" s="213">
        <f t="shared" si="6"/>
        <v>0</v>
      </c>
      <c r="K42" s="213">
        <f t="shared" si="6"/>
        <v>0</v>
      </c>
      <c r="L42" s="213">
        <f t="shared" si="6"/>
        <v>0</v>
      </c>
      <c r="M42" s="213">
        <f t="shared" si="6"/>
        <v>0</v>
      </c>
    </row>
    <row r="46" spans="2:13" x14ac:dyDescent="0.3">
      <c r="B46" s="198" t="str">
        <f t="shared" si="5"/>
        <v>Costi d'impianto e ampliamento</v>
      </c>
      <c r="C46" s="212">
        <v>0.22</v>
      </c>
      <c r="D46" s="213">
        <f t="shared" ref="D46:M46" si="7">+$C46*D30</f>
        <v>0</v>
      </c>
      <c r="E46" s="213">
        <f t="shared" si="7"/>
        <v>0</v>
      </c>
      <c r="F46" s="213">
        <f t="shared" si="7"/>
        <v>0</v>
      </c>
      <c r="G46" s="213">
        <f t="shared" si="7"/>
        <v>0</v>
      </c>
      <c r="H46" s="213">
        <f t="shared" si="7"/>
        <v>0</v>
      </c>
      <c r="I46" s="213">
        <f t="shared" si="7"/>
        <v>0</v>
      </c>
      <c r="J46" s="213">
        <f t="shared" si="7"/>
        <v>0</v>
      </c>
      <c r="K46" s="213">
        <f t="shared" si="7"/>
        <v>0</v>
      </c>
      <c r="L46" s="213">
        <f t="shared" si="7"/>
        <v>0</v>
      </c>
      <c r="M46" s="213">
        <f t="shared" si="7"/>
        <v>0</v>
      </c>
    </row>
    <row r="47" spans="2:13" x14ac:dyDescent="0.3">
      <c r="B47" s="198" t="str">
        <f t="shared" si="5"/>
        <v>Ricerca&amp; Sviluppo</v>
      </c>
      <c r="C47" s="212">
        <v>0.22</v>
      </c>
      <c r="D47" s="213">
        <f t="shared" ref="D47:M47" si="8">+$C47*D31</f>
        <v>0</v>
      </c>
      <c r="E47" s="213">
        <f t="shared" si="8"/>
        <v>0</v>
      </c>
      <c r="F47" s="213">
        <f t="shared" si="8"/>
        <v>0</v>
      </c>
      <c r="G47" s="213">
        <f t="shared" si="8"/>
        <v>0</v>
      </c>
      <c r="H47" s="213">
        <f t="shared" si="8"/>
        <v>0</v>
      </c>
      <c r="I47" s="213">
        <f t="shared" si="8"/>
        <v>0</v>
      </c>
      <c r="J47" s="213">
        <f t="shared" si="8"/>
        <v>0</v>
      </c>
      <c r="K47" s="213">
        <f t="shared" si="8"/>
        <v>0</v>
      </c>
      <c r="L47" s="213">
        <f t="shared" si="8"/>
        <v>0</v>
      </c>
      <c r="M47" s="213">
        <f t="shared" si="8"/>
        <v>0</v>
      </c>
    </row>
    <row r="48" spans="2:13" x14ac:dyDescent="0.3">
      <c r="B48" s="198" t="str">
        <f t="shared" si="5"/>
        <v>Altre immobilizzazioni immateriali</v>
      </c>
      <c r="C48" s="212">
        <v>0.22</v>
      </c>
      <c r="D48" s="213">
        <f t="shared" ref="D48:M48" si="9">+$C48*D32</f>
        <v>0</v>
      </c>
      <c r="E48" s="213">
        <f t="shared" si="9"/>
        <v>0</v>
      </c>
      <c r="F48" s="213">
        <f t="shared" si="9"/>
        <v>0</v>
      </c>
      <c r="G48" s="213">
        <f t="shared" si="9"/>
        <v>0</v>
      </c>
      <c r="H48" s="213">
        <f t="shared" si="9"/>
        <v>0</v>
      </c>
      <c r="I48" s="213">
        <f t="shared" si="9"/>
        <v>0</v>
      </c>
      <c r="J48" s="213">
        <f t="shared" si="9"/>
        <v>0</v>
      </c>
      <c r="K48" s="213">
        <f t="shared" si="9"/>
        <v>0</v>
      </c>
      <c r="L48" s="213">
        <f t="shared" si="9"/>
        <v>0</v>
      </c>
      <c r="M48" s="213">
        <f t="shared" si="9"/>
        <v>0</v>
      </c>
    </row>
    <row r="49" spans="2:13" x14ac:dyDescent="0.3">
      <c r="D49" s="84"/>
      <c r="E49" s="84"/>
      <c r="F49" s="84"/>
      <c r="G49" s="84"/>
      <c r="H49" s="84"/>
      <c r="I49" s="84"/>
      <c r="J49" s="84"/>
      <c r="K49" s="84"/>
      <c r="L49" s="84"/>
      <c r="M49" s="84"/>
    </row>
    <row r="50" spans="2:13" x14ac:dyDescent="0.3">
      <c r="D50" s="84"/>
      <c r="E50" s="84"/>
      <c r="F50" s="84"/>
      <c r="G50" s="84"/>
      <c r="H50" s="84"/>
      <c r="I50" s="84"/>
      <c r="J50" s="84"/>
      <c r="K50" s="84"/>
      <c r="L50" s="84"/>
      <c r="M50" s="84"/>
    </row>
    <row r="52" spans="2:13" x14ac:dyDescent="0.3">
      <c r="B52" s="192" t="s">
        <v>52</v>
      </c>
      <c r="D52" s="192">
        <f t="shared" ref="D52:M52" si="10">+D22</f>
        <v>2017</v>
      </c>
      <c r="E52" s="192">
        <f t="shared" si="10"/>
        <v>2018</v>
      </c>
      <c r="F52" s="192">
        <f t="shared" si="10"/>
        <v>2019</v>
      </c>
      <c r="G52" s="192">
        <f t="shared" si="10"/>
        <v>2020</v>
      </c>
      <c r="H52" s="192">
        <f t="shared" si="10"/>
        <v>2021</v>
      </c>
      <c r="I52" s="192">
        <f t="shared" si="10"/>
        <v>2022</v>
      </c>
      <c r="J52" s="192">
        <f t="shared" si="10"/>
        <v>2023</v>
      </c>
      <c r="K52" s="192">
        <f t="shared" si="10"/>
        <v>2024</v>
      </c>
      <c r="L52" s="192">
        <f t="shared" si="10"/>
        <v>2025</v>
      </c>
      <c r="M52" s="192">
        <f t="shared" si="10"/>
        <v>2026</v>
      </c>
    </row>
    <row r="53" spans="2:13" x14ac:dyDescent="0.3">
      <c r="B53" s="198" t="str">
        <f>+B23</f>
        <v>Fabbricati</v>
      </c>
      <c r="D53" s="213">
        <f>+$D23*$C23</f>
        <v>0</v>
      </c>
      <c r="E53" s="213">
        <f>+$D23*$C23*IF(D53=D23,0,1)</f>
        <v>0</v>
      </c>
      <c r="F53" s="213">
        <f>+$D23*$C23*(IF(SUM($D53:E53)=$D23,0,1))</f>
        <v>0</v>
      </c>
      <c r="G53" s="213">
        <f>+$D23*$C23*(IF(SUM($D53:F53)=$D23,0,1))</f>
        <v>0</v>
      </c>
      <c r="H53" s="213">
        <f>+$D23*$C23*(IF(SUM($D53:G53)=$D23,0,1))</f>
        <v>0</v>
      </c>
      <c r="I53" s="213">
        <f>+$D23*$C23*(IF(SUM($D53:H53)=$D23,0,1))</f>
        <v>0</v>
      </c>
      <c r="J53" s="213">
        <f>+$D23*$C23*(IF(SUM($D53:I53)=$D23,0,1))</f>
        <v>0</v>
      </c>
      <c r="K53" s="213">
        <f>+$D23*$C23*(IF(SUM($D53:J53)=$D23,0,1))</f>
        <v>0</v>
      </c>
      <c r="L53" s="213">
        <f>+$D23*$C23*(IF(SUM($D53:K53)=$D23,0,1))</f>
        <v>0</v>
      </c>
      <c r="M53" s="213">
        <f>+$D23*$C23*(IF(SUM($D53:L53)=$D23,0,1))</f>
        <v>0</v>
      </c>
    </row>
    <row r="54" spans="2:13" x14ac:dyDescent="0.3">
      <c r="B54" s="198" t="str">
        <f>+B24</f>
        <v>Impianti e Macchinari</v>
      </c>
      <c r="D54" s="213">
        <f>+$D24*$C24</f>
        <v>0</v>
      </c>
      <c r="E54" s="213">
        <f>+$D24*$C24*IF(D54=D24,0,1)</f>
        <v>0</v>
      </c>
      <c r="F54" s="213">
        <f>+$D24*$C24*(IF(SUM($D54:E54)=$D24,0,1))</f>
        <v>0</v>
      </c>
      <c r="G54" s="213">
        <f>+$D24*$C24*(IF(SUM($D54:F54)=$D24,0,1))</f>
        <v>0</v>
      </c>
      <c r="H54" s="213">
        <f>+$D24*$C24*(IF(SUM($D54:G54)=$D24,0,1))</f>
        <v>0</v>
      </c>
      <c r="I54" s="213">
        <f>+$D24*$C24*(IF(SUM($D54:H54)=$D24,0,1))</f>
        <v>0</v>
      </c>
      <c r="J54" s="213">
        <f>+$D24*$C24*(IF(SUM($D54:I54)=$D24,0,1))</f>
        <v>0</v>
      </c>
      <c r="K54" s="213">
        <f>+$D24*$C24*(IF(SUM($D54:J54)=$D24,0,1))</f>
        <v>0</v>
      </c>
      <c r="L54" s="213">
        <f>+$D24*$C24*(IF(SUM($D54:K54)=$D24,0,1))</f>
        <v>0</v>
      </c>
      <c r="M54" s="213">
        <f>+$D24*$C24*(IF(SUM($D54:L54)=$D24,0,1))</f>
        <v>0</v>
      </c>
    </row>
    <row r="55" spans="2:13" x14ac:dyDescent="0.3">
      <c r="B55" s="198" t="str">
        <f>+B25</f>
        <v>Attrezzature industriali e commerciali</v>
      </c>
      <c r="D55" s="213">
        <f>+$D25*$C25</f>
        <v>0</v>
      </c>
      <c r="E55" s="213">
        <f>+$D25*$C25*IF(D55=D25,0,1)</f>
        <v>0</v>
      </c>
      <c r="F55" s="213">
        <f>+$D25*$C25*(IF(SUM($D55:E55)=$D25,0,1))</f>
        <v>0</v>
      </c>
      <c r="G55" s="213">
        <f>+$D25*$C25*(IF(SUM($D55:F55)=$D25,0,1))</f>
        <v>0</v>
      </c>
      <c r="H55" s="213">
        <f>+$D25*$C25*(IF(SUM($D55:G55)=$D25,0,1))</f>
        <v>0</v>
      </c>
      <c r="I55" s="213">
        <f>+$D25*$C25*(IF(SUM($D55:H55)=$D25,0,1))</f>
        <v>0</v>
      </c>
      <c r="J55" s="213">
        <f>+$D25*$C25*(IF(SUM($D55:I55)=$D25,0,1))</f>
        <v>0</v>
      </c>
      <c r="K55" s="213">
        <f>+$D25*$C25*(IF(SUM($D55:J55)=$D25,0,1))</f>
        <v>0</v>
      </c>
      <c r="L55" s="213">
        <f>+$D25*$C25*(IF(SUM($D55:K55)=$D25,0,1))</f>
        <v>0</v>
      </c>
      <c r="M55" s="213">
        <f>+$D25*$C25*(IF(SUM($D55:L55)=$D25,0,1))</f>
        <v>0</v>
      </c>
    </row>
    <row r="56" spans="2:13" x14ac:dyDescent="0.3">
      <c r="B56" s="198" t="str">
        <f>+B26</f>
        <v>Altri beni</v>
      </c>
      <c r="D56" s="213">
        <f>+$D26*$C26</f>
        <v>0</v>
      </c>
      <c r="E56" s="213">
        <f>+$D26*$C26*IF(D56=D26,0,1)</f>
        <v>0</v>
      </c>
      <c r="F56" s="213">
        <f>+$D26*$C26*(IF(SUM($D56:E56)=$D26,0,1))</f>
        <v>0</v>
      </c>
      <c r="G56" s="213">
        <f>+$D26*$C26*(IF(SUM($D56:F56)=$D26,0,1))</f>
        <v>0</v>
      </c>
      <c r="H56" s="213">
        <f>+$D26*$C26*(IF(SUM($D56:G56)=$D26,0,1))</f>
        <v>0</v>
      </c>
      <c r="I56" s="213">
        <f>+$D26*$C26*(IF(SUM($D56:H56)=$D26,0,1))</f>
        <v>0</v>
      </c>
      <c r="J56" s="213">
        <f>+$D26*$C26*(IF(SUM($D56:I56)=$D26,0,1))</f>
        <v>0</v>
      </c>
      <c r="K56" s="213">
        <f>+$D26*$C26*(IF(SUM($D56:J56)=$D26,0,1))</f>
        <v>0</v>
      </c>
      <c r="L56" s="213">
        <f>+$D26*$C26*(IF(SUM($D56:K56)=$D26,0,1))</f>
        <v>0</v>
      </c>
      <c r="M56" s="213">
        <f>+$D26*$C26*(IF(SUM($D56:L56)=$D26,0,1))</f>
        <v>0</v>
      </c>
    </row>
    <row r="57" spans="2:13" x14ac:dyDescent="0.3">
      <c r="D57" s="84"/>
      <c r="E57" s="84"/>
      <c r="F57" s="84"/>
      <c r="G57" s="84"/>
      <c r="H57" s="84"/>
      <c r="I57" s="84"/>
      <c r="J57" s="84"/>
      <c r="K57" s="84"/>
      <c r="L57" s="84"/>
      <c r="M57" s="84"/>
    </row>
    <row r="58" spans="2:13" x14ac:dyDescent="0.3">
      <c r="D58" s="84"/>
      <c r="E58" s="84"/>
      <c r="F58" s="84"/>
      <c r="G58" s="84"/>
      <c r="H58" s="84"/>
      <c r="I58" s="84"/>
      <c r="J58" s="84"/>
      <c r="K58" s="84"/>
      <c r="L58" s="84"/>
      <c r="M58" s="84"/>
    </row>
    <row r="59" spans="2:13" x14ac:dyDescent="0.3">
      <c r="D59" s="84"/>
      <c r="E59" s="84"/>
      <c r="F59" s="84"/>
      <c r="G59" s="84"/>
      <c r="H59" s="84"/>
      <c r="I59" s="84"/>
      <c r="J59" s="84"/>
      <c r="K59" s="84"/>
      <c r="L59" s="84"/>
      <c r="M59" s="84"/>
    </row>
    <row r="60" spans="2:13" x14ac:dyDescent="0.3">
      <c r="B60" s="198" t="str">
        <f>+B30</f>
        <v>Costi d'impianto e ampliamento</v>
      </c>
      <c r="D60" s="213">
        <f>+$D30*$C30</f>
        <v>0</v>
      </c>
      <c r="E60" s="213">
        <f>+$D30*$C30*IF(D60=D30,0,1)</f>
        <v>0</v>
      </c>
      <c r="F60" s="213">
        <f>+$D30*$C30*(IF(SUM($D60:E60)=$D30,0,1))</f>
        <v>0</v>
      </c>
      <c r="G60" s="213">
        <f>+$D30*$C30*(IF(SUM($D60:F60)=$D30,0,1))</f>
        <v>0</v>
      </c>
      <c r="H60" s="213">
        <f>+$D30*$C30*(IF(SUM($D60:G60)=$D30,0,1))</f>
        <v>0</v>
      </c>
      <c r="I60" s="213">
        <f>+$D30*$C30*(IF(SUM($D60:H60)=$D30,0,1))</f>
        <v>0</v>
      </c>
      <c r="J60" s="213">
        <f>+$D30*$C30*(IF(SUM($D60:I60)=$D30,0,1))</f>
        <v>0</v>
      </c>
      <c r="K60" s="213">
        <f>+$D30*$C30*(IF(SUM($D60:J60)=$D30,0,1))</f>
        <v>0</v>
      </c>
      <c r="L60" s="213">
        <f>+$D30*$C30*(IF(SUM($D60:K60)=$D30,0,1))</f>
        <v>0</v>
      </c>
      <c r="M60" s="213">
        <f>+$D30*$C30*(IF(SUM($D60:L60)=$D30,0,1))</f>
        <v>0</v>
      </c>
    </row>
    <row r="61" spans="2:13" x14ac:dyDescent="0.3">
      <c r="B61" s="198" t="str">
        <f>+B31</f>
        <v>Ricerca&amp; Sviluppo</v>
      </c>
      <c r="D61" s="213">
        <f>+$D31*$C31</f>
        <v>0</v>
      </c>
      <c r="E61" s="213">
        <f>+$D31*$C31*IF(D61=D31,0,1)</f>
        <v>0</v>
      </c>
      <c r="F61" s="213">
        <f>+$D31*$C31*(IF(SUM($D61:E61)=$D31,0,1))</f>
        <v>0</v>
      </c>
      <c r="G61" s="213">
        <f>+$D31*$C31*(IF(SUM($D61:F61)=$D31,0,1))</f>
        <v>0</v>
      </c>
      <c r="H61" s="213">
        <f>+$D31*$C31*(IF(SUM($D61:G61)=$D31,0,1))</f>
        <v>0</v>
      </c>
      <c r="I61" s="213">
        <f>+$D31*$C31*(IF(SUM($D61:H61)=$D31,0,1))</f>
        <v>0</v>
      </c>
      <c r="J61" s="213">
        <f>+$D31*$C31*(IF(SUM($D61:I61)=$D31,0,1))</f>
        <v>0</v>
      </c>
      <c r="K61" s="213">
        <f>+$D31*$C31*(IF(SUM($D61:J61)=$D31,0,1))</f>
        <v>0</v>
      </c>
      <c r="L61" s="213">
        <f>+$D31*$C31*(IF(SUM($D61:K61)=$D31,0,1))</f>
        <v>0</v>
      </c>
      <c r="M61" s="213">
        <f>+$D31*$C31*(IF(SUM($D61:L61)=$D31,0,1))</f>
        <v>0</v>
      </c>
    </row>
    <row r="62" spans="2:13" x14ac:dyDescent="0.3">
      <c r="B62" s="198" t="str">
        <f>+B32</f>
        <v>Altre immobilizzazioni immateriali</v>
      </c>
      <c r="D62" s="213">
        <f>+$D32*$C32</f>
        <v>0</v>
      </c>
      <c r="E62" s="213">
        <f>+$D32*$C32*IF(D62=D32,0,1)</f>
        <v>0</v>
      </c>
      <c r="F62" s="213">
        <f>+$D32*$C32*(IF(SUM($D62:E62)=$D32,0,1))</f>
        <v>0</v>
      </c>
      <c r="G62" s="213">
        <f>+$D32*$C32*(IF(SUM($D62:F62)=$D32,0,1))</f>
        <v>0</v>
      </c>
      <c r="H62" s="213">
        <f>+$D32*$C32*(IF(SUM($D62:G62)=$D32,0,1))</f>
        <v>0</v>
      </c>
      <c r="I62" s="213">
        <f>+$D32*$C32*(IF(SUM($D62:H62)=$D32,0,1))</f>
        <v>0</v>
      </c>
      <c r="J62" s="213">
        <f>+$D32*$C32*(IF(SUM($D62:I62)=$D32,0,1))</f>
        <v>0</v>
      </c>
      <c r="K62" s="213">
        <f>+$D32*$C32*(IF(SUM($D62:J62)=$D32,0,1))</f>
        <v>0</v>
      </c>
      <c r="L62" s="213">
        <f>+$D32*$C32*(IF(SUM($D62:K62)=$D32,0,1))</f>
        <v>0</v>
      </c>
      <c r="M62" s="213">
        <f>+$D32*$C32*(IF(SUM($D62:L62)=$D32,0,1))</f>
        <v>0</v>
      </c>
    </row>
    <row r="65" spans="2:13" x14ac:dyDescent="0.3">
      <c r="B65" s="192" t="s">
        <v>53</v>
      </c>
      <c r="D65" s="192">
        <f>+D52</f>
        <v>2017</v>
      </c>
      <c r="E65" s="192">
        <f t="shared" ref="E65:M65" si="11">+E52</f>
        <v>2018</v>
      </c>
      <c r="F65" s="192">
        <f t="shared" si="11"/>
        <v>2019</v>
      </c>
      <c r="G65" s="192">
        <f t="shared" si="11"/>
        <v>2020</v>
      </c>
      <c r="H65" s="192">
        <f t="shared" si="11"/>
        <v>2021</v>
      </c>
      <c r="I65" s="192">
        <f t="shared" si="11"/>
        <v>2022</v>
      </c>
      <c r="J65" s="192">
        <f t="shared" si="11"/>
        <v>2023</v>
      </c>
      <c r="K65" s="192">
        <f t="shared" si="11"/>
        <v>2024</v>
      </c>
      <c r="L65" s="192">
        <f t="shared" si="11"/>
        <v>2025</v>
      </c>
      <c r="M65" s="192">
        <f t="shared" si="11"/>
        <v>2026</v>
      </c>
    </row>
    <row r="66" spans="2:13" x14ac:dyDescent="0.3">
      <c r="B66" s="198" t="str">
        <f>+B53</f>
        <v>Fabbricati</v>
      </c>
      <c r="D66" s="213"/>
      <c r="E66" s="213">
        <f>+$E23*$C23</f>
        <v>0</v>
      </c>
      <c r="F66" s="213">
        <f>+$E23*$C23*IF(E66=E23,0,1)</f>
        <v>0</v>
      </c>
      <c r="G66" s="213">
        <f>+$E23*$C23*(IF(SUM($D66:F66)=$E23,0,1))</f>
        <v>0</v>
      </c>
      <c r="H66" s="213">
        <f>+$E23*$C23*(IF(SUM($D66:G66)=$E23,0,1))</f>
        <v>0</v>
      </c>
      <c r="I66" s="213">
        <f>+$E23*$C23*(IF(SUM($D66:H66)=$E23,0,1))</f>
        <v>0</v>
      </c>
      <c r="J66" s="213">
        <f>+$E23*$C23*(IF(SUM($D66:I66)=$E23,0,1))</f>
        <v>0</v>
      </c>
      <c r="K66" s="213">
        <f>+$E23*$C23*(IF(SUM($D66:J66)=$E23,0,1))</f>
        <v>0</v>
      </c>
      <c r="L66" s="213">
        <f>+$E23*$C23*(IF(SUM($D66:K66)=$E23,0,1))</f>
        <v>0</v>
      </c>
      <c r="M66" s="213">
        <f>+$E23*$C23*(IF(SUM($D66:L66)=$E23,0,1))</f>
        <v>0</v>
      </c>
    </row>
    <row r="67" spans="2:13" x14ac:dyDescent="0.3">
      <c r="B67" s="198" t="str">
        <f t="shared" ref="B67:B75" si="12">+B54</f>
        <v>Impianti e Macchinari</v>
      </c>
      <c r="D67" s="213"/>
      <c r="E67" s="213">
        <f>+$E24*$C24</f>
        <v>0</v>
      </c>
      <c r="F67" s="213">
        <f>+$E24*$C24*IF(E67=E24,0,1)</f>
        <v>0</v>
      </c>
      <c r="G67" s="213">
        <f>+$E24*$C24*(IF(SUM($D67:F67)=$E24,0,1))</f>
        <v>0</v>
      </c>
      <c r="H67" s="213">
        <f>+$E24*$C24*(IF(SUM($D67:G67)=$E24,0,1))</f>
        <v>0</v>
      </c>
      <c r="I67" s="213">
        <f>+$E24*$C24*(IF(SUM($D67:H67)=$E24,0,1))</f>
        <v>0</v>
      </c>
      <c r="J67" s="213">
        <f>+$E24*$C24*(IF(SUM($D67:I67)=$E24,0,1))</f>
        <v>0</v>
      </c>
      <c r="K67" s="213">
        <f>+$E24*$C24*(IF(SUM($D67:J67)=$E24,0,1))</f>
        <v>0</v>
      </c>
      <c r="L67" s="213">
        <f>+$E24*$C24*(IF(SUM($D67:K67)=$E24,0,1))</f>
        <v>0</v>
      </c>
      <c r="M67" s="213">
        <f>+$E24*$C24*(IF(SUM($D67:L67)=$E24,0,1))</f>
        <v>0</v>
      </c>
    </row>
    <row r="68" spans="2:13" x14ac:dyDescent="0.3">
      <c r="B68" s="198" t="str">
        <f t="shared" si="12"/>
        <v>Attrezzature industriali e commerciali</v>
      </c>
      <c r="D68" s="213"/>
      <c r="E68" s="213">
        <f>+$E25*$C25</f>
        <v>0</v>
      </c>
      <c r="F68" s="213">
        <f>+$E25*$C25*IF(E68=E25,0,1)</f>
        <v>0</v>
      </c>
      <c r="G68" s="213">
        <f>+$E25*$C25*(IF(SUM($D68:F68)=$E25,0,1))</f>
        <v>0</v>
      </c>
      <c r="H68" s="213">
        <f>+$E25*$C25*(IF(SUM($D68:G68)=$E25,0,1))</f>
        <v>0</v>
      </c>
      <c r="I68" s="213">
        <f>+$E25*$C25*(IF(SUM($D68:H68)=$E25,0,1))</f>
        <v>0</v>
      </c>
      <c r="J68" s="213">
        <f>+$E25*$C25*(IF(SUM($D68:I68)=$E25,0,1))</f>
        <v>0</v>
      </c>
      <c r="K68" s="213">
        <f>+$E25*$C25*(IF(SUM($D68:J68)=$E25,0,1))</f>
        <v>0</v>
      </c>
      <c r="L68" s="213">
        <f>+$E25*$C25*(IF(SUM($D68:K68)=$E25,0,1))</f>
        <v>0</v>
      </c>
      <c r="M68" s="213">
        <f>+$E25*$C25*(IF(SUM($D68:L68)=$E25,0,1))</f>
        <v>0</v>
      </c>
    </row>
    <row r="69" spans="2:13" x14ac:dyDescent="0.3">
      <c r="B69" s="198" t="str">
        <f t="shared" si="12"/>
        <v>Altri beni</v>
      </c>
      <c r="D69" s="213"/>
      <c r="E69" s="213">
        <f>+$E26*$C26</f>
        <v>0</v>
      </c>
      <c r="F69" s="213">
        <f>+$E26*$C26*IF(E69=E26,0,1)</f>
        <v>0</v>
      </c>
      <c r="G69" s="213">
        <f>+$E26*$C26*(IF(SUM($D69:F69)=$E26,0,1))</f>
        <v>0</v>
      </c>
      <c r="H69" s="213">
        <f>+$E26*$C26*(IF(SUM($D69:G69)=$E26,0,1))</f>
        <v>0</v>
      </c>
      <c r="I69" s="213">
        <f>+$E26*$C26*(IF(SUM($D69:H69)=$E26,0,1))</f>
        <v>0</v>
      </c>
      <c r="J69" s="213">
        <f>+$E26*$C26*(IF(SUM($D69:I69)=$E26,0,1))</f>
        <v>0</v>
      </c>
      <c r="K69" s="213">
        <f>+$E26*$C26*(IF(SUM($D69:J69)=$E26,0,1))</f>
        <v>0</v>
      </c>
      <c r="L69" s="213">
        <f>+$E26*$C26*(IF(SUM($D69:K69)=$E26,0,1))</f>
        <v>0</v>
      </c>
      <c r="M69" s="213">
        <f>+$E26*$C26*(IF(SUM($D69:L69)=$E26,0,1))</f>
        <v>0</v>
      </c>
    </row>
    <row r="70" spans="2:13" x14ac:dyDescent="0.3">
      <c r="D70" s="84"/>
      <c r="E70" s="84"/>
      <c r="F70" s="84"/>
      <c r="G70" s="84"/>
      <c r="H70" s="84"/>
      <c r="I70" s="84"/>
      <c r="J70" s="84"/>
      <c r="K70" s="84"/>
      <c r="L70" s="84"/>
      <c r="M70" s="84"/>
    </row>
    <row r="71" spans="2:13" x14ac:dyDescent="0.3">
      <c r="D71" s="84"/>
      <c r="E71" s="84"/>
      <c r="F71" s="84"/>
      <c r="G71" s="84"/>
      <c r="H71" s="84"/>
      <c r="I71" s="84"/>
      <c r="J71" s="84"/>
      <c r="K71" s="84"/>
      <c r="L71" s="84"/>
      <c r="M71" s="84"/>
    </row>
    <row r="72" spans="2:13" x14ac:dyDescent="0.3">
      <c r="D72" s="84"/>
      <c r="E72" s="84"/>
      <c r="F72" s="84"/>
      <c r="G72" s="84"/>
      <c r="H72" s="84"/>
      <c r="I72" s="84"/>
      <c r="J72" s="84"/>
      <c r="K72" s="84"/>
      <c r="L72" s="84"/>
      <c r="M72" s="84"/>
    </row>
    <row r="73" spans="2:13" x14ac:dyDescent="0.3">
      <c r="B73" s="198" t="str">
        <f t="shared" si="12"/>
        <v>Costi d'impianto e ampliamento</v>
      </c>
      <c r="D73" s="213"/>
      <c r="E73" s="213">
        <f>+$E30*$C30</f>
        <v>0</v>
      </c>
      <c r="F73" s="213">
        <f>+$E30*$C30*IF(E73=E30,0,1)</f>
        <v>0</v>
      </c>
      <c r="G73" s="213">
        <f>+$E30*$C30*(IF(SUM($D73:F73)=$E30,0,1))</f>
        <v>0</v>
      </c>
      <c r="H73" s="213">
        <f>+$E30*$C30*(IF(SUM($D73:G73)=$E30,0,1))</f>
        <v>0</v>
      </c>
      <c r="I73" s="213">
        <f>+$E30*$C30*(IF(SUM($D73:H73)=$E30,0,1))</f>
        <v>0</v>
      </c>
      <c r="J73" s="213">
        <f>+$E30*$C30*(IF(SUM($D73:I73)=$E30,0,1))</f>
        <v>0</v>
      </c>
      <c r="K73" s="213">
        <f>+$E30*$C30*(IF(SUM($D73:J73)=$E30,0,1))</f>
        <v>0</v>
      </c>
      <c r="L73" s="213">
        <f>+$E30*$C30*(IF(SUM($D73:K73)=$E30,0,1))</f>
        <v>0</v>
      </c>
      <c r="M73" s="213">
        <f>+$E30*$C30*(IF(SUM($D73:L73)=$E30,0,1))</f>
        <v>0</v>
      </c>
    </row>
    <row r="74" spans="2:13" x14ac:dyDescent="0.3">
      <c r="B74" s="198" t="str">
        <f t="shared" si="12"/>
        <v>Ricerca&amp; Sviluppo</v>
      </c>
      <c r="D74" s="213"/>
      <c r="E74" s="213">
        <f>+$E31*$C31</f>
        <v>0</v>
      </c>
      <c r="F74" s="213">
        <f>+$E31*$C31*IF(E74=E31,0,1)</f>
        <v>0</v>
      </c>
      <c r="G74" s="213">
        <f>+$E31*$C31*(IF(SUM($D74:F74)=$E31,0,1))</f>
        <v>0</v>
      </c>
      <c r="H74" s="213">
        <f>+$E31*$C31*(IF(SUM($D74:G74)=$E31,0,1))</f>
        <v>0</v>
      </c>
      <c r="I74" s="213">
        <f>+$E31*$C31*(IF(SUM($D74:H74)=$E31,0,1))</f>
        <v>0</v>
      </c>
      <c r="J74" s="213">
        <f>+$E31*$C31*(IF(SUM($D74:I74)=$E31,0,1))</f>
        <v>0</v>
      </c>
      <c r="K74" s="213">
        <f>+$E31*$C31*(IF(SUM($D74:J74)=$E31,0,1))</f>
        <v>0</v>
      </c>
      <c r="L74" s="213">
        <f>+$E31*$C31*(IF(SUM($D74:K74)=$E31,0,1))</f>
        <v>0</v>
      </c>
      <c r="M74" s="213">
        <f>+$E31*$C31*(IF(SUM($D74:L74)=$E31,0,1))</f>
        <v>0</v>
      </c>
    </row>
    <row r="75" spans="2:13" x14ac:dyDescent="0.3">
      <c r="B75" s="198" t="str">
        <f t="shared" si="12"/>
        <v>Altre immobilizzazioni immateriali</v>
      </c>
      <c r="D75" s="213"/>
      <c r="E75" s="213">
        <f>+$E32*$C32</f>
        <v>0</v>
      </c>
      <c r="F75" s="213">
        <f>+$E32*$C32*IF(E75=E32,0,1)</f>
        <v>0</v>
      </c>
      <c r="G75" s="213">
        <f>+$E32*$C32*(IF(SUM($D75:F75)=$E32,0,1))</f>
        <v>0</v>
      </c>
      <c r="H75" s="213">
        <f>+$E32*$C32*(IF(SUM($D75:G75)=$E32,0,1))</f>
        <v>0</v>
      </c>
      <c r="I75" s="213">
        <f>+$E32*$C32*(IF(SUM($D75:H75)=$E32,0,1))</f>
        <v>0</v>
      </c>
      <c r="J75" s="213">
        <f>+$E32*$C32*(IF(SUM($D75:I75)=$E32,0,1))</f>
        <v>0</v>
      </c>
      <c r="K75" s="213">
        <f>+$E32*$C32*(IF(SUM($D75:J75)=$E32,0,1))</f>
        <v>0</v>
      </c>
      <c r="L75" s="213">
        <f>+$E32*$C32*(IF(SUM($D75:K75)=$E32,0,1))</f>
        <v>0</v>
      </c>
      <c r="M75" s="213">
        <f>+$E32*$C32*(IF(SUM($D75:L75)=$E32,0,1))</f>
        <v>0</v>
      </c>
    </row>
    <row r="76" spans="2:13" x14ac:dyDescent="0.3">
      <c r="G76" s="84"/>
    </row>
    <row r="78" spans="2:13" x14ac:dyDescent="0.3">
      <c r="B78" s="192" t="s">
        <v>54</v>
      </c>
      <c r="D78" s="192">
        <f>+D65</f>
        <v>2017</v>
      </c>
      <c r="E78" s="192">
        <f t="shared" ref="E78:M78" si="13">+E65</f>
        <v>2018</v>
      </c>
      <c r="F78" s="192">
        <f t="shared" si="13"/>
        <v>2019</v>
      </c>
      <c r="G78" s="192">
        <f t="shared" si="13"/>
        <v>2020</v>
      </c>
      <c r="H78" s="192">
        <f t="shared" si="13"/>
        <v>2021</v>
      </c>
      <c r="I78" s="192">
        <f t="shared" si="13"/>
        <v>2022</v>
      </c>
      <c r="J78" s="192">
        <f t="shared" si="13"/>
        <v>2023</v>
      </c>
      <c r="K78" s="192">
        <f t="shared" si="13"/>
        <v>2024</v>
      </c>
      <c r="L78" s="192">
        <f t="shared" si="13"/>
        <v>2025</v>
      </c>
      <c r="M78" s="192">
        <f t="shared" si="13"/>
        <v>2026</v>
      </c>
    </row>
    <row r="79" spans="2:13" x14ac:dyDescent="0.3">
      <c r="B79" s="198" t="str">
        <f>+B66</f>
        <v>Fabbricati</v>
      </c>
      <c r="D79" s="213"/>
      <c r="E79" s="213"/>
      <c r="F79" s="213">
        <f>+$F23*$C23</f>
        <v>0</v>
      </c>
      <c r="G79" s="213">
        <f>+$F23*$C23*IF(F79=F23,0,1)</f>
        <v>0</v>
      </c>
      <c r="H79" s="213">
        <f>+$F23*$C23*(IF(SUM($D79:G79)=$F23,0,1))</f>
        <v>0</v>
      </c>
      <c r="I79" s="213">
        <f>+$F23*$C23*(IF(SUM($D79:H79)=$F23,0,1))</f>
        <v>0</v>
      </c>
      <c r="J79" s="213">
        <f>+$F23*$C23*(IF(SUM($D79:I79)=$F23,0,1))</f>
        <v>0</v>
      </c>
      <c r="K79" s="213">
        <f>+$F23*$C23*(IF(SUM($D79:J79)=$F23,0,1))</f>
        <v>0</v>
      </c>
      <c r="L79" s="213">
        <f>+$F23*$C23*(IF(SUM($D79:K79)=$F23,0,1))</f>
        <v>0</v>
      </c>
      <c r="M79" s="213">
        <f>+$F23*$C23*(IF(SUM($D79:L79)=$F23,0,1))</f>
        <v>0</v>
      </c>
    </row>
    <row r="80" spans="2:13" x14ac:dyDescent="0.3">
      <c r="B80" s="198" t="str">
        <f t="shared" ref="B80:B88" si="14">+B67</f>
        <v>Impianti e Macchinari</v>
      </c>
      <c r="D80" s="213"/>
      <c r="E80" s="213"/>
      <c r="F80" s="213">
        <f>+$F24*$C24</f>
        <v>0</v>
      </c>
      <c r="G80" s="213">
        <f>+$F24*$C24*IF(F80=F24,0,1)</f>
        <v>0</v>
      </c>
      <c r="H80" s="213">
        <f>+$F24*$C24*(IF(SUM($D80:G80)=$F24,0,1))</f>
        <v>0</v>
      </c>
      <c r="I80" s="213">
        <f>+$F24*$C24*(IF(SUM($D80:H80)=$F24,0,1))</f>
        <v>0</v>
      </c>
      <c r="J80" s="213">
        <f>+$F24*$C24*(IF(SUM($D80:I80)=$F24,0,1))</f>
        <v>0</v>
      </c>
      <c r="K80" s="213">
        <f>+$F24*$C24*(IF(SUM($D80:J80)=$F24,0,1))</f>
        <v>0</v>
      </c>
      <c r="L80" s="213">
        <f>+$F24*$C24*(IF(SUM($D80:K80)=$F24,0,1))</f>
        <v>0</v>
      </c>
      <c r="M80" s="213">
        <f>+$F24*$C24*(IF(SUM($D80:L80)=$F24,0,1))</f>
        <v>0</v>
      </c>
    </row>
    <row r="81" spans="2:13" x14ac:dyDescent="0.3">
      <c r="B81" s="198" t="str">
        <f t="shared" si="14"/>
        <v>Attrezzature industriali e commerciali</v>
      </c>
      <c r="D81" s="213"/>
      <c r="E81" s="213"/>
      <c r="F81" s="213">
        <f>+$F25*$C25</f>
        <v>0</v>
      </c>
      <c r="G81" s="213">
        <f>+$F25*$C25*IF(F81=F25,0,1)</f>
        <v>0</v>
      </c>
      <c r="H81" s="213">
        <f>+$F25*$C25*(IF(SUM($D81:G81)=$F25,0,1))</f>
        <v>0</v>
      </c>
      <c r="I81" s="213">
        <f>+$F25*$C25*(IF(SUM($D81:H81)=$F25,0,1))</f>
        <v>0</v>
      </c>
      <c r="J81" s="213">
        <f>+$F25*$C25*(IF(SUM($D81:I81)=$F25,0,1))</f>
        <v>0</v>
      </c>
      <c r="K81" s="213">
        <f>+$F25*$C25*(IF(SUM($D81:J81)=$F25,0,1))</f>
        <v>0</v>
      </c>
      <c r="L81" s="213">
        <f>+$F25*$C25*(IF(SUM($D81:K81)=$F25,0,1))</f>
        <v>0</v>
      </c>
      <c r="M81" s="213">
        <f>+$F25*$C25*(IF(SUM($D81:L81)=$F25,0,1))</f>
        <v>0</v>
      </c>
    </row>
    <row r="82" spans="2:13" x14ac:dyDescent="0.3">
      <c r="B82" s="198" t="str">
        <f t="shared" si="14"/>
        <v>Altri beni</v>
      </c>
      <c r="D82" s="213"/>
      <c r="E82" s="213"/>
      <c r="F82" s="213">
        <f>+$F26*$C26</f>
        <v>0</v>
      </c>
      <c r="G82" s="213">
        <f>+$F26*$C26*IF(F82=F26,0,1)</f>
        <v>0</v>
      </c>
      <c r="H82" s="213">
        <f>+$F26*$C26*(IF(SUM($D82:G82)=$F26,0,1))</f>
        <v>0</v>
      </c>
      <c r="I82" s="213">
        <f>+$F26*$C26*(IF(SUM($D82:H82)=$F26,0,1))</f>
        <v>0</v>
      </c>
      <c r="J82" s="213">
        <f>+$F26*$C26*(IF(SUM($D82:I82)=$F26,0,1))</f>
        <v>0</v>
      </c>
      <c r="K82" s="213">
        <f>+$F26*$C26*(IF(SUM($D82:J82)=$F26,0,1))</f>
        <v>0</v>
      </c>
      <c r="L82" s="213">
        <f>+$F26*$C26*(IF(SUM($D82:K82)=$F26,0,1))</f>
        <v>0</v>
      </c>
      <c r="M82" s="213">
        <f>+$F26*$C26*(IF(SUM($D82:L82)=$F26,0,1))</f>
        <v>0</v>
      </c>
    </row>
    <row r="83" spans="2:13" x14ac:dyDescent="0.3">
      <c r="D83" s="84"/>
      <c r="E83" s="84"/>
      <c r="F83" s="84"/>
      <c r="G83" s="84"/>
      <c r="H83" s="84"/>
      <c r="I83" s="84"/>
      <c r="J83" s="84"/>
      <c r="K83" s="84"/>
      <c r="L83" s="84"/>
      <c r="M83" s="84"/>
    </row>
    <row r="84" spans="2:13" x14ac:dyDescent="0.3">
      <c r="D84" s="84"/>
      <c r="E84" s="84"/>
      <c r="F84" s="84"/>
      <c r="G84" s="84"/>
      <c r="H84" s="84"/>
      <c r="I84" s="84"/>
      <c r="J84" s="84"/>
      <c r="K84" s="84"/>
      <c r="L84" s="84"/>
      <c r="M84" s="84"/>
    </row>
    <row r="85" spans="2:13" x14ac:dyDescent="0.3">
      <c r="D85" s="84"/>
      <c r="E85" s="84"/>
      <c r="F85" s="84"/>
      <c r="G85" s="84"/>
      <c r="H85" s="84"/>
      <c r="I85" s="84"/>
      <c r="J85" s="84"/>
      <c r="K85" s="84"/>
      <c r="L85" s="84"/>
      <c r="M85" s="84"/>
    </row>
    <row r="86" spans="2:13" x14ac:dyDescent="0.3">
      <c r="B86" s="198" t="str">
        <f t="shared" si="14"/>
        <v>Costi d'impianto e ampliamento</v>
      </c>
      <c r="D86" s="213"/>
      <c r="E86" s="213"/>
      <c r="F86" s="213">
        <f>+$F30*$C30</f>
        <v>0</v>
      </c>
      <c r="G86" s="213">
        <f>+$F30*$C30*IF(F86=F30,0,1)</f>
        <v>0</v>
      </c>
      <c r="H86" s="213">
        <f>+$F30*$C30*(IF(SUM($D86:G86)=$F30,0,1))</f>
        <v>0</v>
      </c>
      <c r="I86" s="213">
        <f>+$F30*$C30*(IF(SUM($D86:H86)=$F30,0,1))</f>
        <v>0</v>
      </c>
      <c r="J86" s="213">
        <f>+$F30*$C30*(IF(SUM($D86:I86)=$F30,0,1))</f>
        <v>0</v>
      </c>
      <c r="K86" s="213">
        <f>+$F30*$C30*(IF(SUM($D86:J86)=$F30,0,1))</f>
        <v>0</v>
      </c>
      <c r="L86" s="213">
        <f>+$F30*$C30*(IF(SUM($D86:K86)=$F30,0,1))</f>
        <v>0</v>
      </c>
      <c r="M86" s="213">
        <f>+$F30*$C30*(IF(SUM($D86:L86)=$F30,0,1))</f>
        <v>0</v>
      </c>
    </row>
    <row r="87" spans="2:13" x14ac:dyDescent="0.3">
      <c r="B87" s="198" t="str">
        <f t="shared" si="14"/>
        <v>Ricerca&amp; Sviluppo</v>
      </c>
      <c r="D87" s="213"/>
      <c r="E87" s="213"/>
      <c r="F87" s="213">
        <f>+$F31*$C31</f>
        <v>0</v>
      </c>
      <c r="G87" s="213">
        <f>+$F31*$C31*IF(F87=F31,0,1)</f>
        <v>0</v>
      </c>
      <c r="H87" s="213">
        <f>+$F31*$C31*(IF(SUM($D87:G87)=$F31,0,1))</f>
        <v>0</v>
      </c>
      <c r="I87" s="213">
        <f>+$F31*$C31*(IF(SUM($D87:H87)=$F31,0,1))</f>
        <v>0</v>
      </c>
      <c r="J87" s="213">
        <f>+$F31*$C31*(IF(SUM($D87:I87)=$F31,0,1))</f>
        <v>0</v>
      </c>
      <c r="K87" s="213">
        <f>+$F31*$C31*(IF(SUM($D87:J87)=$F31,0,1))</f>
        <v>0</v>
      </c>
      <c r="L87" s="213">
        <f>+$F31*$C31*(IF(SUM($D87:K87)=$F31,0,1))</f>
        <v>0</v>
      </c>
      <c r="M87" s="213">
        <f>+$F31*$C31*(IF(SUM($D87:L87)=$F31,0,1))</f>
        <v>0</v>
      </c>
    </row>
    <row r="88" spans="2:13" x14ac:dyDescent="0.3">
      <c r="B88" s="198" t="str">
        <f t="shared" si="14"/>
        <v>Altre immobilizzazioni immateriali</v>
      </c>
      <c r="D88" s="213"/>
      <c r="E88" s="213"/>
      <c r="F88" s="213">
        <f>+$F32*$C32</f>
        <v>0</v>
      </c>
      <c r="G88" s="213">
        <f>+$F32*$C32*IF(F88=F32,0,1)</f>
        <v>0</v>
      </c>
      <c r="H88" s="213">
        <f>+$F32*$C32*(IF(SUM($D88:G88)=$F32,0,1))</f>
        <v>0</v>
      </c>
      <c r="I88" s="213">
        <f>+$F32*$C32*(IF(SUM($D88:H88)=$F32,0,1))</f>
        <v>0</v>
      </c>
      <c r="J88" s="213">
        <f>+$F32*$C32*(IF(SUM($D88:I88)=$F32,0,1))</f>
        <v>0</v>
      </c>
      <c r="K88" s="213">
        <f>+$F32*$C32*(IF(SUM($D88:J88)=$F32,0,1))</f>
        <v>0</v>
      </c>
      <c r="L88" s="213">
        <f>+$F32*$C32*(IF(SUM($D88:K88)=$F32,0,1))</f>
        <v>0</v>
      </c>
      <c r="M88" s="213">
        <f>+$F32*$C32*(IF(SUM($D88:L88)=$F32,0,1))</f>
        <v>0</v>
      </c>
    </row>
    <row r="91" spans="2:13" x14ac:dyDescent="0.3">
      <c r="B91" s="192" t="s">
        <v>55</v>
      </c>
      <c r="D91" s="192">
        <f>+D78</f>
        <v>2017</v>
      </c>
      <c r="E91" s="192">
        <f t="shared" ref="E91:M91" si="15">+E78</f>
        <v>2018</v>
      </c>
      <c r="F91" s="192">
        <f t="shared" si="15"/>
        <v>2019</v>
      </c>
      <c r="G91" s="192">
        <f t="shared" si="15"/>
        <v>2020</v>
      </c>
      <c r="H91" s="192">
        <f t="shared" si="15"/>
        <v>2021</v>
      </c>
      <c r="I91" s="192">
        <f t="shared" si="15"/>
        <v>2022</v>
      </c>
      <c r="J91" s="192">
        <f t="shared" si="15"/>
        <v>2023</v>
      </c>
      <c r="K91" s="192">
        <f t="shared" si="15"/>
        <v>2024</v>
      </c>
      <c r="L91" s="192">
        <f t="shared" si="15"/>
        <v>2025</v>
      </c>
      <c r="M91" s="192">
        <f t="shared" si="15"/>
        <v>2026</v>
      </c>
    </row>
    <row r="92" spans="2:13" x14ac:dyDescent="0.3">
      <c r="B92" s="198" t="str">
        <f>+B79</f>
        <v>Fabbricati</v>
      </c>
      <c r="D92" s="213"/>
      <c r="E92" s="213"/>
      <c r="F92" s="213"/>
      <c r="G92" s="213">
        <f>+$G23*$C23</f>
        <v>0</v>
      </c>
      <c r="H92" s="213">
        <f>+$G23*$C23*IF(G92=G23,0,1)</f>
        <v>0</v>
      </c>
      <c r="I92" s="213">
        <f>+$G23*$C23*(IF(SUM($D92:H92)=$G23,0,1))</f>
        <v>0</v>
      </c>
      <c r="J92" s="213">
        <f>+$G23*$C23*(IF(SUM($D92:I92)=$G23,0,1))</f>
        <v>0</v>
      </c>
      <c r="K92" s="213">
        <f>+$G23*$C23*(IF(SUM($D92:J92)=$G23,0,1))</f>
        <v>0</v>
      </c>
      <c r="L92" s="213">
        <f>+$G23*$C23*(IF(SUM($D92:K92)=$G23,0,1))</f>
        <v>0</v>
      </c>
      <c r="M92" s="213">
        <f>+$G23*$C23*(IF(SUM($D92:L92)=$G23,0,1))</f>
        <v>0</v>
      </c>
    </row>
    <row r="93" spans="2:13" x14ac:dyDescent="0.3">
      <c r="B93" s="198" t="str">
        <f t="shared" ref="B93:B101" si="16">+B80</f>
        <v>Impianti e Macchinari</v>
      </c>
      <c r="D93" s="213"/>
      <c r="E93" s="213"/>
      <c r="F93" s="213"/>
      <c r="G93" s="213">
        <f>+$G24*$C24</f>
        <v>0</v>
      </c>
      <c r="H93" s="213">
        <f>+$G24*$C24*IF(G93=G24,0,1)</f>
        <v>0</v>
      </c>
      <c r="I93" s="213">
        <f>+$G24*$C24*(IF(SUM($D93:H93)=$G24,0,1))</f>
        <v>0</v>
      </c>
      <c r="J93" s="213">
        <f>+$G24*$C24*(IF(SUM($D93:I93)=$G24,0,1))</f>
        <v>0</v>
      </c>
      <c r="K93" s="213">
        <f>+$G24*$C24*(IF(SUM($D93:J93)=$G24,0,1))</f>
        <v>0</v>
      </c>
      <c r="L93" s="213">
        <f>+$G24*$C24*(IF(SUM($D93:K93)=$G24,0,1))</f>
        <v>0</v>
      </c>
      <c r="M93" s="213">
        <f>+$G24*$C24*(IF(SUM($D93:L93)=$G24,0,1))</f>
        <v>0</v>
      </c>
    </row>
    <row r="94" spans="2:13" x14ac:dyDescent="0.3">
      <c r="B94" s="198" t="str">
        <f t="shared" si="16"/>
        <v>Attrezzature industriali e commerciali</v>
      </c>
      <c r="D94" s="213"/>
      <c r="E94" s="213"/>
      <c r="F94" s="213"/>
      <c r="G94" s="213">
        <f>+$G25*$C25</f>
        <v>0</v>
      </c>
      <c r="H94" s="213">
        <f>+$G25*$C25*IF(G94=G25,0,1)</f>
        <v>0</v>
      </c>
      <c r="I94" s="213">
        <f>+$G25*$C25*(IF(SUM($D94:H94)=$G25,0,1))</f>
        <v>0</v>
      </c>
      <c r="J94" s="213">
        <f>+$G25*$C25*(IF(SUM($D94:I94)=$G25,0,1))</f>
        <v>0</v>
      </c>
      <c r="K94" s="213">
        <f>+$G25*$C25*(IF(SUM($D94:J94)=$G25,0,1))</f>
        <v>0</v>
      </c>
      <c r="L94" s="213">
        <f>+$G25*$C25*(IF(SUM($D94:K94)=$G25,0,1))</f>
        <v>0</v>
      </c>
      <c r="M94" s="213">
        <f>+$G25*$C25*(IF(SUM($D94:L94)=$G25,0,1))</f>
        <v>0</v>
      </c>
    </row>
    <row r="95" spans="2:13" x14ac:dyDescent="0.3">
      <c r="B95" s="198" t="str">
        <f t="shared" si="16"/>
        <v>Altri beni</v>
      </c>
      <c r="D95" s="213"/>
      <c r="E95" s="213"/>
      <c r="F95" s="213"/>
      <c r="G95" s="213">
        <f>+$G26*$C26</f>
        <v>0</v>
      </c>
      <c r="H95" s="213">
        <f>+$G26*$C26*IF(G95=G26,0,1)</f>
        <v>0</v>
      </c>
      <c r="I95" s="213">
        <f>+$G26*$C26*(IF(SUM($D95:H95)=$G26,0,1))</f>
        <v>0</v>
      </c>
      <c r="J95" s="213">
        <f>+$G26*$C26*(IF(SUM($D95:I95)=$G26,0,1))</f>
        <v>0</v>
      </c>
      <c r="K95" s="213">
        <f>+$G26*$C26*(IF(SUM($D95:J95)=$G26,0,1))</f>
        <v>0</v>
      </c>
      <c r="L95" s="213">
        <f>+$G26*$C26*(IF(SUM($D95:K95)=$G26,0,1))</f>
        <v>0</v>
      </c>
      <c r="M95" s="213">
        <f>+$G26*$C26*(IF(SUM($D95:L95)=$G26,0,1))</f>
        <v>0</v>
      </c>
    </row>
    <row r="96" spans="2:13" x14ac:dyDescent="0.3">
      <c r="D96" s="84"/>
      <c r="E96" s="84"/>
      <c r="F96" s="84"/>
      <c r="G96" s="84"/>
      <c r="H96" s="84"/>
      <c r="I96" s="84"/>
      <c r="J96" s="84"/>
      <c r="K96" s="84"/>
      <c r="L96" s="84"/>
      <c r="M96" s="84"/>
    </row>
    <row r="97" spans="2:13" x14ac:dyDescent="0.3">
      <c r="D97" s="84"/>
      <c r="E97" s="84"/>
      <c r="F97" s="84"/>
      <c r="G97" s="84"/>
      <c r="H97" s="84"/>
      <c r="I97" s="84"/>
      <c r="J97" s="84"/>
      <c r="K97" s="84"/>
      <c r="L97" s="84"/>
      <c r="M97" s="84"/>
    </row>
    <row r="98" spans="2:13" x14ac:dyDescent="0.3">
      <c r="D98" s="84"/>
      <c r="E98" s="84"/>
      <c r="F98" s="84"/>
      <c r="G98" s="84"/>
      <c r="H98" s="84"/>
      <c r="I98" s="84"/>
      <c r="J98" s="84"/>
      <c r="K98" s="84"/>
      <c r="L98" s="84"/>
      <c r="M98" s="84"/>
    </row>
    <row r="99" spans="2:13" x14ac:dyDescent="0.3">
      <c r="B99" s="198" t="str">
        <f t="shared" si="16"/>
        <v>Costi d'impianto e ampliamento</v>
      </c>
      <c r="D99" s="213"/>
      <c r="E99" s="213"/>
      <c r="F99" s="213"/>
      <c r="G99" s="213">
        <f>+$G30*$C30</f>
        <v>0</v>
      </c>
      <c r="H99" s="213">
        <f>+$G30*$C30*IF(G99=G30,0,1)</f>
        <v>0</v>
      </c>
      <c r="I99" s="213">
        <f>+$G30*$C30*(IF(SUM($D99:H99)=$G30,0,1))</f>
        <v>0</v>
      </c>
      <c r="J99" s="213">
        <f>+$G30*$C30*(IF(SUM($D99:I99)=$G30,0,1))</f>
        <v>0</v>
      </c>
      <c r="K99" s="213">
        <f>+$G30*$C30*(IF(SUM($D99:J99)=$G30,0,1))</f>
        <v>0</v>
      </c>
      <c r="L99" s="213">
        <f>+$G30*$C30*(IF(SUM($D99:K99)=$G30,0,1))</f>
        <v>0</v>
      </c>
      <c r="M99" s="213">
        <f>+$G30*$C30*(IF(SUM($D99:L99)=$G30,0,1))</f>
        <v>0</v>
      </c>
    </row>
    <row r="100" spans="2:13" x14ac:dyDescent="0.3">
      <c r="B100" s="198" t="str">
        <f t="shared" si="16"/>
        <v>Ricerca&amp; Sviluppo</v>
      </c>
      <c r="D100" s="213"/>
      <c r="E100" s="213"/>
      <c r="F100" s="213"/>
      <c r="G100" s="213">
        <f>+$G31*$C31</f>
        <v>0</v>
      </c>
      <c r="H100" s="213">
        <f>+$G31*$C31*IF(G100=G31,0,1)</f>
        <v>0</v>
      </c>
      <c r="I100" s="213">
        <f>+$G31*$C31*(IF(SUM($D100:H100)=$G31,0,1))</f>
        <v>0</v>
      </c>
      <c r="J100" s="213">
        <f>+$G31*$C31*(IF(SUM($D100:I100)=$G31,0,1))</f>
        <v>0</v>
      </c>
      <c r="K100" s="213">
        <f>+$G31*$C31*(IF(SUM($D100:J100)=$G31,0,1))</f>
        <v>0</v>
      </c>
      <c r="L100" s="213">
        <f>+$G31*$C31*(IF(SUM($D100:K100)=$G31,0,1))</f>
        <v>0</v>
      </c>
      <c r="M100" s="213">
        <f>+$G31*$C31*(IF(SUM($D100:L100)=$G31,0,1))</f>
        <v>0</v>
      </c>
    </row>
    <row r="101" spans="2:13" x14ac:dyDescent="0.3">
      <c r="B101" s="198" t="str">
        <f t="shared" si="16"/>
        <v>Altre immobilizzazioni immateriali</v>
      </c>
      <c r="D101" s="213"/>
      <c r="E101" s="213"/>
      <c r="F101" s="213"/>
      <c r="G101" s="213">
        <f>+$G32*$C32</f>
        <v>0</v>
      </c>
      <c r="H101" s="213">
        <f>+$G32*$C32*IF(G101=G32,0,1)</f>
        <v>0</v>
      </c>
      <c r="I101" s="213">
        <f>+$G32*$C32*(IF(SUM($D101:H101)=$G32,0,1))</f>
        <v>0</v>
      </c>
      <c r="J101" s="213">
        <f>+$G32*$C32*(IF(SUM($D101:I101)=$G32,0,1))</f>
        <v>0</v>
      </c>
      <c r="K101" s="213">
        <f>+$G32*$C32*(IF(SUM($D101:J101)=$G32,0,1))</f>
        <v>0</v>
      </c>
      <c r="L101" s="213">
        <f>+$G32*$C32*(IF(SUM($D101:K101)=$G32,0,1))</f>
        <v>0</v>
      </c>
      <c r="M101" s="213">
        <f>+$G32*$C32*(IF(SUM($D101:L101)=$G32,0,1))</f>
        <v>0</v>
      </c>
    </row>
    <row r="102" spans="2:13" x14ac:dyDescent="0.3">
      <c r="I102" s="84"/>
    </row>
    <row r="104" spans="2:13" x14ac:dyDescent="0.3">
      <c r="B104" s="192" t="s">
        <v>56</v>
      </c>
      <c r="D104" s="192">
        <f>+D91</f>
        <v>2017</v>
      </c>
      <c r="E104" s="192">
        <f t="shared" ref="E104:M104" si="17">+E91</f>
        <v>2018</v>
      </c>
      <c r="F104" s="192">
        <f t="shared" si="17"/>
        <v>2019</v>
      </c>
      <c r="G104" s="192">
        <f t="shared" si="17"/>
        <v>2020</v>
      </c>
      <c r="H104" s="192">
        <f t="shared" si="17"/>
        <v>2021</v>
      </c>
      <c r="I104" s="192">
        <f t="shared" si="17"/>
        <v>2022</v>
      </c>
      <c r="J104" s="192">
        <f t="shared" si="17"/>
        <v>2023</v>
      </c>
      <c r="K104" s="192">
        <f t="shared" si="17"/>
        <v>2024</v>
      </c>
      <c r="L104" s="192">
        <f t="shared" si="17"/>
        <v>2025</v>
      </c>
      <c r="M104" s="192">
        <f t="shared" si="17"/>
        <v>2026</v>
      </c>
    </row>
    <row r="105" spans="2:13" x14ac:dyDescent="0.3">
      <c r="B105" s="198" t="str">
        <f>+B92</f>
        <v>Fabbricati</v>
      </c>
      <c r="D105" s="213"/>
      <c r="E105" s="213"/>
      <c r="F105" s="213"/>
      <c r="G105" s="213"/>
      <c r="H105" s="213">
        <f>+$H23*$C23</f>
        <v>0</v>
      </c>
      <c r="I105" s="213">
        <f>+$H23*$C23*IF(H105=H23,0,1)</f>
        <v>0</v>
      </c>
      <c r="J105" s="213">
        <f>+$H23*$C23*(IF(SUM($D105:I105)=$H23,0,1))</f>
        <v>0</v>
      </c>
      <c r="K105" s="213">
        <f>+$H23*$C23*(IF(SUM($D105:J105)=$H23,0,1))</f>
        <v>0</v>
      </c>
      <c r="L105" s="213">
        <f>+$H23*$C23*(IF(SUM($D105:K105)=$H23,0,1))</f>
        <v>0</v>
      </c>
      <c r="M105" s="213">
        <f>+$H23*$C23*(IF(SUM($D105:L105)=$H23,0,1))</f>
        <v>0</v>
      </c>
    </row>
    <row r="106" spans="2:13" x14ac:dyDescent="0.3">
      <c r="B106" s="198" t="str">
        <f t="shared" ref="B106:B114" si="18">+B93</f>
        <v>Impianti e Macchinari</v>
      </c>
      <c r="D106" s="213"/>
      <c r="E106" s="213"/>
      <c r="F106" s="213"/>
      <c r="G106" s="213"/>
      <c r="H106" s="213">
        <f>+$H24*$C24</f>
        <v>0</v>
      </c>
      <c r="I106" s="213">
        <f>+$H24*$C24*IF(H106=H24,0,1)</f>
        <v>0</v>
      </c>
      <c r="J106" s="213">
        <f>+$H24*$C24*(IF(SUM($D106:I106)=$H24,0,1))</f>
        <v>0</v>
      </c>
      <c r="K106" s="213">
        <f>+$H24*$C24*(IF(SUM($D106:J106)=$H24,0,1))</f>
        <v>0</v>
      </c>
      <c r="L106" s="213">
        <f>+$H24*$C24*(IF(SUM($D106:K106)=$H24,0,1))</f>
        <v>0</v>
      </c>
      <c r="M106" s="213">
        <f>+$H24*$C24*(IF(SUM($D106:L106)=$H24,0,1))</f>
        <v>0</v>
      </c>
    </row>
    <row r="107" spans="2:13" x14ac:dyDescent="0.3">
      <c r="B107" s="198" t="str">
        <f t="shared" si="18"/>
        <v>Attrezzature industriali e commerciali</v>
      </c>
      <c r="D107" s="213"/>
      <c r="E107" s="213"/>
      <c r="F107" s="213"/>
      <c r="G107" s="213"/>
      <c r="H107" s="213">
        <f>+$H25*$C25</f>
        <v>0</v>
      </c>
      <c r="I107" s="213">
        <f>+$H25*$C25*IF(H107=H25,0,1)</f>
        <v>0</v>
      </c>
      <c r="J107" s="213">
        <f>+$H25*$C25*(IF(SUM($D107:I107)=$H25,0,1))</f>
        <v>0</v>
      </c>
      <c r="K107" s="213">
        <f>+$H25*$C25*(IF(SUM($D107:J107)=$H25,0,1))</f>
        <v>0</v>
      </c>
      <c r="L107" s="213">
        <f>+$H25*$C25*(IF(SUM($D107:K107)=$H25,0,1))</f>
        <v>0</v>
      </c>
      <c r="M107" s="213">
        <f>+$H25*$C25*(IF(SUM($D107:L107)=$H25,0,1))</f>
        <v>0</v>
      </c>
    </row>
    <row r="108" spans="2:13" x14ac:dyDescent="0.3">
      <c r="B108" s="198" t="str">
        <f t="shared" si="18"/>
        <v>Altri beni</v>
      </c>
      <c r="D108" s="213"/>
      <c r="E108" s="213"/>
      <c r="F108" s="213"/>
      <c r="G108" s="213"/>
      <c r="H108" s="213">
        <f>+$H26*$C26</f>
        <v>0</v>
      </c>
      <c r="I108" s="213">
        <f>+$H26*$C26*IF(H108=H26,0,1)</f>
        <v>0</v>
      </c>
      <c r="J108" s="213">
        <f>+$H26*$C26*(IF(SUM($D108:I108)=$H26,0,1))</f>
        <v>0</v>
      </c>
      <c r="K108" s="213">
        <f>+$H26*$C26*(IF(SUM($D108:J108)=$H26,0,1))</f>
        <v>0</v>
      </c>
      <c r="L108" s="213">
        <f>+$H26*$C26*(IF(SUM($D108:K108)=$H26,0,1))</f>
        <v>0</v>
      </c>
      <c r="M108" s="213">
        <f>+$H26*$C26*(IF(SUM($D108:L108)=$H26,0,1))</f>
        <v>0</v>
      </c>
    </row>
    <row r="109" spans="2:13" x14ac:dyDescent="0.3">
      <c r="D109" s="84"/>
      <c r="E109" s="84"/>
      <c r="F109" s="84"/>
      <c r="G109" s="84"/>
      <c r="H109" s="84"/>
      <c r="I109" s="84"/>
      <c r="J109" s="84"/>
      <c r="K109" s="84"/>
      <c r="L109" s="84"/>
      <c r="M109" s="84"/>
    </row>
    <row r="110" spans="2:13" x14ac:dyDescent="0.3">
      <c r="D110" s="84"/>
      <c r="E110" s="84"/>
      <c r="F110" s="84"/>
      <c r="G110" s="84"/>
      <c r="H110" s="84"/>
      <c r="I110" s="84"/>
      <c r="J110" s="84"/>
      <c r="K110" s="84"/>
      <c r="L110" s="84"/>
      <c r="M110" s="84"/>
    </row>
    <row r="111" spans="2:13" x14ac:dyDescent="0.3">
      <c r="D111" s="84"/>
      <c r="E111" s="84"/>
      <c r="F111" s="84"/>
      <c r="G111" s="84"/>
      <c r="H111" s="84"/>
      <c r="I111" s="84"/>
      <c r="J111" s="84"/>
      <c r="K111" s="84"/>
      <c r="L111" s="84"/>
      <c r="M111" s="84"/>
    </row>
    <row r="112" spans="2:13" x14ac:dyDescent="0.3">
      <c r="B112" s="198" t="str">
        <f t="shared" si="18"/>
        <v>Costi d'impianto e ampliamento</v>
      </c>
      <c r="D112" s="213"/>
      <c r="E112" s="213"/>
      <c r="F112" s="213"/>
      <c r="G112" s="213"/>
      <c r="H112" s="213">
        <f>+$H30*$C30</f>
        <v>0</v>
      </c>
      <c r="I112" s="213">
        <f>+$H30*$C30*IF(H112=H30,0,1)</f>
        <v>0</v>
      </c>
      <c r="J112" s="213">
        <f>+$H30*$C30*(IF(SUM($D112:I112)=$H30,0,1))</f>
        <v>0</v>
      </c>
      <c r="K112" s="213">
        <f>+$H30*$C30*(IF(SUM($D112:J112)=$H30,0,1))</f>
        <v>0</v>
      </c>
      <c r="L112" s="213">
        <f>+$H30*$C30*(IF(SUM($D112:K112)=$H30,0,1))</f>
        <v>0</v>
      </c>
      <c r="M112" s="213">
        <f>+$H30*$C30*(IF(SUM($D112:L112)=$H30,0,1))</f>
        <v>0</v>
      </c>
    </row>
    <row r="113" spans="2:13" x14ac:dyDescent="0.3">
      <c r="B113" s="198" t="str">
        <f t="shared" si="18"/>
        <v>Ricerca&amp; Sviluppo</v>
      </c>
      <c r="D113" s="213"/>
      <c r="E113" s="213"/>
      <c r="F113" s="213"/>
      <c r="G113" s="213"/>
      <c r="H113" s="213">
        <f>+$H31*$C31</f>
        <v>0</v>
      </c>
      <c r="I113" s="213">
        <f>+$H31*$C31*IF(H113=H31,0,1)</f>
        <v>0</v>
      </c>
      <c r="J113" s="213">
        <f>+$H31*$C31*(IF(SUM($D113:I113)=$H31,0,1))</f>
        <v>0</v>
      </c>
      <c r="K113" s="213">
        <f>+$H31*$C31*(IF(SUM($D113:J113)=$H31,0,1))</f>
        <v>0</v>
      </c>
      <c r="L113" s="213">
        <f>+$H31*$C31*(IF(SUM($D113:K113)=$H31,0,1))</f>
        <v>0</v>
      </c>
      <c r="M113" s="213">
        <f>+$H31*$C31*(IF(SUM($D113:L113)=$H31,0,1))</f>
        <v>0</v>
      </c>
    </row>
    <row r="114" spans="2:13" x14ac:dyDescent="0.3">
      <c r="B114" s="198" t="str">
        <f t="shared" si="18"/>
        <v>Altre immobilizzazioni immateriali</v>
      </c>
      <c r="D114" s="213"/>
      <c r="E114" s="213"/>
      <c r="F114" s="213"/>
      <c r="G114" s="213"/>
      <c r="H114" s="213">
        <f>+$H32*$C32</f>
        <v>0</v>
      </c>
      <c r="I114" s="213">
        <f>+$H32*$C32*IF(H114=H32,0,1)</f>
        <v>0</v>
      </c>
      <c r="J114" s="213">
        <f>+$H32*$C32*(IF(SUM($D114:I114)=$H32,0,1))</f>
        <v>0</v>
      </c>
      <c r="K114" s="213">
        <f>+$H32*$C32*(IF(SUM($D114:J114)=$H32,0,1))</f>
        <v>0</v>
      </c>
      <c r="L114" s="213">
        <f>+$H32*$C32*(IF(SUM($D114:K114)=$H32,0,1))</f>
        <v>0</v>
      </c>
      <c r="M114" s="213">
        <f>+$H32*$C32*(IF(SUM($D114:L114)=$H32,0,1))</f>
        <v>0</v>
      </c>
    </row>
    <row r="117" spans="2:13" x14ac:dyDescent="0.3">
      <c r="B117" s="192" t="s">
        <v>57</v>
      </c>
      <c r="D117" s="192">
        <f>+D104</f>
        <v>2017</v>
      </c>
      <c r="E117" s="192">
        <f t="shared" ref="E117:M117" si="19">+E104</f>
        <v>2018</v>
      </c>
      <c r="F117" s="192">
        <f t="shared" si="19"/>
        <v>2019</v>
      </c>
      <c r="G117" s="192">
        <f t="shared" si="19"/>
        <v>2020</v>
      </c>
      <c r="H117" s="192">
        <f t="shared" si="19"/>
        <v>2021</v>
      </c>
      <c r="I117" s="192">
        <f t="shared" si="19"/>
        <v>2022</v>
      </c>
      <c r="J117" s="192">
        <f t="shared" si="19"/>
        <v>2023</v>
      </c>
      <c r="K117" s="192">
        <f t="shared" si="19"/>
        <v>2024</v>
      </c>
      <c r="L117" s="192">
        <f t="shared" si="19"/>
        <v>2025</v>
      </c>
      <c r="M117" s="192">
        <f t="shared" si="19"/>
        <v>2026</v>
      </c>
    </row>
    <row r="118" spans="2:13" x14ac:dyDescent="0.3">
      <c r="B118" s="198" t="str">
        <f>+B105</f>
        <v>Fabbricati</v>
      </c>
      <c r="D118" s="213"/>
      <c r="E118" s="213"/>
      <c r="F118" s="213"/>
      <c r="G118" s="213"/>
      <c r="H118" s="213"/>
      <c r="I118" s="213">
        <f>+$I23*$C23</f>
        <v>0</v>
      </c>
      <c r="J118" s="213">
        <f>+$I23*$C23*IF(I118=I23,0,1)</f>
        <v>0</v>
      </c>
      <c r="K118" s="213">
        <f>+$I23*$C23*(IF(SUM($D118:J118)=$I23,0,1))</f>
        <v>0</v>
      </c>
      <c r="L118" s="213">
        <f>+$I23*$C23*(IF(SUM($D118:K118)=$I23,0,1))</f>
        <v>0</v>
      </c>
      <c r="M118" s="213">
        <f>+$I23*$C23*(IF(SUM($D118:L118)=$I23,0,1))</f>
        <v>0</v>
      </c>
    </row>
    <row r="119" spans="2:13" x14ac:dyDescent="0.3">
      <c r="B119" s="198" t="str">
        <f t="shared" ref="B119:B127" si="20">+B106</f>
        <v>Impianti e Macchinari</v>
      </c>
      <c r="D119" s="213"/>
      <c r="E119" s="213"/>
      <c r="F119" s="213"/>
      <c r="G119" s="213"/>
      <c r="H119" s="213"/>
      <c r="I119" s="213">
        <f>+$I24*$C24</f>
        <v>0</v>
      </c>
      <c r="J119" s="213">
        <f>+$I24*$C24*IF(I119=I24,0,1)</f>
        <v>0</v>
      </c>
      <c r="K119" s="213">
        <f>+$I24*$C24*(IF(SUM($D119:J119)=$I24,0,1))</f>
        <v>0</v>
      </c>
      <c r="L119" s="213">
        <f>+$I24*$C24*(IF(SUM($D119:K119)=$I24,0,1))</f>
        <v>0</v>
      </c>
      <c r="M119" s="213">
        <f>+$I24*$C24*(IF(SUM($D119:L119)=$I24,0,1))</f>
        <v>0</v>
      </c>
    </row>
    <row r="120" spans="2:13" x14ac:dyDescent="0.3">
      <c r="B120" s="198" t="str">
        <f t="shared" si="20"/>
        <v>Attrezzature industriali e commerciali</v>
      </c>
      <c r="D120" s="213"/>
      <c r="E120" s="213"/>
      <c r="F120" s="213"/>
      <c r="G120" s="213"/>
      <c r="H120" s="213"/>
      <c r="I120" s="213">
        <f>+$I25*$C25</f>
        <v>0</v>
      </c>
      <c r="J120" s="213">
        <f>+$I25*$C25*IF(I120=I25,0,1)</f>
        <v>0</v>
      </c>
      <c r="K120" s="213">
        <f>+$I25*$C25*(IF(SUM($D120:J120)=$I25,0,1))</f>
        <v>0</v>
      </c>
      <c r="L120" s="213">
        <f>+$I25*$C25*(IF(SUM($D120:K120)=$I25,0,1))</f>
        <v>0</v>
      </c>
      <c r="M120" s="213">
        <f>+$I25*$C25*(IF(SUM($D120:L120)=$I25,0,1))</f>
        <v>0</v>
      </c>
    </row>
    <row r="121" spans="2:13" x14ac:dyDescent="0.3">
      <c r="B121" s="198" t="str">
        <f t="shared" si="20"/>
        <v>Altri beni</v>
      </c>
      <c r="D121" s="213"/>
      <c r="E121" s="213"/>
      <c r="F121" s="213"/>
      <c r="G121" s="213"/>
      <c r="H121" s="213"/>
      <c r="I121" s="213">
        <f>+$I26*$C26</f>
        <v>0</v>
      </c>
      <c r="J121" s="213">
        <f>+$I26*$C26*IF(I121=I26,0,1)</f>
        <v>0</v>
      </c>
      <c r="K121" s="213">
        <f>+$I26*$C26*(IF(SUM($D121:J121)=$I26,0,1))</f>
        <v>0</v>
      </c>
      <c r="L121" s="213">
        <f>+$I26*$C26*(IF(SUM($D121:K121)=$I26,0,1))</f>
        <v>0</v>
      </c>
      <c r="M121" s="213">
        <f>+$I26*$C26*(IF(SUM($D121:L121)=$I26,0,1))</f>
        <v>0</v>
      </c>
    </row>
    <row r="122" spans="2:13" x14ac:dyDescent="0.3">
      <c r="D122" s="84"/>
      <c r="E122" s="84"/>
      <c r="F122" s="84"/>
      <c r="G122" s="84"/>
      <c r="H122" s="84"/>
      <c r="I122" s="84"/>
      <c r="J122" s="84"/>
      <c r="K122" s="84"/>
      <c r="L122" s="84"/>
      <c r="M122" s="84"/>
    </row>
    <row r="123" spans="2:13" x14ac:dyDescent="0.3">
      <c r="D123" s="84"/>
      <c r="E123" s="84"/>
      <c r="F123" s="84"/>
      <c r="G123" s="84"/>
      <c r="H123" s="84"/>
      <c r="I123" s="84"/>
      <c r="J123" s="84"/>
      <c r="K123" s="84"/>
      <c r="L123" s="84"/>
      <c r="M123" s="84"/>
    </row>
    <row r="124" spans="2:13" x14ac:dyDescent="0.3">
      <c r="D124" s="84"/>
      <c r="E124" s="84"/>
      <c r="F124" s="84"/>
      <c r="G124" s="84"/>
      <c r="H124" s="84"/>
      <c r="I124" s="84"/>
      <c r="J124" s="84"/>
      <c r="K124" s="84"/>
      <c r="L124" s="84"/>
      <c r="M124" s="84"/>
    </row>
    <row r="125" spans="2:13" x14ac:dyDescent="0.3">
      <c r="B125" s="198" t="str">
        <f t="shared" si="20"/>
        <v>Costi d'impianto e ampliamento</v>
      </c>
      <c r="D125" s="213"/>
      <c r="E125" s="213"/>
      <c r="F125" s="213"/>
      <c r="G125" s="213"/>
      <c r="H125" s="213"/>
      <c r="I125" s="213">
        <f>+$I30*$C30</f>
        <v>0</v>
      </c>
      <c r="J125" s="213">
        <f>+$I30*$C30*IF(I125=I30,0,1)</f>
        <v>0</v>
      </c>
      <c r="K125" s="213">
        <f>+$I30*$C30*(IF(SUM($D125:J125)=$I30,0,1))</f>
        <v>0</v>
      </c>
      <c r="L125" s="213">
        <f>+$I30*$C30*(IF(SUM($D125:K125)=$I30,0,1))</f>
        <v>0</v>
      </c>
      <c r="M125" s="213">
        <f>+$I30*$C30*(IF(SUM($D125:L125)=$I30,0,1))</f>
        <v>0</v>
      </c>
    </row>
    <row r="126" spans="2:13" x14ac:dyDescent="0.3">
      <c r="B126" s="198" t="str">
        <f t="shared" si="20"/>
        <v>Ricerca&amp; Sviluppo</v>
      </c>
      <c r="D126" s="213"/>
      <c r="E126" s="213"/>
      <c r="F126" s="213"/>
      <c r="G126" s="213"/>
      <c r="H126" s="213"/>
      <c r="I126" s="213">
        <f>+$I31*$C31</f>
        <v>0</v>
      </c>
      <c r="J126" s="213">
        <f>+$I31*$C31*IF(I126=I31,0,1)</f>
        <v>0</v>
      </c>
      <c r="K126" s="213">
        <f>+$I31*$C31*(IF(SUM($D126:J126)=$I31,0,1))</f>
        <v>0</v>
      </c>
      <c r="L126" s="213">
        <f>+$I31*$C31*(IF(SUM($D126:K126)=$I31,0,1))</f>
        <v>0</v>
      </c>
      <c r="M126" s="213">
        <f>+$I31*$C31*(IF(SUM($D126:L126)=$I31,0,1))</f>
        <v>0</v>
      </c>
    </row>
    <row r="127" spans="2:13" x14ac:dyDescent="0.3">
      <c r="B127" s="198" t="str">
        <f t="shared" si="20"/>
        <v>Altre immobilizzazioni immateriali</v>
      </c>
      <c r="D127" s="213"/>
      <c r="E127" s="213"/>
      <c r="F127" s="213"/>
      <c r="G127" s="213"/>
      <c r="H127" s="213"/>
      <c r="I127" s="213">
        <f>+$I32*$C32</f>
        <v>0</v>
      </c>
      <c r="J127" s="213">
        <f>+$I32*$C32*IF(I127=I32,0,1)</f>
        <v>0</v>
      </c>
      <c r="K127" s="213">
        <f>+$I32*$C32*(IF(SUM($D127:J127)=$I32,0,1))</f>
        <v>0</v>
      </c>
      <c r="L127" s="213">
        <f>+$I32*$C32*(IF(SUM($D127:K127)=$I32,0,1))</f>
        <v>0</v>
      </c>
      <c r="M127" s="213">
        <f>+$I32*$C32*(IF(SUM($D127:L127)=$I32,0,1))</f>
        <v>0</v>
      </c>
    </row>
    <row r="130" spans="2:13" x14ac:dyDescent="0.3">
      <c r="B130" s="192" t="s">
        <v>58</v>
      </c>
      <c r="D130" s="192">
        <f>+D117</f>
        <v>2017</v>
      </c>
      <c r="E130" s="192">
        <f t="shared" ref="E130:M130" si="21">+E117</f>
        <v>2018</v>
      </c>
      <c r="F130" s="192">
        <f t="shared" si="21"/>
        <v>2019</v>
      </c>
      <c r="G130" s="192">
        <f t="shared" si="21"/>
        <v>2020</v>
      </c>
      <c r="H130" s="192">
        <f t="shared" si="21"/>
        <v>2021</v>
      </c>
      <c r="I130" s="192">
        <f t="shared" si="21"/>
        <v>2022</v>
      </c>
      <c r="J130" s="192">
        <f t="shared" si="21"/>
        <v>2023</v>
      </c>
      <c r="K130" s="192">
        <f t="shared" si="21"/>
        <v>2024</v>
      </c>
      <c r="L130" s="192">
        <f t="shared" si="21"/>
        <v>2025</v>
      </c>
      <c r="M130" s="192">
        <f t="shared" si="21"/>
        <v>2026</v>
      </c>
    </row>
    <row r="131" spans="2:13" x14ac:dyDescent="0.3">
      <c r="B131" s="198" t="str">
        <f>+B118</f>
        <v>Fabbricati</v>
      </c>
      <c r="D131" s="213"/>
      <c r="E131" s="213"/>
      <c r="F131" s="213"/>
      <c r="G131" s="213"/>
      <c r="H131" s="213"/>
      <c r="I131" s="213"/>
      <c r="J131" s="213">
        <f>+$J23*$C23</f>
        <v>0</v>
      </c>
      <c r="K131" s="213">
        <f>+$J23*$C23*IF(J131=J23,0,1)</f>
        <v>0</v>
      </c>
      <c r="L131" s="213">
        <f>+$J23*$C23*(IF(SUM($D131:K131)=$I23,0,1))</f>
        <v>0</v>
      </c>
      <c r="M131" s="213">
        <f>+$J23*$C23*(IF(SUM($D131:L131)=$I23,0,1))</f>
        <v>0</v>
      </c>
    </row>
    <row r="132" spans="2:13" x14ac:dyDescent="0.3">
      <c r="B132" s="198" t="str">
        <f t="shared" ref="B132:B140" si="22">+B119</f>
        <v>Impianti e Macchinari</v>
      </c>
      <c r="D132" s="213"/>
      <c r="E132" s="213"/>
      <c r="F132" s="213"/>
      <c r="G132" s="213"/>
      <c r="H132" s="213"/>
      <c r="I132" s="213"/>
      <c r="J132" s="213">
        <f>+$J24*$C24</f>
        <v>0</v>
      </c>
      <c r="K132" s="213">
        <f>+$J24*$C24*IF(J132=J24,0,1)</f>
        <v>0</v>
      </c>
      <c r="L132" s="213">
        <f>+$J24*$C24*(IF(SUM($D132:K132)=$I24,0,1))</f>
        <v>0</v>
      </c>
      <c r="M132" s="213">
        <f>+$J24*$C24*(IF(SUM($D132:L132)=$I24,0,1))</f>
        <v>0</v>
      </c>
    </row>
    <row r="133" spans="2:13" x14ac:dyDescent="0.3">
      <c r="B133" s="198" t="str">
        <f t="shared" si="22"/>
        <v>Attrezzature industriali e commerciali</v>
      </c>
      <c r="D133" s="213"/>
      <c r="E133" s="213"/>
      <c r="F133" s="213"/>
      <c r="G133" s="213"/>
      <c r="H133" s="213"/>
      <c r="I133" s="213"/>
      <c r="J133" s="213">
        <f>+$J25*$C25</f>
        <v>0</v>
      </c>
      <c r="K133" s="213">
        <f>+$J25*$C25*IF(J133=J25,0,1)</f>
        <v>0</v>
      </c>
      <c r="L133" s="213">
        <f>+$J25*$C25*(IF(SUM($D133:K133)=$I25,0,1))</f>
        <v>0</v>
      </c>
      <c r="M133" s="213">
        <f>+$J25*$C25*(IF(SUM($D133:L133)=$I25,0,1))</f>
        <v>0</v>
      </c>
    </row>
    <row r="134" spans="2:13" x14ac:dyDescent="0.3">
      <c r="B134" s="198" t="str">
        <f t="shared" si="22"/>
        <v>Altri beni</v>
      </c>
      <c r="D134" s="213"/>
      <c r="E134" s="213"/>
      <c r="F134" s="213"/>
      <c r="G134" s="213"/>
      <c r="H134" s="213"/>
      <c r="I134" s="213"/>
      <c r="J134" s="213">
        <f>+$J26*$C26</f>
        <v>0</v>
      </c>
      <c r="K134" s="213">
        <f>+$J26*$C26*IF(J134=J26,0,1)</f>
        <v>0</v>
      </c>
      <c r="L134" s="213">
        <f>+$J26*$C26*(IF(SUM($D134:K134)=$I26,0,1))</f>
        <v>0</v>
      </c>
      <c r="M134" s="213">
        <f>+$J26*$C26*(IF(SUM($D134:L134)=$I26,0,1))</f>
        <v>0</v>
      </c>
    </row>
    <row r="135" spans="2:13" x14ac:dyDescent="0.3">
      <c r="D135" s="84"/>
      <c r="E135" s="84"/>
      <c r="F135" s="84"/>
      <c r="G135" s="84"/>
      <c r="H135" s="84"/>
      <c r="I135" s="84"/>
      <c r="J135" s="84"/>
      <c r="K135" s="84"/>
      <c r="L135" s="84"/>
      <c r="M135" s="84"/>
    </row>
    <row r="136" spans="2:13" x14ac:dyDescent="0.3">
      <c r="D136" s="84"/>
      <c r="E136" s="84"/>
      <c r="F136" s="84"/>
      <c r="G136" s="84"/>
      <c r="H136" s="84"/>
      <c r="I136" s="84"/>
      <c r="J136" s="84"/>
      <c r="K136" s="84"/>
      <c r="L136" s="84"/>
      <c r="M136" s="84"/>
    </row>
    <row r="137" spans="2:13" x14ac:dyDescent="0.3">
      <c r="D137" s="84"/>
      <c r="E137" s="84"/>
      <c r="F137" s="84"/>
      <c r="G137" s="84"/>
      <c r="H137" s="84"/>
      <c r="I137" s="84"/>
      <c r="J137" s="84"/>
      <c r="K137" s="84"/>
      <c r="L137" s="84"/>
      <c r="M137" s="84"/>
    </row>
    <row r="138" spans="2:13" x14ac:dyDescent="0.3">
      <c r="B138" s="198" t="str">
        <f t="shared" si="22"/>
        <v>Costi d'impianto e ampliamento</v>
      </c>
      <c r="D138" s="213"/>
      <c r="E138" s="213"/>
      <c r="F138" s="213"/>
      <c r="G138" s="213"/>
      <c r="H138" s="213"/>
      <c r="I138" s="213"/>
      <c r="J138" s="213">
        <f>+$J30*$C30</f>
        <v>0</v>
      </c>
      <c r="K138" s="213">
        <f>+$J30*$C30*IF(J138=J30,0,1)</f>
        <v>0</v>
      </c>
      <c r="L138" s="213">
        <f>+$J30*$C30*(IF(SUM($D138:K138)=$I30,0,1))</f>
        <v>0</v>
      </c>
      <c r="M138" s="213">
        <f>+$J30*$C30*(IF(SUM($D138:L138)=$I30,0,1))</f>
        <v>0</v>
      </c>
    </row>
    <row r="139" spans="2:13" x14ac:dyDescent="0.3">
      <c r="B139" s="198" t="str">
        <f t="shared" si="22"/>
        <v>Ricerca&amp; Sviluppo</v>
      </c>
      <c r="D139" s="213"/>
      <c r="E139" s="213"/>
      <c r="F139" s="213"/>
      <c r="G139" s="213"/>
      <c r="H139" s="213"/>
      <c r="I139" s="213"/>
      <c r="J139" s="213">
        <f>+$J31*$C31</f>
        <v>0</v>
      </c>
      <c r="K139" s="213">
        <f>+$J31*$C31*IF(J139=J31,0,1)</f>
        <v>0</v>
      </c>
      <c r="L139" s="213">
        <f>+$J31*$C31*(IF(SUM($D139:K139)=$I31,0,1))</f>
        <v>0</v>
      </c>
      <c r="M139" s="213">
        <f>+$J31*$C31*(IF(SUM($D139:L139)=$I31,0,1))</f>
        <v>0</v>
      </c>
    </row>
    <row r="140" spans="2:13" x14ac:dyDescent="0.3">
      <c r="B140" s="198" t="str">
        <f t="shared" si="22"/>
        <v>Altre immobilizzazioni immateriali</v>
      </c>
      <c r="D140" s="213"/>
      <c r="E140" s="213"/>
      <c r="F140" s="213"/>
      <c r="G140" s="213"/>
      <c r="H140" s="213"/>
      <c r="I140" s="213"/>
      <c r="J140" s="213">
        <f>+$J32*$C32</f>
        <v>0</v>
      </c>
      <c r="K140" s="213">
        <f>+$J32*$C32*IF(J140=J32,0,1)</f>
        <v>0</v>
      </c>
      <c r="L140" s="213">
        <f>+$J32*$C32*(IF(SUM($D140:K140)=$I32,0,1))</f>
        <v>0</v>
      </c>
      <c r="M140" s="213">
        <f>+$J32*$C32*(IF(SUM($D140:L140)=$I32,0,1))</f>
        <v>0</v>
      </c>
    </row>
    <row r="143" spans="2:13" x14ac:dyDescent="0.3">
      <c r="B143" s="192" t="s">
        <v>59</v>
      </c>
      <c r="D143" s="192">
        <f>+D130</f>
        <v>2017</v>
      </c>
      <c r="E143" s="192">
        <f t="shared" ref="E143:M143" si="23">+E130</f>
        <v>2018</v>
      </c>
      <c r="F143" s="192">
        <f t="shared" si="23"/>
        <v>2019</v>
      </c>
      <c r="G143" s="192">
        <f t="shared" si="23"/>
        <v>2020</v>
      </c>
      <c r="H143" s="192">
        <f t="shared" si="23"/>
        <v>2021</v>
      </c>
      <c r="I143" s="192">
        <f t="shared" si="23"/>
        <v>2022</v>
      </c>
      <c r="J143" s="192">
        <f t="shared" si="23"/>
        <v>2023</v>
      </c>
      <c r="K143" s="192">
        <f t="shared" si="23"/>
        <v>2024</v>
      </c>
      <c r="L143" s="192">
        <f t="shared" si="23"/>
        <v>2025</v>
      </c>
      <c r="M143" s="192">
        <f t="shared" si="23"/>
        <v>2026</v>
      </c>
    </row>
    <row r="144" spans="2:13" x14ac:dyDescent="0.3">
      <c r="B144" s="198" t="str">
        <f>+B131</f>
        <v>Fabbricati</v>
      </c>
      <c r="D144" s="213"/>
      <c r="E144" s="213"/>
      <c r="F144" s="213"/>
      <c r="G144" s="213"/>
      <c r="H144" s="213"/>
      <c r="I144" s="213"/>
      <c r="J144" s="213"/>
      <c r="K144" s="213">
        <f>+$K23*$C23</f>
        <v>0</v>
      </c>
      <c r="L144" s="213">
        <f t="shared" ref="L144:M147" si="24">+$K23*$C23*IF(K144=K23,0,1)</f>
        <v>0</v>
      </c>
      <c r="M144" s="213">
        <f t="shared" si="24"/>
        <v>0</v>
      </c>
    </row>
    <row r="145" spans="2:13" x14ac:dyDescent="0.3">
      <c r="B145" s="198" t="str">
        <f t="shared" ref="B145:B153" si="25">+B132</f>
        <v>Impianti e Macchinari</v>
      </c>
      <c r="D145" s="213"/>
      <c r="E145" s="213"/>
      <c r="F145" s="213"/>
      <c r="G145" s="213"/>
      <c r="H145" s="213"/>
      <c r="I145" s="213"/>
      <c r="J145" s="213"/>
      <c r="K145" s="213">
        <f>+$K24*$C24</f>
        <v>0</v>
      </c>
      <c r="L145" s="213">
        <f t="shared" si="24"/>
        <v>0</v>
      </c>
      <c r="M145" s="213">
        <f t="shared" si="24"/>
        <v>0</v>
      </c>
    </row>
    <row r="146" spans="2:13" x14ac:dyDescent="0.3">
      <c r="B146" s="198" t="str">
        <f t="shared" si="25"/>
        <v>Attrezzature industriali e commerciali</v>
      </c>
      <c r="D146" s="213"/>
      <c r="E146" s="213"/>
      <c r="F146" s="213"/>
      <c r="G146" s="213"/>
      <c r="H146" s="213"/>
      <c r="I146" s="213"/>
      <c r="J146" s="213"/>
      <c r="K146" s="213">
        <f>+$K25*$C25</f>
        <v>0</v>
      </c>
      <c r="L146" s="213">
        <f t="shared" si="24"/>
        <v>0</v>
      </c>
      <c r="M146" s="213">
        <f t="shared" si="24"/>
        <v>0</v>
      </c>
    </row>
    <row r="147" spans="2:13" x14ac:dyDescent="0.3">
      <c r="B147" s="198" t="str">
        <f t="shared" si="25"/>
        <v>Altri beni</v>
      </c>
      <c r="D147" s="213"/>
      <c r="E147" s="213"/>
      <c r="F147" s="213"/>
      <c r="G147" s="213"/>
      <c r="H147" s="213"/>
      <c r="I147" s="213"/>
      <c r="J147" s="213"/>
      <c r="K147" s="213">
        <f>+$K26*$C26</f>
        <v>0</v>
      </c>
      <c r="L147" s="213">
        <f t="shared" si="24"/>
        <v>0</v>
      </c>
      <c r="M147" s="213">
        <f t="shared" si="24"/>
        <v>0</v>
      </c>
    </row>
    <row r="148" spans="2:13" x14ac:dyDescent="0.3">
      <c r="D148" s="84"/>
      <c r="E148" s="84"/>
      <c r="F148" s="84"/>
      <c r="G148" s="84"/>
      <c r="H148" s="84"/>
      <c r="I148" s="84"/>
      <c r="J148" s="84"/>
      <c r="K148" s="84"/>
      <c r="L148" s="84"/>
      <c r="M148" s="84"/>
    </row>
    <row r="149" spans="2:13" x14ac:dyDescent="0.3">
      <c r="D149" s="84"/>
      <c r="E149" s="84"/>
      <c r="F149" s="84"/>
      <c r="G149" s="84"/>
      <c r="H149" s="84"/>
      <c r="I149" s="84"/>
      <c r="J149" s="84"/>
      <c r="K149" s="84"/>
      <c r="L149" s="84"/>
      <c r="M149" s="84"/>
    </row>
    <row r="150" spans="2:13" x14ac:dyDescent="0.3">
      <c r="D150" s="84"/>
      <c r="E150" s="84"/>
      <c r="F150" s="84"/>
      <c r="G150" s="84"/>
      <c r="H150" s="84"/>
      <c r="I150" s="84"/>
      <c r="J150" s="84"/>
      <c r="K150" s="84"/>
      <c r="L150" s="84"/>
      <c r="M150" s="84"/>
    </row>
    <row r="151" spans="2:13" x14ac:dyDescent="0.3">
      <c r="B151" s="198" t="str">
        <f t="shared" si="25"/>
        <v>Costi d'impianto e ampliamento</v>
      </c>
      <c r="D151" s="213"/>
      <c r="E151" s="213"/>
      <c r="F151" s="213"/>
      <c r="G151" s="213"/>
      <c r="H151" s="213"/>
      <c r="I151" s="213"/>
      <c r="J151" s="213"/>
      <c r="K151" s="213">
        <f>+$K30*$C30</f>
        <v>0</v>
      </c>
      <c r="L151" s="213">
        <f t="shared" ref="L151:M153" si="26">+$K30*$C30*IF(K151=K30,0,1)</f>
        <v>0</v>
      </c>
      <c r="M151" s="213">
        <f t="shared" si="26"/>
        <v>0</v>
      </c>
    </row>
    <row r="152" spans="2:13" x14ac:dyDescent="0.3">
      <c r="B152" s="198" t="str">
        <f t="shared" si="25"/>
        <v>Ricerca&amp; Sviluppo</v>
      </c>
      <c r="D152" s="213"/>
      <c r="E152" s="213"/>
      <c r="F152" s="213"/>
      <c r="G152" s="213"/>
      <c r="H152" s="213"/>
      <c r="I152" s="213"/>
      <c r="J152" s="213"/>
      <c r="K152" s="213">
        <f>+$K31*$C31</f>
        <v>0</v>
      </c>
      <c r="L152" s="213">
        <f t="shared" si="26"/>
        <v>0</v>
      </c>
      <c r="M152" s="213">
        <f t="shared" si="26"/>
        <v>0</v>
      </c>
    </row>
    <row r="153" spans="2:13" x14ac:dyDescent="0.3">
      <c r="B153" s="198" t="str">
        <f t="shared" si="25"/>
        <v>Altre immobilizzazioni immateriali</v>
      </c>
      <c r="D153" s="213"/>
      <c r="E153" s="213"/>
      <c r="F153" s="213"/>
      <c r="G153" s="213"/>
      <c r="H153" s="213"/>
      <c r="I153" s="213"/>
      <c r="J153" s="213"/>
      <c r="K153" s="213">
        <f>+$K32*$C32</f>
        <v>0</v>
      </c>
      <c r="L153" s="213">
        <f t="shared" si="26"/>
        <v>0</v>
      </c>
      <c r="M153" s="213">
        <f t="shared" si="26"/>
        <v>0</v>
      </c>
    </row>
    <row r="156" spans="2:13" x14ac:dyDescent="0.3">
      <c r="B156" s="192" t="s">
        <v>60</v>
      </c>
      <c r="D156" s="192">
        <f>+D143</f>
        <v>2017</v>
      </c>
      <c r="E156" s="192">
        <f t="shared" ref="E156:M156" si="27">+E143</f>
        <v>2018</v>
      </c>
      <c r="F156" s="192">
        <f t="shared" si="27"/>
        <v>2019</v>
      </c>
      <c r="G156" s="192">
        <f t="shared" si="27"/>
        <v>2020</v>
      </c>
      <c r="H156" s="192">
        <f t="shared" si="27"/>
        <v>2021</v>
      </c>
      <c r="I156" s="192">
        <f t="shared" si="27"/>
        <v>2022</v>
      </c>
      <c r="J156" s="192">
        <f t="shared" si="27"/>
        <v>2023</v>
      </c>
      <c r="K156" s="192">
        <f t="shared" si="27"/>
        <v>2024</v>
      </c>
      <c r="L156" s="192">
        <f t="shared" si="27"/>
        <v>2025</v>
      </c>
      <c r="M156" s="192">
        <f t="shared" si="27"/>
        <v>2026</v>
      </c>
    </row>
    <row r="157" spans="2:13" x14ac:dyDescent="0.3">
      <c r="B157" s="198" t="str">
        <f>+B144</f>
        <v>Fabbricati</v>
      </c>
      <c r="D157" s="213"/>
      <c r="E157" s="213"/>
      <c r="F157" s="213"/>
      <c r="G157" s="213"/>
      <c r="H157" s="213"/>
      <c r="I157" s="213"/>
      <c r="J157" s="213"/>
      <c r="K157" s="213"/>
      <c r="L157" s="213">
        <f>+$L23*$C23</f>
        <v>0</v>
      </c>
      <c r="M157" s="213">
        <f>+$L23*$C23*IF(L157=L23,0,1)</f>
        <v>0</v>
      </c>
    </row>
    <row r="158" spans="2:13" x14ac:dyDescent="0.3">
      <c r="B158" s="198" t="str">
        <f t="shared" ref="B158:B166" si="28">+B145</f>
        <v>Impianti e Macchinari</v>
      </c>
      <c r="D158" s="213"/>
      <c r="E158" s="213"/>
      <c r="F158" s="213"/>
      <c r="G158" s="213"/>
      <c r="H158" s="213"/>
      <c r="I158" s="213"/>
      <c r="J158" s="213"/>
      <c r="K158" s="213"/>
      <c r="L158" s="213">
        <f>+$L24*$C24</f>
        <v>0</v>
      </c>
      <c r="M158" s="213">
        <f>+$L24*$C24*IF(L158=L24,0,1)</f>
        <v>0</v>
      </c>
    </row>
    <row r="159" spans="2:13" x14ac:dyDescent="0.3">
      <c r="B159" s="198" t="str">
        <f t="shared" si="28"/>
        <v>Attrezzature industriali e commerciali</v>
      </c>
      <c r="D159" s="213"/>
      <c r="E159" s="213"/>
      <c r="F159" s="213"/>
      <c r="G159" s="213"/>
      <c r="H159" s="213"/>
      <c r="I159" s="213"/>
      <c r="J159" s="213"/>
      <c r="K159" s="213"/>
      <c r="L159" s="213">
        <f>+$L25*$C25</f>
        <v>0</v>
      </c>
      <c r="M159" s="213">
        <f>+$L25*$C25*IF(L159=L25,0,1)</f>
        <v>0</v>
      </c>
    </row>
    <row r="160" spans="2:13" x14ac:dyDescent="0.3">
      <c r="B160" s="198" t="str">
        <f t="shared" si="28"/>
        <v>Altri beni</v>
      </c>
      <c r="D160" s="213"/>
      <c r="E160" s="213"/>
      <c r="F160" s="213"/>
      <c r="G160" s="213"/>
      <c r="H160" s="213"/>
      <c r="I160" s="213"/>
      <c r="J160" s="213"/>
      <c r="K160" s="213"/>
      <c r="L160" s="213">
        <f>+$L26*$C26</f>
        <v>0</v>
      </c>
      <c r="M160" s="213">
        <f>+$L26*$C26*IF(L160=L26,0,1)</f>
        <v>0</v>
      </c>
    </row>
    <row r="161" spans="2:13" x14ac:dyDescent="0.3">
      <c r="D161" s="84"/>
      <c r="E161" s="84"/>
      <c r="F161" s="84"/>
      <c r="G161" s="84"/>
      <c r="H161" s="84"/>
      <c r="I161" s="84"/>
      <c r="J161" s="84"/>
      <c r="K161" s="84"/>
      <c r="L161" s="84"/>
      <c r="M161" s="84"/>
    </row>
    <row r="162" spans="2:13" x14ac:dyDescent="0.3">
      <c r="D162" s="84"/>
      <c r="E162" s="84"/>
      <c r="F162" s="84"/>
      <c r="G162" s="84"/>
      <c r="H162" s="84"/>
      <c r="I162" s="84"/>
      <c r="J162" s="84"/>
      <c r="K162" s="84"/>
      <c r="L162" s="84"/>
      <c r="M162" s="84"/>
    </row>
    <row r="163" spans="2:13" x14ac:dyDescent="0.3">
      <c r="D163" s="84"/>
      <c r="E163" s="84"/>
      <c r="F163" s="84"/>
      <c r="G163" s="84"/>
      <c r="H163" s="84"/>
      <c r="I163" s="84"/>
      <c r="J163" s="84"/>
      <c r="K163" s="84"/>
      <c r="L163" s="84"/>
      <c r="M163" s="84"/>
    </row>
    <row r="164" spans="2:13" x14ac:dyDescent="0.3">
      <c r="B164" s="198" t="str">
        <f t="shared" si="28"/>
        <v>Costi d'impianto e ampliamento</v>
      </c>
      <c r="D164" s="213"/>
      <c r="E164" s="213"/>
      <c r="F164" s="213"/>
      <c r="G164" s="213"/>
      <c r="H164" s="213"/>
      <c r="I164" s="213"/>
      <c r="J164" s="213"/>
      <c r="K164" s="213"/>
      <c r="L164" s="213">
        <f>+$L30*$C30</f>
        <v>0</v>
      </c>
      <c r="M164" s="213">
        <f>+$L30*$C30*IF(L164=L30,0,1)</f>
        <v>0</v>
      </c>
    </row>
    <row r="165" spans="2:13" x14ac:dyDescent="0.3">
      <c r="B165" s="198" t="str">
        <f t="shared" si="28"/>
        <v>Ricerca&amp; Sviluppo</v>
      </c>
      <c r="D165" s="213"/>
      <c r="E165" s="213"/>
      <c r="F165" s="213"/>
      <c r="G165" s="213"/>
      <c r="H165" s="213"/>
      <c r="I165" s="213"/>
      <c r="J165" s="213"/>
      <c r="K165" s="213"/>
      <c r="L165" s="213">
        <f>+$L31*$C31</f>
        <v>0</v>
      </c>
      <c r="M165" s="213">
        <f>+$L31*$C31*IF(L165=L31,0,1)</f>
        <v>0</v>
      </c>
    </row>
    <row r="166" spans="2:13" x14ac:dyDescent="0.3">
      <c r="B166" s="198" t="str">
        <f t="shared" si="28"/>
        <v>Altre immobilizzazioni immateriali</v>
      </c>
      <c r="D166" s="213"/>
      <c r="E166" s="213"/>
      <c r="F166" s="213"/>
      <c r="G166" s="213"/>
      <c r="H166" s="213"/>
      <c r="I166" s="213"/>
      <c r="J166" s="213"/>
      <c r="K166" s="213"/>
      <c r="L166" s="213">
        <f>+$L32*$C32</f>
        <v>0</v>
      </c>
      <c r="M166" s="213">
        <f>+$L32*$C32*IF(L166=L32,0,1)</f>
        <v>0</v>
      </c>
    </row>
    <row r="169" spans="2:13" x14ac:dyDescent="0.3">
      <c r="B169" s="192" t="s">
        <v>61</v>
      </c>
      <c r="D169" s="192">
        <f>+D156</f>
        <v>2017</v>
      </c>
      <c r="E169" s="192">
        <f t="shared" ref="E169:M169" si="29">+E156</f>
        <v>2018</v>
      </c>
      <c r="F169" s="192">
        <f t="shared" si="29"/>
        <v>2019</v>
      </c>
      <c r="G169" s="192">
        <f t="shared" si="29"/>
        <v>2020</v>
      </c>
      <c r="H169" s="192">
        <f t="shared" si="29"/>
        <v>2021</v>
      </c>
      <c r="I169" s="192">
        <f t="shared" si="29"/>
        <v>2022</v>
      </c>
      <c r="J169" s="192">
        <f t="shared" si="29"/>
        <v>2023</v>
      </c>
      <c r="K169" s="192">
        <f t="shared" si="29"/>
        <v>2024</v>
      </c>
      <c r="L169" s="192">
        <f t="shared" si="29"/>
        <v>2025</v>
      </c>
      <c r="M169" s="192">
        <f t="shared" si="29"/>
        <v>2026</v>
      </c>
    </row>
    <row r="170" spans="2:13" x14ac:dyDescent="0.3">
      <c r="B170" s="198" t="str">
        <f>+B157</f>
        <v>Fabbricati</v>
      </c>
      <c r="D170" s="213"/>
      <c r="E170" s="213"/>
      <c r="F170" s="213"/>
      <c r="G170" s="213"/>
      <c r="H170" s="213"/>
      <c r="I170" s="213"/>
      <c r="J170" s="213"/>
      <c r="K170" s="213"/>
      <c r="L170" s="213"/>
      <c r="M170" s="213">
        <f>+$M23*$C23</f>
        <v>0</v>
      </c>
    </row>
    <row r="171" spans="2:13" x14ac:dyDescent="0.3">
      <c r="B171" s="198" t="str">
        <f t="shared" ref="B171:B179" si="30">+B158</f>
        <v>Impianti e Macchinari</v>
      </c>
      <c r="D171" s="213"/>
      <c r="E171" s="213"/>
      <c r="F171" s="213"/>
      <c r="G171" s="213"/>
      <c r="H171" s="213"/>
      <c r="I171" s="213"/>
      <c r="J171" s="213"/>
      <c r="K171" s="213"/>
      <c r="L171" s="213"/>
      <c r="M171" s="213">
        <f>+$M24*$C24</f>
        <v>0</v>
      </c>
    </row>
    <row r="172" spans="2:13" x14ac:dyDescent="0.3">
      <c r="B172" s="198" t="str">
        <f t="shared" si="30"/>
        <v>Attrezzature industriali e commerciali</v>
      </c>
      <c r="D172" s="213"/>
      <c r="E172" s="213"/>
      <c r="F172" s="213"/>
      <c r="G172" s="213"/>
      <c r="H172" s="213"/>
      <c r="I172" s="213"/>
      <c r="J172" s="213"/>
      <c r="K172" s="213"/>
      <c r="L172" s="213"/>
      <c r="M172" s="213">
        <f>+$M25*$C25</f>
        <v>0</v>
      </c>
    </row>
    <row r="173" spans="2:13" x14ac:dyDescent="0.3">
      <c r="B173" s="198" t="str">
        <f t="shared" si="30"/>
        <v>Altri beni</v>
      </c>
      <c r="D173" s="213"/>
      <c r="E173" s="213"/>
      <c r="F173" s="213"/>
      <c r="G173" s="213"/>
      <c r="H173" s="213"/>
      <c r="I173" s="213"/>
      <c r="J173" s="213"/>
      <c r="K173" s="213"/>
      <c r="L173" s="213"/>
      <c r="M173" s="213">
        <f>+$M26*$C26</f>
        <v>0</v>
      </c>
    </row>
    <row r="174" spans="2:13" x14ac:dyDescent="0.3">
      <c r="D174" s="84"/>
      <c r="E174" s="84"/>
      <c r="F174" s="84"/>
      <c r="G174" s="84"/>
      <c r="H174" s="84"/>
      <c r="I174" s="84"/>
      <c r="J174" s="84"/>
      <c r="K174" s="84"/>
      <c r="L174" s="84"/>
      <c r="M174" s="84"/>
    </row>
    <row r="175" spans="2:13" x14ac:dyDescent="0.3">
      <c r="D175" s="84"/>
      <c r="E175" s="84"/>
      <c r="F175" s="84"/>
      <c r="G175" s="84"/>
      <c r="H175" s="84"/>
      <c r="I175" s="84"/>
      <c r="J175" s="84"/>
      <c r="K175" s="84"/>
      <c r="L175" s="84"/>
      <c r="M175" s="84"/>
    </row>
    <row r="176" spans="2:13" x14ac:dyDescent="0.3">
      <c r="D176" s="84"/>
      <c r="E176" s="84"/>
      <c r="F176" s="84"/>
      <c r="G176" s="84"/>
      <c r="H176" s="84"/>
      <c r="I176" s="84"/>
      <c r="J176" s="84"/>
      <c r="K176" s="84"/>
      <c r="L176" s="84"/>
      <c r="M176" s="84"/>
    </row>
    <row r="177" spans="2:13" x14ac:dyDescent="0.3">
      <c r="B177" s="198" t="str">
        <f t="shared" si="30"/>
        <v>Costi d'impianto e ampliamento</v>
      </c>
      <c r="D177" s="213"/>
      <c r="E177" s="213"/>
      <c r="F177" s="213"/>
      <c r="G177" s="213"/>
      <c r="H177" s="213"/>
      <c r="I177" s="213"/>
      <c r="J177" s="213"/>
      <c r="K177" s="213"/>
      <c r="L177" s="213"/>
      <c r="M177" s="213">
        <f>+$M30*$C30</f>
        <v>0</v>
      </c>
    </row>
    <row r="178" spans="2:13" x14ac:dyDescent="0.3">
      <c r="B178" s="198" t="str">
        <f t="shared" si="30"/>
        <v>Ricerca&amp; Sviluppo</v>
      </c>
      <c r="D178" s="213"/>
      <c r="E178" s="213"/>
      <c r="F178" s="213"/>
      <c r="G178" s="213"/>
      <c r="H178" s="213"/>
      <c r="I178" s="213"/>
      <c r="J178" s="213"/>
      <c r="K178" s="213"/>
      <c r="L178" s="213"/>
      <c r="M178" s="213">
        <f>+$M31*$C31</f>
        <v>0</v>
      </c>
    </row>
    <row r="179" spans="2:13" x14ac:dyDescent="0.3">
      <c r="B179" s="198" t="str">
        <f t="shared" si="30"/>
        <v>Altre immobilizzazioni immateriali</v>
      </c>
      <c r="D179" s="213"/>
      <c r="E179" s="213"/>
      <c r="F179" s="213"/>
      <c r="G179" s="213"/>
      <c r="H179" s="213"/>
      <c r="I179" s="213"/>
      <c r="J179" s="213"/>
      <c r="K179" s="213"/>
      <c r="L179" s="213"/>
      <c r="M179" s="213">
        <f>+$M32*$C32</f>
        <v>0</v>
      </c>
    </row>
    <row r="182" spans="2:13" x14ac:dyDescent="0.3">
      <c r="B182" s="192" t="s">
        <v>62</v>
      </c>
      <c r="D182" s="192">
        <f>+D169</f>
        <v>2017</v>
      </c>
      <c r="E182" s="192">
        <f t="shared" ref="E182:M182" si="31">+E169</f>
        <v>2018</v>
      </c>
      <c r="F182" s="192">
        <f t="shared" si="31"/>
        <v>2019</v>
      </c>
      <c r="G182" s="192">
        <f t="shared" si="31"/>
        <v>2020</v>
      </c>
      <c r="H182" s="192">
        <f t="shared" si="31"/>
        <v>2021</v>
      </c>
      <c r="I182" s="192">
        <f t="shared" si="31"/>
        <v>2022</v>
      </c>
      <c r="J182" s="192">
        <f t="shared" si="31"/>
        <v>2023</v>
      </c>
      <c r="K182" s="192">
        <f t="shared" si="31"/>
        <v>2024</v>
      </c>
      <c r="L182" s="192">
        <f t="shared" si="31"/>
        <v>2025</v>
      </c>
      <c r="M182" s="192">
        <f t="shared" si="31"/>
        <v>2026</v>
      </c>
    </row>
    <row r="183" spans="2:13" x14ac:dyDescent="0.3">
      <c r="B183" s="198" t="str">
        <f>+B170</f>
        <v>Fabbricati</v>
      </c>
      <c r="D183" s="213">
        <f>+D53+D66+D79+D92+D105+D118+D131+D144+D157+D170</f>
        <v>0</v>
      </c>
      <c r="E183" s="213">
        <f t="shared" ref="E183:M183" si="32">+E53+E66+E79+E92+E105+E118+E131+E144+E157+E170</f>
        <v>0</v>
      </c>
      <c r="F183" s="213">
        <f t="shared" si="32"/>
        <v>0</v>
      </c>
      <c r="G183" s="213">
        <f t="shared" si="32"/>
        <v>0</v>
      </c>
      <c r="H183" s="213">
        <f t="shared" si="32"/>
        <v>0</v>
      </c>
      <c r="I183" s="213">
        <f t="shared" si="32"/>
        <v>0</v>
      </c>
      <c r="J183" s="213">
        <f t="shared" si="32"/>
        <v>0</v>
      </c>
      <c r="K183" s="213">
        <f t="shared" si="32"/>
        <v>0</v>
      </c>
      <c r="L183" s="213">
        <f t="shared" si="32"/>
        <v>0</v>
      </c>
      <c r="M183" s="213">
        <f t="shared" si="32"/>
        <v>0</v>
      </c>
    </row>
    <row r="184" spans="2:13" x14ac:dyDescent="0.3">
      <c r="B184" s="198" t="str">
        <f t="shared" ref="B184:B192" si="33">+B171</f>
        <v>Impianti e Macchinari</v>
      </c>
      <c r="D184" s="213">
        <f t="shared" ref="D184:M186" si="34">+D54+D67+D80+D93+D106+D119+D132+D145+D158+D171</f>
        <v>0</v>
      </c>
      <c r="E184" s="213">
        <f t="shared" si="34"/>
        <v>0</v>
      </c>
      <c r="F184" s="213">
        <f t="shared" si="34"/>
        <v>0</v>
      </c>
      <c r="G184" s="213">
        <f t="shared" si="34"/>
        <v>0</v>
      </c>
      <c r="H184" s="213">
        <f t="shared" si="34"/>
        <v>0</v>
      </c>
      <c r="I184" s="213">
        <f t="shared" si="34"/>
        <v>0</v>
      </c>
      <c r="J184" s="213">
        <f t="shared" si="34"/>
        <v>0</v>
      </c>
      <c r="K184" s="213">
        <f t="shared" si="34"/>
        <v>0</v>
      </c>
      <c r="L184" s="213">
        <f t="shared" si="34"/>
        <v>0</v>
      </c>
      <c r="M184" s="213">
        <f t="shared" si="34"/>
        <v>0</v>
      </c>
    </row>
    <row r="185" spans="2:13" x14ac:dyDescent="0.3">
      <c r="B185" s="198" t="str">
        <f t="shared" si="33"/>
        <v>Attrezzature industriali e commerciali</v>
      </c>
      <c r="D185" s="213">
        <f t="shared" si="34"/>
        <v>0</v>
      </c>
      <c r="E185" s="213">
        <f t="shared" si="34"/>
        <v>0</v>
      </c>
      <c r="F185" s="213">
        <f t="shared" si="34"/>
        <v>0</v>
      </c>
      <c r="G185" s="213">
        <f t="shared" si="34"/>
        <v>0</v>
      </c>
      <c r="H185" s="213">
        <f t="shared" si="34"/>
        <v>0</v>
      </c>
      <c r="I185" s="213">
        <f t="shared" si="34"/>
        <v>0</v>
      </c>
      <c r="J185" s="213">
        <f t="shared" si="34"/>
        <v>0</v>
      </c>
      <c r="K185" s="213">
        <f t="shared" si="34"/>
        <v>0</v>
      </c>
      <c r="L185" s="213">
        <f t="shared" si="34"/>
        <v>0</v>
      </c>
      <c r="M185" s="213">
        <f t="shared" si="34"/>
        <v>0</v>
      </c>
    </row>
    <row r="186" spans="2:13" x14ac:dyDescent="0.3">
      <c r="B186" s="198" t="str">
        <f t="shared" si="33"/>
        <v>Altri beni</v>
      </c>
      <c r="D186" s="213">
        <f t="shared" si="34"/>
        <v>0</v>
      </c>
      <c r="E186" s="213">
        <f t="shared" si="34"/>
        <v>0</v>
      </c>
      <c r="F186" s="213">
        <f t="shared" si="34"/>
        <v>0</v>
      </c>
      <c r="G186" s="213">
        <f t="shared" si="34"/>
        <v>0</v>
      </c>
      <c r="H186" s="213">
        <f t="shared" si="34"/>
        <v>0</v>
      </c>
      <c r="I186" s="213">
        <f t="shared" si="34"/>
        <v>0</v>
      </c>
      <c r="J186" s="213">
        <f t="shared" si="34"/>
        <v>0</v>
      </c>
      <c r="K186" s="213">
        <f t="shared" si="34"/>
        <v>0</v>
      </c>
      <c r="L186" s="213">
        <f t="shared" si="34"/>
        <v>0</v>
      </c>
      <c r="M186" s="213">
        <f t="shared" si="34"/>
        <v>0</v>
      </c>
    </row>
    <row r="187" spans="2:13" x14ac:dyDescent="0.3">
      <c r="B187" s="2" t="s">
        <v>63</v>
      </c>
      <c r="C187" s="2"/>
      <c r="D187" s="87">
        <f>SUM(D183:D186)</f>
        <v>0</v>
      </c>
      <c r="E187" s="87">
        <f t="shared" ref="E187:M187" si="35">SUM(E183:E186)</f>
        <v>0</v>
      </c>
      <c r="F187" s="87">
        <f t="shared" si="35"/>
        <v>0</v>
      </c>
      <c r="G187" s="87">
        <f t="shared" si="35"/>
        <v>0</v>
      </c>
      <c r="H187" s="87">
        <f t="shared" si="35"/>
        <v>0</v>
      </c>
      <c r="I187" s="87">
        <f t="shared" si="35"/>
        <v>0</v>
      </c>
      <c r="J187" s="87">
        <f t="shared" si="35"/>
        <v>0</v>
      </c>
      <c r="K187" s="87">
        <f t="shared" si="35"/>
        <v>0</v>
      </c>
      <c r="L187" s="87">
        <f t="shared" si="35"/>
        <v>0</v>
      </c>
      <c r="M187" s="87">
        <f t="shared" si="35"/>
        <v>0</v>
      </c>
    </row>
    <row r="188" spans="2:13" x14ac:dyDescent="0.3">
      <c r="D188" s="84"/>
      <c r="E188" s="84"/>
      <c r="F188" s="84"/>
      <c r="G188" s="84"/>
      <c r="H188" s="84"/>
      <c r="I188" s="84"/>
      <c r="J188" s="84"/>
      <c r="K188" s="84"/>
      <c r="L188" s="84"/>
      <c r="M188" s="84"/>
    </row>
    <row r="189" spans="2:13" x14ac:dyDescent="0.3">
      <c r="D189" s="84"/>
      <c r="E189" s="84"/>
      <c r="F189" s="84"/>
      <c r="G189" s="84"/>
      <c r="H189" s="84"/>
      <c r="I189" s="84"/>
      <c r="J189" s="84"/>
      <c r="K189" s="84"/>
      <c r="L189" s="84"/>
      <c r="M189" s="84"/>
    </row>
    <row r="190" spans="2:13" x14ac:dyDescent="0.3">
      <c r="B190" s="198" t="str">
        <f t="shared" si="33"/>
        <v>Costi d'impianto e ampliamento</v>
      </c>
      <c r="D190" s="213">
        <f>+D60+D73+D86+D99+D112+D125+D138+D151+D164+D177</f>
        <v>0</v>
      </c>
      <c r="E190" s="213">
        <f t="shared" ref="E190:M190" si="36">+E60+E73+E86+E99+E112+E125+E138+E151+E164+E177</f>
        <v>0</v>
      </c>
      <c r="F190" s="213">
        <f t="shared" si="36"/>
        <v>0</v>
      </c>
      <c r="G190" s="213">
        <f t="shared" si="36"/>
        <v>0</v>
      </c>
      <c r="H190" s="213">
        <f t="shared" si="36"/>
        <v>0</v>
      </c>
      <c r="I190" s="213">
        <f t="shared" si="36"/>
        <v>0</v>
      </c>
      <c r="J190" s="213">
        <f t="shared" si="36"/>
        <v>0</v>
      </c>
      <c r="K190" s="213">
        <f t="shared" si="36"/>
        <v>0</v>
      </c>
      <c r="L190" s="213">
        <f t="shared" si="36"/>
        <v>0</v>
      </c>
      <c r="M190" s="213">
        <f t="shared" si="36"/>
        <v>0</v>
      </c>
    </row>
    <row r="191" spans="2:13" x14ac:dyDescent="0.3">
      <c r="B191" s="198" t="str">
        <f t="shared" si="33"/>
        <v>Ricerca&amp; Sviluppo</v>
      </c>
      <c r="D191" s="213">
        <f t="shared" ref="D191:M192" si="37">+D61+D74+D87+D100+D113+D126+D139+D152+D165+D178</f>
        <v>0</v>
      </c>
      <c r="E191" s="213">
        <f t="shared" si="37"/>
        <v>0</v>
      </c>
      <c r="F191" s="213">
        <f t="shared" si="37"/>
        <v>0</v>
      </c>
      <c r="G191" s="213">
        <f t="shared" si="37"/>
        <v>0</v>
      </c>
      <c r="H191" s="213">
        <f t="shared" si="37"/>
        <v>0</v>
      </c>
      <c r="I191" s="213">
        <f t="shared" si="37"/>
        <v>0</v>
      </c>
      <c r="J191" s="213">
        <f t="shared" si="37"/>
        <v>0</v>
      </c>
      <c r="K191" s="213">
        <f t="shared" si="37"/>
        <v>0</v>
      </c>
      <c r="L191" s="213">
        <f t="shared" si="37"/>
        <v>0</v>
      </c>
      <c r="M191" s="213">
        <f t="shared" si="37"/>
        <v>0</v>
      </c>
    </row>
    <row r="192" spans="2:13" x14ac:dyDescent="0.3">
      <c r="B192" s="198" t="str">
        <f t="shared" si="33"/>
        <v>Altre immobilizzazioni immateriali</v>
      </c>
      <c r="D192" s="213">
        <f t="shared" si="37"/>
        <v>0</v>
      </c>
      <c r="E192" s="213">
        <f t="shared" si="37"/>
        <v>0</v>
      </c>
      <c r="F192" s="213">
        <f t="shared" si="37"/>
        <v>0</v>
      </c>
      <c r="G192" s="213">
        <f t="shared" si="37"/>
        <v>0</v>
      </c>
      <c r="H192" s="213">
        <f t="shared" si="37"/>
        <v>0</v>
      </c>
      <c r="I192" s="213">
        <f t="shared" si="37"/>
        <v>0</v>
      </c>
      <c r="J192" s="213">
        <f t="shared" si="37"/>
        <v>0</v>
      </c>
      <c r="K192" s="213">
        <f t="shared" si="37"/>
        <v>0</v>
      </c>
      <c r="L192" s="213">
        <f t="shared" si="37"/>
        <v>0</v>
      </c>
      <c r="M192" s="213">
        <f t="shared" si="37"/>
        <v>0</v>
      </c>
    </row>
    <row r="193" spans="2:13" x14ac:dyDescent="0.3">
      <c r="B193" s="2" t="s">
        <v>64</v>
      </c>
      <c r="D193" s="87">
        <f>SUM(D190:D192)</f>
        <v>0</v>
      </c>
      <c r="E193" s="87">
        <f t="shared" ref="E193:M193" si="38">SUM(E190:E192)</f>
        <v>0</v>
      </c>
      <c r="F193" s="87">
        <f t="shared" si="38"/>
        <v>0</v>
      </c>
      <c r="G193" s="87">
        <f t="shared" si="38"/>
        <v>0</v>
      </c>
      <c r="H193" s="87">
        <f t="shared" si="38"/>
        <v>0</v>
      </c>
      <c r="I193" s="87">
        <f t="shared" si="38"/>
        <v>0</v>
      </c>
      <c r="J193" s="87">
        <f t="shared" si="38"/>
        <v>0</v>
      </c>
      <c r="K193" s="87">
        <f t="shared" si="38"/>
        <v>0</v>
      </c>
      <c r="L193" s="87">
        <f t="shared" si="38"/>
        <v>0</v>
      </c>
      <c r="M193" s="87">
        <f t="shared" si="38"/>
        <v>0</v>
      </c>
    </row>
  </sheetData>
  <conditionalFormatting sqref="C23:C26">
    <cfRule type="expression" dxfId="16" priority="23" stopIfTrue="1">
      <formula>ABS(SUM(C23)-SUM(#REF!))&gt;=1</formula>
    </cfRule>
  </conditionalFormatting>
  <conditionalFormatting sqref="C49:C50">
    <cfRule type="expression" dxfId="15" priority="10" stopIfTrue="1">
      <formula>ABS(SUM(C49)-SUM(#REF!))&gt;=1</formula>
    </cfRule>
  </conditionalFormatting>
  <conditionalFormatting sqref="D4:D7">
    <cfRule type="expression" dxfId="14" priority="9" stopIfTrue="1">
      <formula>ABS(SUM(D4)-SUM(#REF!))&gt;=1</formula>
    </cfRule>
  </conditionalFormatting>
  <conditionalFormatting sqref="D10:D12">
    <cfRule type="expression" dxfId="13" priority="8" stopIfTrue="1">
      <formula>ABS(SUM(D10)-SUM(#REF!))&gt;=1</formula>
    </cfRule>
  </conditionalFormatting>
  <conditionalFormatting sqref="D15:M15">
    <cfRule type="expression" dxfId="12" priority="7" stopIfTrue="1">
      <formula>ABS(SUM(D15)-SUM(#REF!))&gt;=1</formula>
    </cfRule>
  </conditionalFormatting>
  <conditionalFormatting sqref="D23:M26">
    <cfRule type="expression" dxfId="11" priority="6" stopIfTrue="1">
      <formula>ABS(SUM(D23)-SUM(#REF!))&gt;=1</formula>
    </cfRule>
  </conditionalFormatting>
  <conditionalFormatting sqref="C30:C32">
    <cfRule type="expression" dxfId="10" priority="5" stopIfTrue="1">
      <formula>ABS(SUM(C30)-SUM(#REF!))&gt;=1</formula>
    </cfRule>
  </conditionalFormatting>
  <conditionalFormatting sqref="D30:M32">
    <cfRule type="expression" dxfId="9" priority="4" stopIfTrue="1">
      <formula>ABS(SUM(D30)-SUM(#REF!))&gt;=1</formula>
    </cfRule>
  </conditionalFormatting>
  <conditionalFormatting sqref="D35:M35">
    <cfRule type="expression" dxfId="8" priority="3" stopIfTrue="1">
      <formula>ABS(SUM(D35)-SUM(#REF!))&gt;=1</formula>
    </cfRule>
  </conditionalFormatting>
  <conditionalFormatting sqref="C39:C42">
    <cfRule type="expression" dxfId="7" priority="2" stopIfTrue="1">
      <formula>ABS(SUM(C39)-SUM(#REF!))&gt;=1</formula>
    </cfRule>
  </conditionalFormatting>
  <conditionalFormatting sqref="C46:C48">
    <cfRule type="expression" dxfId="6" priority="1" stopIfTrue="1">
      <formula>ABS(SUM(C46)-SUM(#REF!))&gt;=1</formula>
    </cfRule>
  </conditionalFormatting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4"/>
  <sheetViews>
    <sheetView showGridLines="0" topLeftCell="A89" workbookViewId="0">
      <selection activeCell="C101" sqref="C101:L101"/>
    </sheetView>
  </sheetViews>
  <sheetFormatPr defaultColWidth="8.6640625" defaultRowHeight="14.4" x14ac:dyDescent="0.3"/>
  <cols>
    <col min="2" max="2" width="31.6640625" bestFit="1" customWidth="1"/>
    <col min="3" max="6" width="10.5546875" bestFit="1" customWidth="1"/>
    <col min="7" max="11" width="11.5546875" bestFit="1" customWidth="1"/>
    <col min="12" max="12" width="12.21875" bestFit="1" customWidth="1"/>
  </cols>
  <sheetData>
    <row r="2" spans="2:12" x14ac:dyDescent="0.3">
      <c r="B2" s="2" t="s">
        <v>928</v>
      </c>
    </row>
    <row r="3" spans="2:12" x14ac:dyDescent="0.3">
      <c r="B3" s="2" t="s">
        <v>929</v>
      </c>
      <c r="C3" s="65">
        <f>+'CE Previsionale'!D2</f>
        <v>2017</v>
      </c>
      <c r="D3" s="65">
        <f>+'CE Previsionale'!E2</f>
        <v>2018</v>
      </c>
      <c r="E3" s="65">
        <f>+'CE Previsionale'!F2</f>
        <v>2019</v>
      </c>
      <c r="F3" s="65">
        <f>+'CE Previsionale'!G2</f>
        <v>2020</v>
      </c>
      <c r="G3" s="65">
        <f>+'CE Previsionale'!H2</f>
        <v>2021</v>
      </c>
      <c r="H3" s="65">
        <f>+'CE Previsionale'!I2</f>
        <v>2022</v>
      </c>
      <c r="I3" s="65">
        <f>+'CE Previsionale'!J2</f>
        <v>2023</v>
      </c>
      <c r="J3" s="65">
        <f>+'CE Previsionale'!K2</f>
        <v>2024</v>
      </c>
      <c r="K3" s="65">
        <f>+'CE Previsionale'!L2</f>
        <v>2025</v>
      </c>
      <c r="L3" s="65">
        <f>+'CE Previsionale'!M2</f>
        <v>2026</v>
      </c>
    </row>
    <row r="4" spans="2:12" x14ac:dyDescent="0.3">
      <c r="B4" s="85" t="str">
        <f>+'Scheda Inv'!B4</f>
        <v>Fabbricati</v>
      </c>
      <c r="C4" s="84">
        <f>+IF('Scheda Inv'!D4=0,0,'Scheda Inv'!$C4/'Scheda Inv'!$D4)</f>
        <v>0</v>
      </c>
      <c r="D4" s="84">
        <f>++IF('Scheda Inv'!D4=0,0,IF(C11='Scheda Inv'!$C4,0,'Scheda Inv'!$C4/'Scheda Inv'!$D4))</f>
        <v>0</v>
      </c>
      <c r="E4" s="84">
        <f>+IF('Scheda Inv'!$D4=0,0,IF(D11='Scheda Inv'!$C4,0,'Scheda Inv'!$C4/'Scheda Inv'!$D4))</f>
        <v>0</v>
      </c>
      <c r="F4" s="84">
        <f>+IF('Scheda Inv'!$D4=0,0,IF(E11='Scheda Inv'!$C4,0,'Scheda Inv'!$C4/'Scheda Inv'!$D4))</f>
        <v>0</v>
      </c>
      <c r="G4" s="84">
        <f>+IF('Scheda Inv'!$D4=0,0,IF(F11='Scheda Inv'!$C4,0,'Scheda Inv'!$C4/'Scheda Inv'!$D4))</f>
        <v>0</v>
      </c>
      <c r="H4" s="84">
        <f>+IF('Scheda Inv'!$D4=0,0,IF(G11='Scheda Inv'!$C4,0,'Scheda Inv'!$C4/'Scheda Inv'!$D4))</f>
        <v>0</v>
      </c>
      <c r="I4" s="84">
        <f>+IF('Scheda Inv'!$D4=0,0,IF(H11='Scheda Inv'!$C4,0,'Scheda Inv'!$C4/'Scheda Inv'!$D4))</f>
        <v>0</v>
      </c>
      <c r="J4" s="84">
        <f>+IF('Scheda Inv'!$D4=0,0,IF(I11='Scheda Inv'!$C4,0,'Scheda Inv'!$C4/'Scheda Inv'!$D4))</f>
        <v>0</v>
      </c>
      <c r="K4" s="84">
        <f>+IF('Scheda Inv'!$D4=0,0,IF(J11='Scheda Inv'!$C4,0,'Scheda Inv'!$C4/'Scheda Inv'!$D4))</f>
        <v>0</v>
      </c>
      <c r="L4" s="84">
        <f>+IF('Scheda Inv'!$D4=0,0,IF(K11='Scheda Inv'!$C4,0,'Scheda Inv'!$C4/'Scheda Inv'!$D4))</f>
        <v>0</v>
      </c>
    </row>
    <row r="5" spans="2:12" x14ac:dyDescent="0.3">
      <c r="B5" s="85" t="str">
        <f>+'Scheda Inv'!B5</f>
        <v>Impianti e Macchinari</v>
      </c>
      <c r="C5" s="84">
        <f>+IF('Scheda Inv'!D5=0,0,'Scheda Inv'!$C5/'Scheda Inv'!$D5)</f>
        <v>0</v>
      </c>
      <c r="D5" s="84">
        <f>++IF('Scheda Inv'!D5=0,0,IF(C12='Scheda Inv'!$C5,0,'Scheda Inv'!$C5/'Scheda Inv'!$D5))</f>
        <v>0</v>
      </c>
      <c r="E5" s="84">
        <f>+IF('Scheda Inv'!$D5=0,0,IF(D12='Scheda Inv'!$C5,0,'Scheda Inv'!$C5/'Scheda Inv'!$D5))</f>
        <v>0</v>
      </c>
      <c r="F5" s="84">
        <f>+IF('Scheda Inv'!$D5=0,0,IF(E12='Scheda Inv'!$C5,0,'Scheda Inv'!$C5/'Scheda Inv'!$D5))</f>
        <v>0</v>
      </c>
      <c r="G5" s="84">
        <f>+IF('Scheda Inv'!$D5=0,0,IF(F12='Scheda Inv'!$C5,0,'Scheda Inv'!$C5/'Scheda Inv'!$D5))</f>
        <v>0</v>
      </c>
      <c r="H5" s="84">
        <f>+IF('Scheda Inv'!$D5=0,0,IF(G12='Scheda Inv'!$C5,0,'Scheda Inv'!$C5/'Scheda Inv'!$D5))</f>
        <v>0</v>
      </c>
      <c r="I5" s="84">
        <f>+IF('Scheda Inv'!$D5=0,0,IF(H12='Scheda Inv'!$C5,0,'Scheda Inv'!$C5/'Scheda Inv'!$D5))</f>
        <v>0</v>
      </c>
      <c r="J5" s="84">
        <f>+IF('Scheda Inv'!$D5=0,0,IF(I12='Scheda Inv'!$C5,0,'Scheda Inv'!$C5/'Scheda Inv'!$D5))</f>
        <v>0</v>
      </c>
      <c r="K5" s="84">
        <f>+IF('Scheda Inv'!$D5=0,0,IF(J12='Scheda Inv'!$C5,0,'Scheda Inv'!$C5/'Scheda Inv'!$D5))</f>
        <v>0</v>
      </c>
      <c r="L5" s="84">
        <f>+IF('Scheda Inv'!$D5=0,0,IF(K12='Scheda Inv'!$C5,0,'Scheda Inv'!$C5/'Scheda Inv'!$D5))</f>
        <v>0</v>
      </c>
    </row>
    <row r="6" spans="2:12" x14ac:dyDescent="0.3">
      <c r="B6" s="85" t="str">
        <f>+'Scheda Inv'!B6</f>
        <v>Attrezzature industriali e commerciali</v>
      </c>
      <c r="C6" s="84">
        <f>+IF('Scheda Inv'!D6=0,0,'Scheda Inv'!$C6/'Scheda Inv'!$D6)</f>
        <v>0</v>
      </c>
      <c r="D6" s="84">
        <f>++IF('Scheda Inv'!D6=0,0,IF(C13='Scheda Inv'!$C6,0,'Scheda Inv'!$C6/'Scheda Inv'!$D6))</f>
        <v>0</v>
      </c>
      <c r="E6" s="84">
        <f>+IF('Scheda Inv'!$D6=0,0,IF(D13='Scheda Inv'!$C6,0,'Scheda Inv'!$C6/'Scheda Inv'!$D6))</f>
        <v>0</v>
      </c>
      <c r="F6" s="84">
        <f>+IF('Scheda Inv'!$D6=0,0,IF(E13='Scheda Inv'!$C6,0,'Scheda Inv'!$C6/'Scheda Inv'!$D6))</f>
        <v>0</v>
      </c>
      <c r="G6" s="84">
        <f>+IF('Scheda Inv'!$D6=0,0,IF(F13='Scheda Inv'!$C6,0,'Scheda Inv'!$C6/'Scheda Inv'!$D6))</f>
        <v>0</v>
      </c>
      <c r="H6" s="84">
        <f>+IF('Scheda Inv'!$D6=0,0,IF(G13='Scheda Inv'!$C6,0,'Scheda Inv'!$C6/'Scheda Inv'!$D6))</f>
        <v>0</v>
      </c>
      <c r="I6" s="84">
        <f>+IF('Scheda Inv'!$D6=0,0,IF(H13='Scheda Inv'!$C6,0,'Scheda Inv'!$C6/'Scheda Inv'!$D6))</f>
        <v>0</v>
      </c>
      <c r="J6" s="84">
        <f>+IF('Scheda Inv'!$D6=0,0,IF(I13='Scheda Inv'!$C6,0,'Scheda Inv'!$C6/'Scheda Inv'!$D6))</f>
        <v>0</v>
      </c>
      <c r="K6" s="84">
        <f>+IF('Scheda Inv'!$D6=0,0,IF(J13='Scheda Inv'!$C6,0,'Scheda Inv'!$C6/'Scheda Inv'!$D6))</f>
        <v>0</v>
      </c>
      <c r="L6" s="84">
        <f>+IF('Scheda Inv'!$D6=0,0,IF(K13='Scheda Inv'!$C6,0,'Scheda Inv'!$C6/'Scheda Inv'!$D6))</f>
        <v>0</v>
      </c>
    </row>
    <row r="7" spans="2:12" x14ac:dyDescent="0.3">
      <c r="B7" s="85" t="str">
        <f>+'Scheda Inv'!B7</f>
        <v>Altri beni</v>
      </c>
      <c r="C7" s="84">
        <f>+IF('Scheda Inv'!D7=0,0,'Scheda Inv'!$C7/'Scheda Inv'!$D7)</f>
        <v>0</v>
      </c>
      <c r="D7" s="84">
        <f>++IF('Scheda Inv'!D7=0,0,IF(C14='Scheda Inv'!$C7,0,'Scheda Inv'!$C7/'Scheda Inv'!$D7))</f>
        <v>0</v>
      </c>
      <c r="E7" s="84">
        <f>+IF('Scheda Inv'!$D7=0,0,IF(D14='Scheda Inv'!$C7,0,'Scheda Inv'!$C7/'Scheda Inv'!$D7))</f>
        <v>0</v>
      </c>
      <c r="F7" s="84">
        <f>+IF('Scheda Inv'!$D7=0,0,IF(E14='Scheda Inv'!$C7,0,'Scheda Inv'!$C7/'Scheda Inv'!$D7))</f>
        <v>0</v>
      </c>
      <c r="G7" s="84">
        <f>+IF('Scheda Inv'!$D7=0,0,IF(F14='Scheda Inv'!$C7,0,'Scheda Inv'!$C7/'Scheda Inv'!$D7))</f>
        <v>0</v>
      </c>
      <c r="H7" s="84">
        <f>+IF('Scheda Inv'!$D7=0,0,IF(G14='Scheda Inv'!$C7,0,'Scheda Inv'!$C7/'Scheda Inv'!$D7))</f>
        <v>0</v>
      </c>
      <c r="I7" s="84">
        <f>+IF('Scheda Inv'!$D7=0,0,IF(H14='Scheda Inv'!$C7,0,'Scheda Inv'!$C7/'Scheda Inv'!$D7))</f>
        <v>0</v>
      </c>
      <c r="J7" s="84">
        <f>+IF('Scheda Inv'!$D7=0,0,IF(I14='Scheda Inv'!$C7,0,'Scheda Inv'!$C7/'Scheda Inv'!$D7))</f>
        <v>0</v>
      </c>
      <c r="K7" s="84">
        <f>+IF('Scheda Inv'!$D7=0,0,IF(J14='Scheda Inv'!$C7,0,'Scheda Inv'!$C7/'Scheda Inv'!$D7))</f>
        <v>0</v>
      </c>
      <c r="L7" s="84">
        <f>+IF('Scheda Inv'!$D7=0,0,IF(K14='Scheda Inv'!$C7,0,'Scheda Inv'!$C7/'Scheda Inv'!$D7))</f>
        <v>0</v>
      </c>
    </row>
    <row r="8" spans="2:12" x14ac:dyDescent="0.3">
      <c r="B8" s="85" t="s">
        <v>930</v>
      </c>
      <c r="C8" s="87">
        <f>SUM(C4:C7)</f>
        <v>0</v>
      </c>
      <c r="D8" s="87">
        <f t="shared" ref="D8:L8" si="0">SUM(D4:D7)</f>
        <v>0</v>
      </c>
      <c r="E8" s="87">
        <f t="shared" si="0"/>
        <v>0</v>
      </c>
      <c r="F8" s="87">
        <f t="shared" si="0"/>
        <v>0</v>
      </c>
      <c r="G8" s="87">
        <f t="shared" si="0"/>
        <v>0</v>
      </c>
      <c r="H8" s="87">
        <f t="shared" si="0"/>
        <v>0</v>
      </c>
      <c r="I8" s="87">
        <f t="shared" si="0"/>
        <v>0</v>
      </c>
      <c r="J8" s="87">
        <f t="shared" si="0"/>
        <v>0</v>
      </c>
      <c r="K8" s="87">
        <f t="shared" si="0"/>
        <v>0</v>
      </c>
      <c r="L8" s="87">
        <f t="shared" si="0"/>
        <v>0</v>
      </c>
    </row>
    <row r="10" spans="2:12" x14ac:dyDescent="0.3">
      <c r="B10" s="2" t="s">
        <v>931</v>
      </c>
      <c r="C10" s="65">
        <f>+C3</f>
        <v>2017</v>
      </c>
      <c r="D10" s="65">
        <f t="shared" ref="D10:L10" si="1">+D3</f>
        <v>2018</v>
      </c>
      <c r="E10" s="65">
        <f t="shared" si="1"/>
        <v>2019</v>
      </c>
      <c r="F10" s="65">
        <f t="shared" si="1"/>
        <v>2020</v>
      </c>
      <c r="G10" s="65">
        <f t="shared" si="1"/>
        <v>2021</v>
      </c>
      <c r="H10" s="65">
        <f t="shared" si="1"/>
        <v>2022</v>
      </c>
      <c r="I10" s="65">
        <f t="shared" si="1"/>
        <v>2023</v>
      </c>
      <c r="J10" s="65">
        <f t="shared" si="1"/>
        <v>2024</v>
      </c>
      <c r="K10" s="65">
        <f t="shared" si="1"/>
        <v>2025</v>
      </c>
      <c r="L10" s="65">
        <f t="shared" si="1"/>
        <v>2026</v>
      </c>
    </row>
    <row r="11" spans="2:12" x14ac:dyDescent="0.3">
      <c r="B11" s="85" t="str">
        <f>+B4</f>
        <v>Fabbricati</v>
      </c>
      <c r="C11" s="84">
        <f>+C4</f>
        <v>0</v>
      </c>
      <c r="D11" s="84">
        <f>+C11+D4</f>
        <v>0</v>
      </c>
      <c r="E11" s="84">
        <f t="shared" ref="E11:L11" si="2">+D11+E4</f>
        <v>0</v>
      </c>
      <c r="F11" s="84">
        <f t="shared" si="2"/>
        <v>0</v>
      </c>
      <c r="G11" s="84">
        <f t="shared" si="2"/>
        <v>0</v>
      </c>
      <c r="H11" s="84">
        <f t="shared" si="2"/>
        <v>0</v>
      </c>
      <c r="I11" s="84">
        <f t="shared" si="2"/>
        <v>0</v>
      </c>
      <c r="J11" s="84">
        <f t="shared" si="2"/>
        <v>0</v>
      </c>
      <c r="K11" s="84">
        <f t="shared" si="2"/>
        <v>0</v>
      </c>
      <c r="L11" s="84">
        <f t="shared" si="2"/>
        <v>0</v>
      </c>
    </row>
    <row r="12" spans="2:12" x14ac:dyDescent="0.3">
      <c r="B12" s="85" t="str">
        <f t="shared" ref="B12:C14" si="3">+B5</f>
        <v>Impianti e Macchinari</v>
      </c>
      <c r="C12" s="84">
        <f>+C5</f>
        <v>0</v>
      </c>
      <c r="D12" s="84">
        <f>+C12+D5</f>
        <v>0</v>
      </c>
      <c r="E12" s="84">
        <f t="shared" ref="E12:L14" si="4">+D12+E5</f>
        <v>0</v>
      </c>
      <c r="F12" s="84">
        <f t="shared" si="4"/>
        <v>0</v>
      </c>
      <c r="G12" s="84">
        <f t="shared" si="4"/>
        <v>0</v>
      </c>
      <c r="H12" s="84">
        <f t="shared" si="4"/>
        <v>0</v>
      </c>
      <c r="I12" s="84">
        <f t="shared" si="4"/>
        <v>0</v>
      </c>
      <c r="J12" s="84">
        <f t="shared" si="4"/>
        <v>0</v>
      </c>
      <c r="K12" s="84">
        <f t="shared" si="4"/>
        <v>0</v>
      </c>
      <c r="L12" s="84">
        <f t="shared" si="4"/>
        <v>0</v>
      </c>
    </row>
    <row r="13" spans="2:12" x14ac:dyDescent="0.3">
      <c r="B13" s="85" t="str">
        <f t="shared" si="3"/>
        <v>Attrezzature industriali e commerciali</v>
      </c>
      <c r="C13" s="84">
        <f t="shared" si="3"/>
        <v>0</v>
      </c>
      <c r="D13" s="84">
        <f>+C13+D6</f>
        <v>0</v>
      </c>
      <c r="E13" s="84">
        <f t="shared" si="4"/>
        <v>0</v>
      </c>
      <c r="F13" s="84">
        <f t="shared" si="4"/>
        <v>0</v>
      </c>
      <c r="G13" s="84">
        <f t="shared" si="4"/>
        <v>0</v>
      </c>
      <c r="H13" s="84">
        <f t="shared" si="4"/>
        <v>0</v>
      </c>
      <c r="I13" s="84">
        <f t="shared" si="4"/>
        <v>0</v>
      </c>
      <c r="J13" s="84">
        <f t="shared" si="4"/>
        <v>0</v>
      </c>
      <c r="K13" s="84">
        <f t="shared" si="4"/>
        <v>0</v>
      </c>
      <c r="L13" s="84">
        <f t="shared" si="4"/>
        <v>0</v>
      </c>
    </row>
    <row r="14" spans="2:12" x14ac:dyDescent="0.3">
      <c r="B14" s="85" t="str">
        <f t="shared" si="3"/>
        <v>Altri beni</v>
      </c>
      <c r="C14" s="84">
        <f t="shared" si="3"/>
        <v>0</v>
      </c>
      <c r="D14" s="84">
        <f>+C14+D7</f>
        <v>0</v>
      </c>
      <c r="E14" s="84">
        <f t="shared" si="4"/>
        <v>0</v>
      </c>
      <c r="F14" s="84">
        <f t="shared" si="4"/>
        <v>0</v>
      </c>
      <c r="G14" s="84">
        <f t="shared" si="4"/>
        <v>0</v>
      </c>
      <c r="H14" s="84">
        <f t="shared" si="4"/>
        <v>0</v>
      </c>
      <c r="I14" s="84">
        <f t="shared" si="4"/>
        <v>0</v>
      </c>
      <c r="J14" s="84">
        <f t="shared" si="4"/>
        <v>0</v>
      </c>
      <c r="K14" s="84">
        <f t="shared" si="4"/>
        <v>0</v>
      </c>
      <c r="L14" s="84">
        <f t="shared" si="4"/>
        <v>0</v>
      </c>
    </row>
    <row r="15" spans="2:12" x14ac:dyDescent="0.3">
      <c r="B15" s="85"/>
      <c r="C15" s="84"/>
      <c r="D15" s="84"/>
      <c r="E15" s="84"/>
      <c r="F15" s="84"/>
      <c r="G15" s="84"/>
      <c r="H15" s="84"/>
      <c r="I15" s="84"/>
      <c r="J15" s="84"/>
      <c r="K15" s="84"/>
      <c r="L15" s="84"/>
    </row>
    <row r="16" spans="2:12" x14ac:dyDescent="0.3">
      <c r="B16" s="2" t="s">
        <v>929</v>
      </c>
      <c r="C16" s="65">
        <f>+C3</f>
        <v>2017</v>
      </c>
      <c r="D16" s="65">
        <f t="shared" ref="D16:L16" si="5">+D3</f>
        <v>2018</v>
      </c>
      <c r="E16" s="65">
        <f t="shared" si="5"/>
        <v>2019</v>
      </c>
      <c r="F16" s="65">
        <f t="shared" si="5"/>
        <v>2020</v>
      </c>
      <c r="G16" s="65">
        <f t="shared" si="5"/>
        <v>2021</v>
      </c>
      <c r="H16" s="65">
        <f t="shared" si="5"/>
        <v>2022</v>
      </c>
      <c r="I16" s="65">
        <f t="shared" si="5"/>
        <v>2023</v>
      </c>
      <c r="J16" s="65">
        <f t="shared" si="5"/>
        <v>2024</v>
      </c>
      <c r="K16" s="65">
        <f t="shared" si="5"/>
        <v>2025</v>
      </c>
      <c r="L16" s="65">
        <f t="shared" si="5"/>
        <v>2026</v>
      </c>
    </row>
    <row r="17" spans="1:16" x14ac:dyDescent="0.3">
      <c r="B17" s="85" t="s">
        <v>871</v>
      </c>
      <c r="C17" s="84">
        <f>+IF('Scheda Inv'!D10=0,0,'Scheda Inv'!$C10/'Scheda Inv'!$D10)</f>
        <v>0</v>
      </c>
      <c r="D17" s="84">
        <f>++IF('Scheda Inv'!$D10=0,0,IF(C23='Scheda Inv'!$C10,0,'Scheda Inv'!$C10/'Scheda Inv'!$D10))</f>
        <v>0</v>
      </c>
      <c r="E17" s="84">
        <f>++IF('Scheda Inv'!$D10=0,0,IF(D23='Scheda Inv'!$C10,0,'Scheda Inv'!$C10/'Scheda Inv'!$D10))</f>
        <v>0</v>
      </c>
      <c r="F17" s="84">
        <f>++IF('Scheda Inv'!$D10=0,0,IF(E23='Scheda Inv'!$C10,0,'Scheda Inv'!$C10/'Scheda Inv'!$D10))</f>
        <v>0</v>
      </c>
      <c r="G17" s="84">
        <f>++IF('Scheda Inv'!$D10=0,0,IF(F23='Scheda Inv'!$C10,0,'Scheda Inv'!$C10/'Scheda Inv'!$D10))</f>
        <v>0</v>
      </c>
      <c r="H17" s="84">
        <f>++IF('Scheda Inv'!$D10=0,0,IF(G23='Scheda Inv'!$C10,0,'Scheda Inv'!$C10/'Scheda Inv'!$D10))</f>
        <v>0</v>
      </c>
      <c r="I17" s="84">
        <f>++IF('Scheda Inv'!$D10=0,0,IF(H23='Scheda Inv'!$C10,0,'Scheda Inv'!$C10/'Scheda Inv'!$D10))</f>
        <v>0</v>
      </c>
      <c r="J17" s="84">
        <f>++IF('Scheda Inv'!$D10=0,0,IF(I23='Scheda Inv'!$C10,0,'Scheda Inv'!$C10/'Scheda Inv'!$D10))</f>
        <v>0</v>
      </c>
      <c r="K17" s="84">
        <f>++IF('Scheda Inv'!$D10=0,0,IF(J23='Scheda Inv'!$C10,0,'Scheda Inv'!$C10/'Scheda Inv'!$D10))</f>
        <v>0</v>
      </c>
      <c r="L17" s="84">
        <f>++IF('Scheda Inv'!$D10=0,0,IF(K23='Scheda Inv'!$C10,0,'Scheda Inv'!$C10/'Scheda Inv'!$D10))</f>
        <v>0</v>
      </c>
    </row>
    <row r="18" spans="1:16" x14ac:dyDescent="0.3">
      <c r="B18" s="85" t="s">
        <v>872</v>
      </c>
      <c r="C18" s="84">
        <f>+IF('Scheda Inv'!D11=0,0,'Scheda Inv'!$C11/'Scheda Inv'!$D11)</f>
        <v>0</v>
      </c>
      <c r="D18" s="84">
        <f>++IF('Scheda Inv'!$D11=0,0,IF(C24='Scheda Inv'!$C11,0,'Scheda Inv'!$C11/'Scheda Inv'!$D11))</f>
        <v>0</v>
      </c>
      <c r="E18" s="84">
        <f>++IF('Scheda Inv'!$D11=0,0,IF(D24='Scheda Inv'!$C11,0,'Scheda Inv'!$C11/'Scheda Inv'!$D11))</f>
        <v>0</v>
      </c>
      <c r="F18" s="84">
        <f>++IF('Scheda Inv'!$D11=0,0,IF(E24='Scheda Inv'!$C11,0,'Scheda Inv'!$C11/'Scheda Inv'!$D11))</f>
        <v>0</v>
      </c>
      <c r="G18" s="84">
        <f>++IF('Scheda Inv'!$D11=0,0,IF(F24='Scheda Inv'!$C11,0,'Scheda Inv'!$C11/'Scheda Inv'!$D11))</f>
        <v>0</v>
      </c>
      <c r="H18" s="84">
        <f>++IF('Scheda Inv'!$D11=0,0,IF(G24='Scheda Inv'!$C11,0,'Scheda Inv'!$C11/'Scheda Inv'!$D11))</f>
        <v>0</v>
      </c>
      <c r="I18" s="84">
        <f>++IF('Scheda Inv'!$D11=0,0,IF(H24='Scheda Inv'!$C11,0,'Scheda Inv'!$C11/'Scheda Inv'!$D11))</f>
        <v>0</v>
      </c>
      <c r="J18" s="84">
        <f>++IF('Scheda Inv'!$D11=0,0,IF(I24='Scheda Inv'!$C11,0,'Scheda Inv'!$C11/'Scheda Inv'!$D11))</f>
        <v>0</v>
      </c>
      <c r="K18" s="84">
        <f>++IF('Scheda Inv'!$D11=0,0,IF(J24='Scheda Inv'!$C11,0,'Scheda Inv'!$C11/'Scheda Inv'!$D11))</f>
        <v>0</v>
      </c>
      <c r="L18" s="84">
        <f>++IF('Scheda Inv'!$D11=0,0,IF(K24='Scheda Inv'!$C11,0,'Scheda Inv'!$C11/'Scheda Inv'!$D11))</f>
        <v>0</v>
      </c>
    </row>
    <row r="19" spans="1:16" x14ac:dyDescent="0.3">
      <c r="B19" s="85" t="s">
        <v>873</v>
      </c>
      <c r="C19" s="84">
        <f>+IF('Scheda Inv'!D12=0,0,'Scheda Inv'!$C12/'Scheda Inv'!$D12)</f>
        <v>0</v>
      </c>
      <c r="D19" s="84">
        <f>++IF('Scheda Inv'!$D12=0,0,IF(C25='Scheda Inv'!$C12,0,'Scheda Inv'!$C12/'Scheda Inv'!$D12))</f>
        <v>0</v>
      </c>
      <c r="E19" s="84">
        <f>++IF('Scheda Inv'!$D12=0,0,IF(D25='Scheda Inv'!$C12,0,'Scheda Inv'!$C12/'Scheda Inv'!$D12))</f>
        <v>0</v>
      </c>
      <c r="F19" s="84">
        <f>++IF('Scheda Inv'!$D12=0,0,IF(E25='Scheda Inv'!$C12,0,'Scheda Inv'!$C12/'Scheda Inv'!$D12))</f>
        <v>0</v>
      </c>
      <c r="G19" s="84">
        <f>++IF('Scheda Inv'!$D12=0,0,IF(F25='Scheda Inv'!$C12,0,'Scheda Inv'!$C12/'Scheda Inv'!$D12))</f>
        <v>0</v>
      </c>
      <c r="H19" s="84">
        <f>++IF('Scheda Inv'!$D12=0,0,IF(G25='Scheda Inv'!$C12,0,'Scheda Inv'!$C12/'Scheda Inv'!$D12))</f>
        <v>0</v>
      </c>
      <c r="I19" s="84">
        <f>++IF('Scheda Inv'!$D12=0,0,IF(H25='Scheda Inv'!$C12,0,'Scheda Inv'!$C12/'Scheda Inv'!$D12))</f>
        <v>0</v>
      </c>
      <c r="J19" s="84">
        <f>++IF('Scheda Inv'!$D12=0,0,IF(I25='Scheda Inv'!$C12,0,'Scheda Inv'!$C12/'Scheda Inv'!$D12))</f>
        <v>0</v>
      </c>
      <c r="K19" s="84">
        <f>++IF('Scheda Inv'!$D12=0,0,IF(J25='Scheda Inv'!$C12,0,'Scheda Inv'!$C12/'Scheda Inv'!$D12))</f>
        <v>0</v>
      </c>
      <c r="L19" s="84">
        <f>++IF('Scheda Inv'!$D12=0,0,IF(K25='Scheda Inv'!$C12,0,'Scheda Inv'!$C12/'Scheda Inv'!$D12))</f>
        <v>0</v>
      </c>
    </row>
    <row r="20" spans="1:16" x14ac:dyDescent="0.3">
      <c r="B20" s="85" t="s">
        <v>930</v>
      </c>
      <c r="C20" s="87">
        <f t="shared" ref="C20:L20" si="6">SUM(C17:C19)</f>
        <v>0</v>
      </c>
      <c r="D20" s="87">
        <f t="shared" si="6"/>
        <v>0</v>
      </c>
      <c r="E20" s="87">
        <f t="shared" si="6"/>
        <v>0</v>
      </c>
      <c r="F20" s="87">
        <f t="shared" si="6"/>
        <v>0</v>
      </c>
      <c r="G20" s="87">
        <f t="shared" si="6"/>
        <v>0</v>
      </c>
      <c r="H20" s="87">
        <f t="shared" si="6"/>
        <v>0</v>
      </c>
      <c r="I20" s="87">
        <f t="shared" si="6"/>
        <v>0</v>
      </c>
      <c r="J20" s="87">
        <f t="shared" si="6"/>
        <v>0</v>
      </c>
      <c r="K20" s="87">
        <f t="shared" si="6"/>
        <v>0</v>
      </c>
      <c r="L20" s="87">
        <f t="shared" si="6"/>
        <v>0</v>
      </c>
    </row>
    <row r="22" spans="1:16" x14ac:dyDescent="0.3">
      <c r="B22" s="2" t="s">
        <v>931</v>
      </c>
      <c r="C22" s="65">
        <f t="shared" ref="C22:L22" si="7">+C16</f>
        <v>2017</v>
      </c>
      <c r="D22" s="65">
        <f t="shared" si="7"/>
        <v>2018</v>
      </c>
      <c r="E22" s="65">
        <f t="shared" si="7"/>
        <v>2019</v>
      </c>
      <c r="F22" s="65">
        <f t="shared" si="7"/>
        <v>2020</v>
      </c>
      <c r="G22" s="65">
        <f t="shared" si="7"/>
        <v>2021</v>
      </c>
      <c r="H22" s="65">
        <f t="shared" si="7"/>
        <v>2022</v>
      </c>
      <c r="I22" s="65">
        <f t="shared" si="7"/>
        <v>2023</v>
      </c>
      <c r="J22" s="65">
        <f t="shared" si="7"/>
        <v>2024</v>
      </c>
      <c r="K22" s="65">
        <f t="shared" si="7"/>
        <v>2025</v>
      </c>
      <c r="L22" s="65">
        <f t="shared" si="7"/>
        <v>2026</v>
      </c>
    </row>
    <row r="23" spans="1:16" x14ac:dyDescent="0.3">
      <c r="B23" s="85" t="str">
        <f t="shared" ref="B23:C25" si="8">+B17</f>
        <v xml:space="preserve">           1) Costi d'impianto e ampliamento</v>
      </c>
      <c r="C23" s="84">
        <f t="shared" si="8"/>
        <v>0</v>
      </c>
      <c r="D23" s="84">
        <f t="shared" ref="D23:L23" si="9">+C23+D17</f>
        <v>0</v>
      </c>
      <c r="E23" s="84">
        <f t="shared" si="9"/>
        <v>0</v>
      </c>
      <c r="F23" s="84">
        <f t="shared" si="9"/>
        <v>0</v>
      </c>
      <c r="G23" s="84">
        <f t="shared" si="9"/>
        <v>0</v>
      </c>
      <c r="H23" s="84">
        <f t="shared" si="9"/>
        <v>0</v>
      </c>
      <c r="I23" s="84">
        <f t="shared" si="9"/>
        <v>0</v>
      </c>
      <c r="J23" s="84">
        <f t="shared" si="9"/>
        <v>0</v>
      </c>
      <c r="K23" s="84">
        <f t="shared" si="9"/>
        <v>0</v>
      </c>
      <c r="L23" s="84">
        <f t="shared" si="9"/>
        <v>0</v>
      </c>
    </row>
    <row r="24" spans="1:16" x14ac:dyDescent="0.3">
      <c r="B24" s="85" t="str">
        <f t="shared" si="8"/>
        <v xml:space="preserve">           2) Ricerca&amp; Sviluppo</v>
      </c>
      <c r="C24" s="84">
        <f t="shared" si="8"/>
        <v>0</v>
      </c>
      <c r="D24" s="84">
        <f t="shared" ref="D24:L24" si="10">+C24+D18</f>
        <v>0</v>
      </c>
      <c r="E24" s="84">
        <f t="shared" si="10"/>
        <v>0</v>
      </c>
      <c r="F24" s="84">
        <f t="shared" si="10"/>
        <v>0</v>
      </c>
      <c r="G24" s="84">
        <f t="shared" si="10"/>
        <v>0</v>
      </c>
      <c r="H24" s="84">
        <f t="shared" si="10"/>
        <v>0</v>
      </c>
      <c r="I24" s="84">
        <f t="shared" si="10"/>
        <v>0</v>
      </c>
      <c r="J24" s="84">
        <f t="shared" si="10"/>
        <v>0</v>
      </c>
      <c r="K24" s="84">
        <f t="shared" si="10"/>
        <v>0</v>
      </c>
      <c r="L24" s="84">
        <f t="shared" si="10"/>
        <v>0</v>
      </c>
    </row>
    <row r="25" spans="1:16" x14ac:dyDescent="0.3">
      <c r="B25" s="85" t="str">
        <f t="shared" si="8"/>
        <v xml:space="preserve">           3) Altre immobilizzazioni immateriali</v>
      </c>
      <c r="C25" s="84">
        <f t="shared" si="8"/>
        <v>0</v>
      </c>
      <c r="D25" s="84">
        <f t="shared" ref="D25:L25" si="11">+C25+D19</f>
        <v>0</v>
      </c>
      <c r="E25" s="84">
        <f t="shared" si="11"/>
        <v>0</v>
      </c>
      <c r="F25" s="84">
        <f t="shared" si="11"/>
        <v>0</v>
      </c>
      <c r="G25" s="84">
        <f t="shared" si="11"/>
        <v>0</v>
      </c>
      <c r="H25" s="84">
        <f t="shared" si="11"/>
        <v>0</v>
      </c>
      <c r="I25" s="84">
        <f t="shared" si="11"/>
        <v>0</v>
      </c>
      <c r="J25" s="84">
        <f t="shared" si="11"/>
        <v>0</v>
      </c>
      <c r="K25" s="84">
        <f t="shared" si="11"/>
        <v>0</v>
      </c>
      <c r="L25" s="84">
        <f t="shared" si="11"/>
        <v>0</v>
      </c>
    </row>
    <row r="26" spans="1:16" x14ac:dyDescent="0.3">
      <c r="B26" s="85"/>
      <c r="C26" s="84"/>
      <c r="D26" s="84"/>
      <c r="E26" s="84"/>
      <c r="F26" s="84"/>
      <c r="G26" s="84"/>
      <c r="H26" s="84"/>
      <c r="I26" s="84"/>
      <c r="J26" s="84"/>
      <c r="K26" s="84"/>
      <c r="L26" s="84"/>
    </row>
    <row r="27" spans="1:16" x14ac:dyDescent="0.3">
      <c r="B27" s="85"/>
      <c r="C27" s="84"/>
      <c r="D27" s="84"/>
      <c r="E27" s="84"/>
      <c r="F27" s="84"/>
      <c r="G27" s="84"/>
      <c r="H27" s="84"/>
      <c r="I27" s="84"/>
      <c r="J27" s="84"/>
      <c r="K27" s="84"/>
      <c r="L27" s="84"/>
    </row>
    <row r="28" spans="1:16" x14ac:dyDescent="0.3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30" spans="1:16" x14ac:dyDescent="0.3">
      <c r="B30" t="s">
        <v>49</v>
      </c>
    </row>
    <row r="31" spans="1:16" x14ac:dyDescent="0.3">
      <c r="B31" s="2" t="str">
        <f>+B3</f>
        <v>Ammortamenti Materiali</v>
      </c>
      <c r="C31" s="2">
        <f>+C3</f>
        <v>2017</v>
      </c>
      <c r="D31" s="2">
        <f t="shared" ref="D31:L31" si="12">+D3</f>
        <v>2018</v>
      </c>
      <c r="E31" s="2">
        <f t="shared" si="12"/>
        <v>2019</v>
      </c>
      <c r="F31" s="2">
        <f t="shared" si="12"/>
        <v>2020</v>
      </c>
      <c r="G31" s="2">
        <f t="shared" si="12"/>
        <v>2021</v>
      </c>
      <c r="H31" s="2">
        <f t="shared" si="12"/>
        <v>2022</v>
      </c>
      <c r="I31" s="2">
        <f t="shared" si="12"/>
        <v>2023</v>
      </c>
      <c r="J31" s="2">
        <f t="shared" si="12"/>
        <v>2024</v>
      </c>
      <c r="K31" s="2">
        <f t="shared" si="12"/>
        <v>2025</v>
      </c>
      <c r="L31" s="2">
        <f t="shared" si="12"/>
        <v>2026</v>
      </c>
    </row>
    <row r="32" spans="1:16" x14ac:dyDescent="0.3">
      <c r="B32" s="85" t="str">
        <f>+B4</f>
        <v>Fabbricati</v>
      </c>
      <c r="C32">
        <f>+'Scheda Inv'!D23</f>
        <v>0</v>
      </c>
    </row>
    <row r="33" spans="2:2" x14ac:dyDescent="0.3">
      <c r="B33" s="85" t="str">
        <f t="shared" ref="B33:B35" si="13">+B5</f>
        <v>Impianti e Macchinari</v>
      </c>
    </row>
    <row r="34" spans="2:2" x14ac:dyDescent="0.3">
      <c r="B34" s="85" t="str">
        <f t="shared" si="13"/>
        <v>Attrezzature industriali e commerciali</v>
      </c>
    </row>
    <row r="35" spans="2:2" x14ac:dyDescent="0.3">
      <c r="B35" s="85" t="str">
        <f t="shared" si="13"/>
        <v>Altri beni</v>
      </c>
    </row>
    <row r="55" spans="2:12" x14ac:dyDescent="0.3">
      <c r="B55" t="s">
        <v>932</v>
      </c>
      <c r="C55" s="65">
        <f t="shared" ref="C55:L55" si="14">+C3</f>
        <v>2017</v>
      </c>
      <c r="D55" s="65">
        <f t="shared" si="14"/>
        <v>2018</v>
      </c>
      <c r="E55" s="65">
        <f t="shared" si="14"/>
        <v>2019</v>
      </c>
      <c r="F55" s="65">
        <f t="shared" si="14"/>
        <v>2020</v>
      </c>
      <c r="G55" s="65">
        <f t="shared" si="14"/>
        <v>2021</v>
      </c>
      <c r="H55" s="65">
        <f t="shared" si="14"/>
        <v>2022</v>
      </c>
      <c r="I55" s="65">
        <f t="shared" si="14"/>
        <v>2023</v>
      </c>
      <c r="J55" s="65">
        <f t="shared" si="14"/>
        <v>2024</v>
      </c>
      <c r="K55" s="65">
        <f t="shared" si="14"/>
        <v>2025</v>
      </c>
      <c r="L55" s="65">
        <f t="shared" si="14"/>
        <v>2026</v>
      </c>
    </row>
    <row r="56" spans="2:12" x14ac:dyDescent="0.3">
      <c r="B56" t="s">
        <v>933</v>
      </c>
      <c r="C56" s="84">
        <f>+'CE Previsionale'!D5+'CE Previsionale'!D6</f>
        <v>1345909.27</v>
      </c>
      <c r="D56" s="84">
        <f>+'CE Previsionale'!E5+'CE Previsionale'!E6</f>
        <v>1345909.27</v>
      </c>
      <c r="E56" s="84">
        <f>+'CE Previsionale'!F5+'CE Previsionale'!F6</f>
        <v>1345909.27</v>
      </c>
      <c r="F56" s="84">
        <f>+'CE Previsionale'!G5+'CE Previsionale'!G6</f>
        <v>1345909.27</v>
      </c>
      <c r="G56" s="84">
        <f>+'CE Previsionale'!H5+'CE Previsionale'!H6</f>
        <v>1345909.27</v>
      </c>
      <c r="H56" s="84">
        <f>+'CE Previsionale'!I5+'CE Previsionale'!I6</f>
        <v>1345909.27</v>
      </c>
      <c r="I56" s="84">
        <f>+'CE Previsionale'!J5+'CE Previsionale'!J6</f>
        <v>1345909.27</v>
      </c>
      <c r="J56" s="84">
        <f>+'CE Previsionale'!K5+'CE Previsionale'!K6</f>
        <v>1345909.27</v>
      </c>
      <c r="K56" s="84">
        <f>+'CE Previsionale'!L5+'CE Previsionale'!L6</f>
        <v>1345909.27</v>
      </c>
      <c r="L56" s="84">
        <f>+'CE Previsionale'!M5+'CE Previsionale'!M6</f>
        <v>1345909.27</v>
      </c>
    </row>
    <row r="57" spans="2:12" x14ac:dyDescent="0.3">
      <c r="B57" t="s">
        <v>934</v>
      </c>
      <c r="C57" s="84">
        <f>+C56*'Input Previsionale'!$E$3</f>
        <v>296100.03940000001</v>
      </c>
      <c r="D57" s="84">
        <f>+D56*'Input Previsionale'!$E$3</f>
        <v>296100.03940000001</v>
      </c>
      <c r="E57" s="84">
        <f>+E56*'Input Previsionale'!$E$3</f>
        <v>296100.03940000001</v>
      </c>
      <c r="F57" s="84">
        <f>+F56*'Input Previsionale'!$E$3</f>
        <v>296100.03940000001</v>
      </c>
      <c r="G57" s="84">
        <f>+G56*'Input Previsionale'!$E$3</f>
        <v>296100.03940000001</v>
      </c>
      <c r="H57" s="84">
        <f>+H56*'Input Previsionale'!$E$3</f>
        <v>296100.03940000001</v>
      </c>
      <c r="I57" s="84">
        <f>+I56*'Input Previsionale'!$E$3</f>
        <v>296100.03940000001</v>
      </c>
      <c r="J57" s="84">
        <f>+J56*'Input Previsionale'!$E$3</f>
        <v>296100.03940000001</v>
      </c>
      <c r="K57" s="84">
        <f>+K56*'Input Previsionale'!$E$3</f>
        <v>296100.03940000001</v>
      </c>
      <c r="L57" s="84">
        <f>+L56*'Input Previsionale'!$E$3</f>
        <v>296100.03940000001</v>
      </c>
    </row>
    <row r="58" spans="2:12" x14ac:dyDescent="0.3">
      <c r="B58" t="s">
        <v>935</v>
      </c>
      <c r="C58" s="84">
        <f>+(C56+C57)*('Input Previsionale'!E10/360)</f>
        <v>410502.32735000004</v>
      </c>
      <c r="D58" s="84">
        <f>+(D56+D57)*('Input Previsionale'!F10/360)</f>
        <v>410502.32735000004</v>
      </c>
      <c r="E58" s="84">
        <f>+(E56+E57)*('Input Previsionale'!G10/360)</f>
        <v>410502.32735000004</v>
      </c>
      <c r="F58" s="84">
        <f>+(F56+F57)*('Input Previsionale'!H10/360)</f>
        <v>0</v>
      </c>
      <c r="G58" s="84">
        <f>+(G56+G57)*('Input Previsionale'!I10/360)</f>
        <v>0</v>
      </c>
      <c r="H58" s="84">
        <f>+(H56+H57)*('Input Previsionale'!J10/360)</f>
        <v>0</v>
      </c>
      <c r="I58" s="84">
        <f>+(I56+I57)*('Input Previsionale'!K10/360)</f>
        <v>0</v>
      </c>
      <c r="J58" s="84">
        <f>+(J56+J57)*('Input Previsionale'!L10/360)</f>
        <v>0</v>
      </c>
      <c r="K58" s="84">
        <f>+(K56+K57)*('Input Previsionale'!M10/360)</f>
        <v>0</v>
      </c>
      <c r="L58" s="84">
        <f>+(L56+L57)*('Input Previsionale'!N10/360)</f>
        <v>0</v>
      </c>
    </row>
    <row r="59" spans="2:12" x14ac:dyDescent="0.3">
      <c r="B59" t="s">
        <v>936</v>
      </c>
      <c r="C59" s="66">
        <f>+C56+C57-C58</f>
        <v>1231506.9820500002</v>
      </c>
      <c r="D59" s="66">
        <f>+D56+D57+C58-D58</f>
        <v>1642009.3094000001</v>
      </c>
      <c r="E59" s="66">
        <f t="shared" ref="E59:L59" si="15">+E56+E57+D58-E58</f>
        <v>1642009.3094000001</v>
      </c>
      <c r="F59" s="66">
        <f t="shared" si="15"/>
        <v>2052511.6367500001</v>
      </c>
      <c r="G59" s="66">
        <f t="shared" si="15"/>
        <v>1642009.3094000001</v>
      </c>
      <c r="H59" s="66">
        <f t="shared" si="15"/>
        <v>1642009.3094000001</v>
      </c>
      <c r="I59" s="66">
        <f t="shared" si="15"/>
        <v>1642009.3094000001</v>
      </c>
      <c r="J59" s="66">
        <f t="shared" si="15"/>
        <v>1642009.3094000001</v>
      </c>
      <c r="K59" s="66">
        <f t="shared" si="15"/>
        <v>1642009.3094000001</v>
      </c>
      <c r="L59" s="66">
        <f t="shared" si="15"/>
        <v>1642009.3094000001</v>
      </c>
    </row>
    <row r="60" spans="2:12" x14ac:dyDescent="0.3">
      <c r="D60" s="66"/>
      <c r="E60" s="66"/>
    </row>
    <row r="61" spans="2:12" ht="15.45" customHeight="1" x14ac:dyDescent="0.3">
      <c r="B61" t="s">
        <v>937</v>
      </c>
      <c r="C61" s="66">
        <f>+C56+C57-C58-C59</f>
        <v>0</v>
      </c>
      <c r="D61" s="66">
        <f>+D56+D57-(D59+D58-C58)</f>
        <v>0</v>
      </c>
      <c r="E61" s="66">
        <f t="shared" ref="E61:L61" si="16">+E56+E57-(E59+E58-D58)</f>
        <v>0</v>
      </c>
      <c r="F61" s="66">
        <f t="shared" si="16"/>
        <v>0</v>
      </c>
      <c r="G61" s="66">
        <f t="shared" si="16"/>
        <v>0</v>
      </c>
      <c r="H61" s="66">
        <f t="shared" si="16"/>
        <v>0</v>
      </c>
      <c r="I61" s="66">
        <f t="shared" si="16"/>
        <v>0</v>
      </c>
      <c r="J61" s="66">
        <f t="shared" si="16"/>
        <v>0</v>
      </c>
      <c r="K61" s="66">
        <f t="shared" si="16"/>
        <v>0</v>
      </c>
      <c r="L61" s="66">
        <f t="shared" si="16"/>
        <v>0</v>
      </c>
    </row>
    <row r="64" spans="2:12" x14ac:dyDescent="0.3">
      <c r="B64" s="2" t="s">
        <v>938</v>
      </c>
      <c r="C64" s="65">
        <f>+C3</f>
        <v>2017</v>
      </c>
      <c r="D64" s="65">
        <f t="shared" ref="D64:L64" si="17">+D3</f>
        <v>2018</v>
      </c>
      <c r="E64" s="65">
        <f t="shared" si="17"/>
        <v>2019</v>
      </c>
      <c r="F64" s="65">
        <f t="shared" si="17"/>
        <v>2020</v>
      </c>
      <c r="G64" s="65">
        <f t="shared" si="17"/>
        <v>2021</v>
      </c>
      <c r="H64" s="65">
        <f t="shared" si="17"/>
        <v>2022</v>
      </c>
      <c r="I64" s="65">
        <f t="shared" si="17"/>
        <v>2023</v>
      </c>
      <c r="J64" s="65">
        <f t="shared" si="17"/>
        <v>2024</v>
      </c>
      <c r="K64" s="65">
        <f t="shared" si="17"/>
        <v>2025</v>
      </c>
      <c r="L64" s="65">
        <f t="shared" si="17"/>
        <v>2026</v>
      </c>
    </row>
    <row r="65" spans="2:12" x14ac:dyDescent="0.3">
      <c r="B65" t="s">
        <v>939</v>
      </c>
      <c r="C65" s="84">
        <f>+'CE Previsionale'!D11</f>
        <v>470394.6179999999</v>
      </c>
      <c r="D65" s="84">
        <f>+'CE Previsionale'!E11</f>
        <v>566363.70799999998</v>
      </c>
      <c r="E65" s="84">
        <f>+'CE Previsionale'!F11</f>
        <v>510363.70799999998</v>
      </c>
      <c r="F65" s="84">
        <f>+'CE Previsionale'!G11</f>
        <v>538363.70799999998</v>
      </c>
      <c r="G65" s="84">
        <f>+'CE Previsionale'!H11</f>
        <v>538363.70799999998</v>
      </c>
      <c r="H65" s="84">
        <f>+'CE Previsionale'!I11</f>
        <v>538363.70799999998</v>
      </c>
      <c r="I65" s="84">
        <f>+'CE Previsionale'!J11</f>
        <v>538363.70799999998</v>
      </c>
      <c r="J65" s="84">
        <f>+'CE Previsionale'!K11</f>
        <v>538363.70799999998</v>
      </c>
      <c r="K65" s="84">
        <f>+'CE Previsionale'!L11</f>
        <v>538363.70799999998</v>
      </c>
      <c r="L65" s="84">
        <f>+'CE Previsionale'!M11</f>
        <v>538363.70799999998</v>
      </c>
    </row>
    <row r="66" spans="2:12" x14ac:dyDescent="0.3">
      <c r="B66" t="s">
        <v>940</v>
      </c>
      <c r="C66" s="84">
        <f>+C65*'Input Previsionale'!$E$3</f>
        <v>103486.81595999998</v>
      </c>
      <c r="D66" s="84">
        <f>+D65*'Input Previsionale'!$E$3</f>
        <v>124600.01575999999</v>
      </c>
      <c r="E66" s="84">
        <f>+E65*'Input Previsionale'!$E$3</f>
        <v>112280.01575999999</v>
      </c>
      <c r="F66" s="84">
        <f>+F65*'Input Previsionale'!$E$3</f>
        <v>118440.01575999999</v>
      </c>
      <c r="G66" s="84">
        <f>+G65*'Input Previsionale'!$E$3</f>
        <v>118440.01575999999</v>
      </c>
      <c r="H66" s="84">
        <f>+H65*'Input Previsionale'!$E$3</f>
        <v>118440.01575999999</v>
      </c>
      <c r="I66" s="84">
        <f>+I65*'Input Previsionale'!$E$3</f>
        <v>118440.01575999999</v>
      </c>
      <c r="J66" s="84">
        <f>+J65*'Input Previsionale'!$E$3</f>
        <v>118440.01575999999</v>
      </c>
      <c r="K66" s="84">
        <f>+K65*'Input Previsionale'!$E$3</f>
        <v>118440.01575999999</v>
      </c>
      <c r="L66" s="84">
        <f>+L65*'Input Previsionale'!$E$3</f>
        <v>118440.01575999999</v>
      </c>
    </row>
    <row r="67" spans="2:12" x14ac:dyDescent="0.3">
      <c r="B67" t="s">
        <v>941</v>
      </c>
      <c r="C67" s="84">
        <f>+(C65+C66)*('Input Previsionale'!E15/360)</f>
        <v>95646.90565999996</v>
      </c>
      <c r="D67" s="84">
        <f>+(D65+D66)*('Input Previsionale'!F15/360)</f>
        <v>115160.62062666666</v>
      </c>
      <c r="E67" s="84">
        <f>+(E65+E66)*('Input Previsionale'!G15/360)</f>
        <v>103773.95395999998</v>
      </c>
      <c r="F67" s="84">
        <f>+(F65+F66)*('Input Previsionale'!H15/360)</f>
        <v>109467.28729333333</v>
      </c>
      <c r="G67" s="84">
        <f>+(G65+G66)*('Input Previsionale'!I15/360)</f>
        <v>109467.28729333333</v>
      </c>
      <c r="H67" s="84">
        <f>+(H65+H66)*('Input Previsionale'!J15/360)</f>
        <v>109467.28729333333</v>
      </c>
      <c r="I67" s="84">
        <f>+(I65+I66)*('Input Previsionale'!K15/360)</f>
        <v>109467.28729333333</v>
      </c>
      <c r="J67" s="84">
        <f>+(J65+J66)*('Input Previsionale'!L15/360)</f>
        <v>109467.28729333333</v>
      </c>
      <c r="K67" s="84">
        <f>+(K65+K66)*('Input Previsionale'!M15/360)</f>
        <v>109467.28729333333</v>
      </c>
      <c r="L67" s="84">
        <f>+(L65+L66)*('Input Previsionale'!N15/360)</f>
        <v>109467.28729333333</v>
      </c>
    </row>
    <row r="68" spans="2:12" x14ac:dyDescent="0.3">
      <c r="B68" t="s">
        <v>942</v>
      </c>
      <c r="C68" s="66">
        <f>+C65+C66-C67</f>
        <v>478234.52829999989</v>
      </c>
      <c r="D68" s="66">
        <f>+D65+D66+C67-D67</f>
        <v>671450.0087933332</v>
      </c>
      <c r="E68" s="66">
        <f t="shared" ref="E68" si="18">+E65+E66+D67-E67</f>
        <v>634030.39042666671</v>
      </c>
      <c r="F68" s="66">
        <f t="shared" ref="F68" si="19">+F65+F66+E67-F67</f>
        <v>651110.39042666659</v>
      </c>
      <c r="G68" s="66">
        <f t="shared" ref="G68" si="20">+G65+G66+F67-G67</f>
        <v>656803.72375999996</v>
      </c>
      <c r="H68" s="66">
        <f t="shared" ref="H68" si="21">+H65+H66+G67-H67</f>
        <v>656803.72375999996</v>
      </c>
      <c r="I68" s="66">
        <f t="shared" ref="I68" si="22">+I65+I66+H67-I67</f>
        <v>656803.72375999996</v>
      </c>
      <c r="J68" s="66">
        <f t="shared" ref="J68" si="23">+J65+J66+I67-J67</f>
        <v>656803.72375999996</v>
      </c>
      <c r="K68" s="66">
        <f t="shared" ref="K68" si="24">+K65+K66+J67-K67</f>
        <v>656803.72375999996</v>
      </c>
      <c r="L68" s="66">
        <f t="shared" ref="L68" si="25">+L65+L66+K67-L67</f>
        <v>656803.72375999996</v>
      </c>
    </row>
    <row r="69" spans="2:12" x14ac:dyDescent="0.3">
      <c r="D69" s="66"/>
      <c r="E69" s="66"/>
    </row>
    <row r="70" spans="2:12" x14ac:dyDescent="0.3">
      <c r="B70" t="s">
        <v>937</v>
      </c>
      <c r="C70" s="66">
        <f>+C65+C66-C67-C68</f>
        <v>0</v>
      </c>
      <c r="D70" s="66">
        <f>+D65+D66-(D68+D67-C67)</f>
        <v>0</v>
      </c>
      <c r="E70" s="66">
        <f t="shared" ref="E70:L70" si="26">+E65+E66-(E68+E67-D67)</f>
        <v>0</v>
      </c>
      <c r="F70" s="66">
        <f t="shared" si="26"/>
        <v>0</v>
      </c>
      <c r="G70" s="66">
        <f t="shared" si="26"/>
        <v>0</v>
      </c>
      <c r="H70" s="66">
        <f t="shared" si="26"/>
        <v>0</v>
      </c>
      <c r="I70" s="66">
        <f t="shared" si="26"/>
        <v>0</v>
      </c>
      <c r="J70" s="66">
        <f t="shared" si="26"/>
        <v>0</v>
      </c>
      <c r="K70" s="66">
        <f t="shared" si="26"/>
        <v>0</v>
      </c>
      <c r="L70" s="66">
        <f t="shared" si="26"/>
        <v>0</v>
      </c>
    </row>
    <row r="73" spans="2:12" x14ac:dyDescent="0.3">
      <c r="B73" s="2" t="s">
        <v>943</v>
      </c>
      <c r="C73" s="65">
        <f>+C3</f>
        <v>2017</v>
      </c>
      <c r="D73" s="65">
        <f t="shared" ref="D73:L73" si="27">+D3</f>
        <v>2018</v>
      </c>
      <c r="E73" s="65">
        <f t="shared" si="27"/>
        <v>2019</v>
      </c>
      <c r="F73" s="65">
        <f t="shared" si="27"/>
        <v>2020</v>
      </c>
      <c r="G73" s="65">
        <f t="shared" si="27"/>
        <v>2021</v>
      </c>
      <c r="H73" s="65">
        <f t="shared" si="27"/>
        <v>2022</v>
      </c>
      <c r="I73" s="65">
        <f t="shared" si="27"/>
        <v>2023</v>
      </c>
      <c r="J73" s="65">
        <f t="shared" si="27"/>
        <v>2024</v>
      </c>
      <c r="K73" s="65">
        <f t="shared" si="27"/>
        <v>2025</v>
      </c>
      <c r="L73" s="65">
        <f t="shared" si="27"/>
        <v>2026</v>
      </c>
    </row>
    <row r="74" spans="2:12" x14ac:dyDescent="0.3">
      <c r="B74" t="s">
        <v>943</v>
      </c>
      <c r="C74" s="84">
        <f>+'CE Previsionale'!D17+'CE Previsionale'!D18</f>
        <v>279640.51500000001</v>
      </c>
      <c r="D74" s="84">
        <f>+'CE Previsionale'!E17+'CE Previsionale'!E18</f>
        <v>279640.51500000001</v>
      </c>
      <c r="E74" s="84">
        <f>+'CE Previsionale'!F17+'CE Previsionale'!F18</f>
        <v>279640.51500000001</v>
      </c>
      <c r="F74" s="84">
        <f>+'CE Previsionale'!G17+'CE Previsionale'!G18</f>
        <v>279640.51500000001</v>
      </c>
      <c r="G74" s="84">
        <f>+'CE Previsionale'!H17+'CE Previsionale'!H18</f>
        <v>279640.51500000001</v>
      </c>
      <c r="H74" s="84">
        <f>+'CE Previsionale'!I17+'CE Previsionale'!I18</f>
        <v>279640.51500000001</v>
      </c>
      <c r="I74" s="84">
        <f>+'CE Previsionale'!J17+'CE Previsionale'!J18</f>
        <v>279640.51500000001</v>
      </c>
      <c r="J74" s="84">
        <f>+'CE Previsionale'!K17+'CE Previsionale'!K18</f>
        <v>279640.51500000001</v>
      </c>
      <c r="K74" s="84">
        <f>+'CE Previsionale'!L17+'CE Previsionale'!L18</f>
        <v>279640.51500000001</v>
      </c>
      <c r="L74" s="84">
        <f>+'CE Previsionale'!M17+'CE Previsionale'!M18</f>
        <v>279640.51500000001</v>
      </c>
    </row>
    <row r="75" spans="2:12" x14ac:dyDescent="0.3">
      <c r="B75" t="s">
        <v>940</v>
      </c>
      <c r="C75" s="84">
        <f>+C74*'Input Previsionale'!$E$3</f>
        <v>61520.9133</v>
      </c>
      <c r="D75" s="84">
        <f>+D74*'Input Previsionale'!$E$3</f>
        <v>61520.9133</v>
      </c>
      <c r="E75" s="84">
        <f>+E74*'Input Previsionale'!$E$3</f>
        <v>61520.9133</v>
      </c>
      <c r="F75" s="84">
        <f>+F74*'Input Previsionale'!$E$3</f>
        <v>61520.9133</v>
      </c>
      <c r="G75" s="84">
        <f>+G74*'Input Previsionale'!$E$3</f>
        <v>61520.9133</v>
      </c>
      <c r="H75" s="84">
        <f>+H74*'Input Previsionale'!$E$3</f>
        <v>61520.9133</v>
      </c>
      <c r="I75" s="84">
        <f>+I74*'Input Previsionale'!$E$3</f>
        <v>61520.9133</v>
      </c>
      <c r="J75" s="84">
        <f>+J74*'Input Previsionale'!$E$3</f>
        <v>61520.9133</v>
      </c>
      <c r="K75" s="84">
        <f>+K74*'Input Previsionale'!$E$3</f>
        <v>61520.9133</v>
      </c>
      <c r="L75" s="84">
        <f>+L74*'Input Previsionale'!$E$3</f>
        <v>61520.9133</v>
      </c>
    </row>
    <row r="76" spans="2:12" x14ac:dyDescent="0.3">
      <c r="B76" t="s">
        <v>941</v>
      </c>
      <c r="C76" s="84">
        <f>+(C74+C75)*('Input Previsionale'!E14/360)</f>
        <v>568.60238049999998</v>
      </c>
      <c r="D76" s="84">
        <f>+(D74+D75)*('Input Previsionale'!F14/360)</f>
        <v>568.60238049999998</v>
      </c>
      <c r="E76" s="84">
        <f>+(E74+E75)*('Input Previsionale'!G14/360)</f>
        <v>568.60238049999998</v>
      </c>
      <c r="F76" s="84">
        <f>+(F74+F75)*('Input Previsionale'!H14/360)</f>
        <v>568.60238049999998</v>
      </c>
      <c r="G76" s="84">
        <f>+(G74+G75)*('Input Previsionale'!I14/360)</f>
        <v>568.60238049999998</v>
      </c>
      <c r="H76" s="84">
        <f>+(H74+H75)*('Input Previsionale'!J14/360)</f>
        <v>568.60238049999998</v>
      </c>
      <c r="I76" s="84">
        <f>+(I74+I75)*('Input Previsionale'!K14/360)</f>
        <v>568.60238049999998</v>
      </c>
      <c r="J76" s="84">
        <f>+(J74+J75)*('Input Previsionale'!L14/360)</f>
        <v>568.60238049999998</v>
      </c>
      <c r="K76" s="84">
        <f>+(K74+K75)*('Input Previsionale'!M14/360)</f>
        <v>568.60238049999998</v>
      </c>
      <c r="L76" s="84">
        <f>+(L74+L75)*('Input Previsionale'!N14/360)</f>
        <v>568.60238049999998</v>
      </c>
    </row>
    <row r="77" spans="2:12" x14ac:dyDescent="0.3">
      <c r="B77" t="s">
        <v>942</v>
      </c>
      <c r="C77" s="66">
        <f>+C74+C75-C76</f>
        <v>340592.82591950003</v>
      </c>
      <c r="D77" s="66">
        <f>+D74+D75+C76-D76</f>
        <v>341161.42830000003</v>
      </c>
      <c r="E77" s="66">
        <f t="shared" ref="E77" si="28">+E74+E75+D76-E76</f>
        <v>341161.42830000003</v>
      </c>
      <c r="F77" s="66">
        <f t="shared" ref="F77" si="29">+F74+F75+E76-F76</f>
        <v>341161.42830000003</v>
      </c>
      <c r="G77" s="66">
        <f t="shared" ref="G77" si="30">+G74+G75+F76-G76</f>
        <v>341161.42830000003</v>
      </c>
      <c r="H77" s="66">
        <f t="shared" ref="H77" si="31">+H74+H75+G76-H76</f>
        <v>341161.42830000003</v>
      </c>
      <c r="I77" s="66">
        <f t="shared" ref="I77" si="32">+I74+I75+H76-I76</f>
        <v>341161.42830000003</v>
      </c>
      <c r="J77" s="66">
        <f t="shared" ref="J77" si="33">+J74+J75+I76-J76</f>
        <v>341161.42830000003</v>
      </c>
      <c r="K77" s="66">
        <f t="shared" ref="K77" si="34">+K74+K75+J76-K76</f>
        <v>341161.42830000003</v>
      </c>
      <c r="L77" s="66">
        <f t="shared" ref="L77" si="35">+L74+L75+K76-L76</f>
        <v>341161.42830000003</v>
      </c>
    </row>
    <row r="78" spans="2:12" x14ac:dyDescent="0.3">
      <c r="D78" s="66"/>
      <c r="E78" s="66"/>
    </row>
    <row r="79" spans="2:12" x14ac:dyDescent="0.3">
      <c r="B79" t="s">
        <v>937</v>
      </c>
      <c r="C79" s="66">
        <f>+C74+C75-C76-C77</f>
        <v>0</v>
      </c>
      <c r="D79" s="66">
        <f>+D74+D75-(D77+D76-C76)</f>
        <v>0</v>
      </c>
      <c r="E79" s="66">
        <f t="shared" ref="E79:L79" si="36">+E74+E75-(E77+E76-D76)</f>
        <v>0</v>
      </c>
      <c r="F79" s="66">
        <f t="shared" si="36"/>
        <v>0</v>
      </c>
      <c r="G79" s="66">
        <f t="shared" si="36"/>
        <v>0</v>
      </c>
      <c r="H79" s="66">
        <f t="shared" si="36"/>
        <v>0</v>
      </c>
      <c r="I79" s="66">
        <f t="shared" si="36"/>
        <v>0</v>
      </c>
      <c r="J79" s="66">
        <f t="shared" si="36"/>
        <v>0</v>
      </c>
      <c r="K79" s="66">
        <f t="shared" si="36"/>
        <v>0</v>
      </c>
      <c r="L79" s="66">
        <f t="shared" si="36"/>
        <v>0</v>
      </c>
    </row>
    <row r="80" spans="2:12" x14ac:dyDescent="0.3">
      <c r="C80" s="66"/>
      <c r="D80" s="66"/>
      <c r="E80" s="66"/>
      <c r="F80" s="66"/>
      <c r="G80" s="66"/>
      <c r="H80" s="66"/>
      <c r="I80" s="66"/>
      <c r="J80" s="66"/>
      <c r="K80" s="66"/>
      <c r="L80" s="66"/>
    </row>
    <row r="81" spans="2:12" x14ac:dyDescent="0.3">
      <c r="B81" t="s">
        <v>944</v>
      </c>
      <c r="C81" s="66">
        <f>+'CE Previsionale'!D27</f>
        <v>262058.80000000002</v>
      </c>
      <c r="D81" s="66">
        <f>+'CE Previsionale'!E27</f>
        <v>262058.80000000002</v>
      </c>
      <c r="E81" s="66">
        <f>+'CE Previsionale'!F27</f>
        <v>262058.80000000002</v>
      </c>
      <c r="F81" s="66">
        <f>+'CE Previsionale'!G27</f>
        <v>262058.80000000002</v>
      </c>
      <c r="G81" s="66">
        <f>+'CE Previsionale'!H27</f>
        <v>262058.80000000002</v>
      </c>
      <c r="H81" s="66">
        <f>+'CE Previsionale'!I27</f>
        <v>262058.80000000002</v>
      </c>
      <c r="I81" s="66">
        <f>+'CE Previsionale'!J27</f>
        <v>262058.80000000002</v>
      </c>
      <c r="J81" s="66">
        <f>+'CE Previsionale'!K27</f>
        <v>262058.80000000002</v>
      </c>
      <c r="K81" s="66">
        <f>+'CE Previsionale'!L27</f>
        <v>262058.80000000002</v>
      </c>
      <c r="L81" s="66">
        <f>+'CE Previsionale'!M27</f>
        <v>262058.80000000002</v>
      </c>
    </row>
    <row r="82" spans="2:12" x14ac:dyDescent="0.3">
      <c r="B82" t="s">
        <v>945</v>
      </c>
      <c r="C82" s="66">
        <f>+'CE Previsionale'!C28</f>
        <v>12391.99</v>
      </c>
      <c r="D82" s="66">
        <f>+'CE Previsionale'!D28</f>
        <v>12391.99</v>
      </c>
      <c r="E82" s="66">
        <f>+'CE Previsionale'!E28</f>
        <v>12391.99</v>
      </c>
      <c r="F82" s="66">
        <f>+'CE Previsionale'!F28</f>
        <v>12391.99</v>
      </c>
      <c r="G82" s="66">
        <f>+'CE Previsionale'!G28</f>
        <v>12391.99</v>
      </c>
      <c r="H82" s="66">
        <f>+'CE Previsionale'!H28</f>
        <v>12391.99</v>
      </c>
      <c r="I82" s="66">
        <f>+'CE Previsionale'!I28</f>
        <v>12391.99</v>
      </c>
      <c r="J82" s="66">
        <f>+'CE Previsionale'!J28</f>
        <v>12391.99</v>
      </c>
      <c r="K82" s="66">
        <f>+'CE Previsionale'!K28</f>
        <v>12391.99</v>
      </c>
      <c r="L82" s="66">
        <f>+'CE Previsionale'!L28</f>
        <v>12391.99</v>
      </c>
    </row>
    <row r="83" spans="2:12" x14ac:dyDescent="0.3">
      <c r="B83" t="s">
        <v>942</v>
      </c>
      <c r="C83" s="66">
        <f>+C81</f>
        <v>262058.80000000002</v>
      </c>
      <c r="D83" s="66">
        <f t="shared" ref="D83:L83" si="37">+D81</f>
        <v>262058.80000000002</v>
      </c>
      <c r="E83" s="66">
        <f t="shared" si="37"/>
        <v>262058.80000000002</v>
      </c>
      <c r="F83" s="66">
        <f t="shared" si="37"/>
        <v>262058.80000000002</v>
      </c>
      <c r="G83" s="66">
        <f t="shared" si="37"/>
        <v>262058.80000000002</v>
      </c>
      <c r="H83" s="66">
        <f t="shared" si="37"/>
        <v>262058.80000000002</v>
      </c>
      <c r="I83" s="66">
        <f t="shared" si="37"/>
        <v>262058.80000000002</v>
      </c>
      <c r="J83" s="66">
        <f t="shared" si="37"/>
        <v>262058.80000000002</v>
      </c>
      <c r="K83" s="66">
        <f t="shared" si="37"/>
        <v>262058.80000000002</v>
      </c>
      <c r="L83" s="66">
        <f t="shared" si="37"/>
        <v>262058.80000000002</v>
      </c>
    </row>
    <row r="84" spans="2:12" x14ac:dyDescent="0.3">
      <c r="C84" s="66"/>
      <c r="D84" s="66"/>
      <c r="E84" s="66"/>
      <c r="F84" s="66"/>
      <c r="G84" s="66"/>
      <c r="H84" s="66"/>
      <c r="I84" s="66"/>
      <c r="J84" s="66"/>
      <c r="K84" s="66"/>
      <c r="L84" s="66"/>
    </row>
    <row r="91" spans="2:12" x14ac:dyDescent="0.3">
      <c r="B91" t="s">
        <v>946</v>
      </c>
      <c r="C91" s="65">
        <f>+C55</f>
        <v>2017</v>
      </c>
      <c r="D91" s="65">
        <f t="shared" ref="D91:L91" si="38">+D55</f>
        <v>2018</v>
      </c>
      <c r="E91" s="65">
        <f t="shared" si="38"/>
        <v>2019</v>
      </c>
      <c r="F91" s="65">
        <f t="shared" si="38"/>
        <v>2020</v>
      </c>
      <c r="G91" s="65">
        <f t="shared" si="38"/>
        <v>2021</v>
      </c>
      <c r="H91" s="65">
        <f t="shared" si="38"/>
        <v>2022</v>
      </c>
      <c r="I91" s="65">
        <f t="shared" si="38"/>
        <v>2023</v>
      </c>
      <c r="J91" s="65">
        <f t="shared" si="38"/>
        <v>2024</v>
      </c>
      <c r="K91" s="65">
        <f t="shared" si="38"/>
        <v>2025</v>
      </c>
      <c r="L91" s="65">
        <f t="shared" si="38"/>
        <v>2026</v>
      </c>
    </row>
    <row r="92" spans="2:12" x14ac:dyDescent="0.3">
      <c r="C92" s="65"/>
      <c r="D92" s="65"/>
      <c r="E92" s="65"/>
      <c r="F92" s="65"/>
      <c r="G92" s="65"/>
      <c r="H92" s="65"/>
      <c r="I92" s="65"/>
      <c r="J92" s="65"/>
      <c r="K92" s="65"/>
      <c r="L92" s="65"/>
    </row>
    <row r="93" spans="2:12" x14ac:dyDescent="0.3">
      <c r="B93" t="s">
        <v>936</v>
      </c>
      <c r="C93" s="84">
        <f>+C59+'Scheda Crediti'!E6+'Scheda Crediti'!E7+'Scheda Crediti'!E8+'Scheda Crediti'!E9</f>
        <v>1575269.9820500002</v>
      </c>
      <c r="D93" s="84">
        <f>+D59+'Scheda Crediti'!F6+'Scheda Crediti'!F7+'Scheda Crediti'!F8+'Scheda Crediti'!F9</f>
        <v>1642009.3094000001</v>
      </c>
      <c r="E93" s="84">
        <f>+E59+'Scheda Crediti'!G6+'Scheda Crediti'!G7+'Scheda Crediti'!G8+'Scheda Crediti'!G9</f>
        <v>1642009.3094000001</v>
      </c>
      <c r="F93" s="84">
        <f>+F59+'Scheda Crediti'!H6+'Scheda Crediti'!H7+'Scheda Crediti'!H8+'Scheda Crediti'!H9</f>
        <v>2052511.6367500001</v>
      </c>
      <c r="G93" s="84">
        <f>+G59+'Scheda Crediti'!I6+'Scheda Crediti'!I7+'Scheda Crediti'!I8+'Scheda Crediti'!I9</f>
        <v>1642009.3094000001</v>
      </c>
      <c r="H93" s="84">
        <f>+H59+'Scheda Crediti'!J6+'Scheda Crediti'!J7+'Scheda Crediti'!J8+'Scheda Crediti'!J9</f>
        <v>1642009.3094000001</v>
      </c>
      <c r="I93" s="84">
        <f>+I59+'Scheda Crediti'!K6+'Scheda Crediti'!K7+'Scheda Crediti'!K8+'Scheda Crediti'!K9</f>
        <v>1642009.3094000001</v>
      </c>
      <c r="J93" s="84">
        <f>+J59+'Scheda Crediti'!L6+'Scheda Crediti'!L7+'Scheda Crediti'!L8+'Scheda Crediti'!L9</f>
        <v>1642009.3094000001</v>
      </c>
      <c r="K93" s="84">
        <f>+K59+'Scheda Crediti'!M6+'Scheda Crediti'!M7+'Scheda Crediti'!M8+'Scheda Crediti'!M9</f>
        <v>1642009.3094000001</v>
      </c>
      <c r="L93" s="84">
        <f>+L59+'Scheda Crediti'!N6+'Scheda Crediti'!N7+'Scheda Crediti'!N8+'Scheda Crediti'!N9</f>
        <v>1642009.3094000001</v>
      </c>
    </row>
    <row r="94" spans="2:12" x14ac:dyDescent="0.3">
      <c r="B94" t="s">
        <v>19</v>
      </c>
      <c r="C94" s="84">
        <f>+'Input Previsionale'!E29</f>
        <v>0</v>
      </c>
      <c r="D94" s="84">
        <f>+'Input Previsionale'!F29</f>
        <v>0</v>
      </c>
      <c r="E94" s="84">
        <f>+'Input Previsionale'!G29</f>
        <v>0</v>
      </c>
      <c r="F94" s="84">
        <f>+'Input Previsionale'!H29</f>
        <v>0</v>
      </c>
      <c r="G94" s="84">
        <f>+'Input Previsionale'!I29</f>
        <v>0</v>
      </c>
      <c r="H94" s="84">
        <f>+'Input Previsionale'!J29</f>
        <v>0</v>
      </c>
      <c r="I94" s="84">
        <f>+'Input Previsionale'!K29</f>
        <v>0</v>
      </c>
      <c r="J94" s="84">
        <f>+'Input Previsionale'!L29</f>
        <v>0</v>
      </c>
      <c r="K94" s="84">
        <f>+'Input Previsionale'!M29</f>
        <v>0</v>
      </c>
      <c r="L94" s="84">
        <f>+'Input Previsionale'!N29</f>
        <v>0</v>
      </c>
    </row>
    <row r="95" spans="2:12" x14ac:dyDescent="0.3">
      <c r="B95" t="s">
        <v>1076</v>
      </c>
      <c r="C95" s="84">
        <f>+'Input Previsionale'!E24</f>
        <v>0</v>
      </c>
      <c r="D95" s="84">
        <f>+'Input Previsionale'!F24</f>
        <v>0</v>
      </c>
      <c r="E95" s="84">
        <f>+'Input Previsionale'!G24</f>
        <v>0</v>
      </c>
      <c r="F95" s="84">
        <f>+'Input Previsionale'!H24</f>
        <v>0</v>
      </c>
      <c r="G95" s="84">
        <f>+'Input Previsionale'!I24</f>
        <v>0</v>
      </c>
      <c r="H95" s="84">
        <f>+'Input Previsionale'!J24</f>
        <v>0</v>
      </c>
      <c r="I95" s="84">
        <f>+'Input Previsionale'!K24</f>
        <v>0</v>
      </c>
      <c r="J95" s="84">
        <f>+'Input Previsionale'!L24</f>
        <v>0</v>
      </c>
      <c r="K95" s="84">
        <f>+'Input Previsionale'!M24</f>
        <v>0</v>
      </c>
      <c r="L95" s="84">
        <f>+'Input Previsionale'!N24</f>
        <v>0</v>
      </c>
    </row>
    <row r="96" spans="2:12" x14ac:dyDescent="0.3">
      <c r="C96" s="65"/>
      <c r="D96" s="65"/>
      <c r="E96" s="65"/>
      <c r="F96" s="65"/>
      <c r="G96" s="65"/>
      <c r="H96" s="65"/>
      <c r="I96" s="65"/>
      <c r="J96" s="65"/>
      <c r="K96" s="65"/>
      <c r="L96" s="65"/>
    </row>
    <row r="97" spans="2:12" x14ac:dyDescent="0.3">
      <c r="B97" s="2" t="s">
        <v>947</v>
      </c>
      <c r="C97" s="67">
        <f>+SUM(C93:C96)</f>
        <v>1575269.9820500002</v>
      </c>
      <c r="D97" s="67">
        <f t="shared" ref="D97:L97" si="39">+SUM(D93:D96)</f>
        <v>1642009.3094000001</v>
      </c>
      <c r="E97" s="67">
        <f t="shared" si="39"/>
        <v>1642009.3094000001</v>
      </c>
      <c r="F97" s="67">
        <f t="shared" si="39"/>
        <v>2052511.6367500001</v>
      </c>
      <c r="G97" s="67">
        <f t="shared" si="39"/>
        <v>1642009.3094000001</v>
      </c>
      <c r="H97" s="67">
        <f t="shared" si="39"/>
        <v>1642009.3094000001</v>
      </c>
      <c r="I97" s="67">
        <f t="shared" si="39"/>
        <v>1642009.3094000001</v>
      </c>
      <c r="J97" s="67">
        <f t="shared" si="39"/>
        <v>1642009.3094000001</v>
      </c>
      <c r="K97" s="67">
        <f t="shared" si="39"/>
        <v>1642009.3094000001</v>
      </c>
      <c r="L97" s="67">
        <f t="shared" si="39"/>
        <v>1642009.3094000001</v>
      </c>
    </row>
    <row r="98" spans="2:12" x14ac:dyDescent="0.3">
      <c r="B98" s="2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 x14ac:dyDescent="0.3">
      <c r="B99" t="s">
        <v>948</v>
      </c>
      <c r="C99" s="84">
        <f>+C68+'Scheda Debiti'!E14</f>
        <v>688486.52829999989</v>
      </c>
      <c r="D99" s="84">
        <f>+D68+'Scheda Debiti'!F14</f>
        <v>671450.0087933332</v>
      </c>
      <c r="E99" s="84">
        <f>+E68+'Scheda Debiti'!G14</f>
        <v>634030.39042666671</v>
      </c>
      <c r="F99" s="84">
        <f>+F68+'Scheda Debiti'!H14</f>
        <v>651110.39042666659</v>
      </c>
      <c r="G99" s="84">
        <f>+G68+'Scheda Debiti'!I14</f>
        <v>656803.72375999996</v>
      </c>
      <c r="H99" s="84">
        <f>+H68+'Scheda Debiti'!J14</f>
        <v>656803.72375999996</v>
      </c>
      <c r="I99" s="84">
        <f>+I68+'Scheda Debiti'!K14</f>
        <v>656803.72375999996</v>
      </c>
      <c r="J99" s="84">
        <f>+J68+'Scheda Debiti'!L14</f>
        <v>656803.72375999996</v>
      </c>
      <c r="K99" s="84">
        <f>+K68+'Scheda Debiti'!M14</f>
        <v>656803.72375999996</v>
      </c>
      <c r="L99" s="84">
        <f>+L68+'Scheda Debiti'!N14</f>
        <v>656803.72375999996</v>
      </c>
    </row>
    <row r="100" spans="2:12" x14ac:dyDescent="0.3">
      <c r="B100" t="s">
        <v>949</v>
      </c>
      <c r="C100" s="84">
        <f>+C77</f>
        <v>340592.82591950003</v>
      </c>
      <c r="D100" s="84">
        <f t="shared" ref="D100:L100" si="40">+D77</f>
        <v>341161.42830000003</v>
      </c>
      <c r="E100" s="84">
        <f t="shared" si="40"/>
        <v>341161.42830000003</v>
      </c>
      <c r="F100" s="84">
        <f t="shared" si="40"/>
        <v>341161.42830000003</v>
      </c>
      <c r="G100" s="84">
        <f t="shared" si="40"/>
        <v>341161.42830000003</v>
      </c>
      <c r="H100" s="84">
        <f t="shared" si="40"/>
        <v>341161.42830000003</v>
      </c>
      <c r="I100" s="84">
        <f t="shared" si="40"/>
        <v>341161.42830000003</v>
      </c>
      <c r="J100" s="84">
        <f t="shared" si="40"/>
        <v>341161.42830000003</v>
      </c>
      <c r="K100" s="84">
        <f t="shared" si="40"/>
        <v>341161.42830000003</v>
      </c>
      <c r="L100" s="84">
        <f t="shared" si="40"/>
        <v>341161.42830000003</v>
      </c>
    </row>
    <row r="101" spans="2:12" x14ac:dyDescent="0.3">
      <c r="B101" t="s">
        <v>1144</v>
      </c>
      <c r="C101" s="84">
        <f>+'Scheda Debiti'!E17+'Scheda Debiti'!E18</f>
        <v>88546</v>
      </c>
      <c r="D101" s="84">
        <f>+'Scheda Debiti'!F17+'Scheda Debiti'!F18</f>
        <v>0</v>
      </c>
      <c r="E101" s="84">
        <f>+'Scheda Debiti'!G17+'Scheda Debiti'!G18</f>
        <v>0</v>
      </c>
      <c r="F101" s="84">
        <f>+'Scheda Debiti'!H17+'Scheda Debiti'!H18</f>
        <v>0</v>
      </c>
      <c r="G101" s="84">
        <f>+'Scheda Debiti'!I17+'Scheda Debiti'!I18</f>
        <v>0</v>
      </c>
      <c r="H101" s="84">
        <f>+'Scheda Debiti'!J17+'Scheda Debiti'!J18</f>
        <v>0</v>
      </c>
      <c r="I101" s="84">
        <f>+'Scheda Debiti'!K17+'Scheda Debiti'!K18</f>
        <v>0</v>
      </c>
      <c r="J101" s="84">
        <f>+'Scheda Debiti'!L17+'Scheda Debiti'!L18</f>
        <v>0</v>
      </c>
      <c r="K101" s="84">
        <f>+'Scheda Debiti'!M17+'Scheda Debiti'!M18</f>
        <v>0</v>
      </c>
      <c r="L101" s="84">
        <f>+'Scheda Debiti'!N17+'Scheda Debiti'!N18</f>
        <v>0</v>
      </c>
    </row>
    <row r="102" spans="2:12" x14ac:dyDescent="0.3">
      <c r="B102" t="s">
        <v>950</v>
      </c>
      <c r="C102" s="84">
        <f>+C81+'Scheda Debiti'!E15</f>
        <v>268016.80000000005</v>
      </c>
      <c r="D102" s="84">
        <f>+D81+'Scheda Debiti'!F15</f>
        <v>262058.80000000002</v>
      </c>
      <c r="E102" s="84">
        <f>+E81+'Scheda Debiti'!G15</f>
        <v>262058.80000000002</v>
      </c>
      <c r="F102" s="84">
        <f>+F81+'Scheda Debiti'!H15</f>
        <v>262058.80000000002</v>
      </c>
      <c r="G102" s="84">
        <f>+G81+'Scheda Debiti'!I15</f>
        <v>262058.80000000002</v>
      </c>
      <c r="H102" s="84">
        <f>+H81+'Scheda Debiti'!J15</f>
        <v>262058.80000000002</v>
      </c>
      <c r="I102" s="84">
        <f>+I81+'Scheda Debiti'!K15</f>
        <v>262058.80000000002</v>
      </c>
      <c r="J102" s="84">
        <f>+J81+'Scheda Debiti'!L15</f>
        <v>262058.80000000002</v>
      </c>
      <c r="K102" s="84">
        <f>+K81+'Scheda Debiti'!M15</f>
        <v>262058.80000000002</v>
      </c>
      <c r="L102" s="84">
        <f>+L81+'Scheda Debiti'!N15</f>
        <v>262058.80000000002</v>
      </c>
    </row>
    <row r="103" spans="2:12" x14ac:dyDescent="0.3">
      <c r="B103" t="s">
        <v>951</v>
      </c>
      <c r="C103" s="84">
        <f>+SUM('Scheda Inv'!D23:D26)+SUM('Scheda Inv'!D30:D32)+'Scheda Inv'!D35+SUM('Scheda Inv'!D39:D42)+SUM('Scheda Inv'!D46:D48)</f>
        <v>0</v>
      </c>
      <c r="D103" s="84">
        <f>+SUM('Scheda Inv'!E23:E26)+SUM('Scheda Inv'!E30:E32)+'Scheda Inv'!E35+SUM('Scheda Inv'!E39:E42)+SUM('Scheda Inv'!E46:E48)</f>
        <v>0</v>
      </c>
      <c r="E103" s="84">
        <f>+SUM('Scheda Inv'!F23:F26)+SUM('Scheda Inv'!F30:F32)+'Scheda Inv'!F35+SUM('Scheda Inv'!F39:F42)+SUM('Scheda Inv'!F46:F48)</f>
        <v>0</v>
      </c>
      <c r="F103" s="84">
        <f>+SUM('Scheda Inv'!G23:G26)+SUM('Scheda Inv'!G30:G32)+'Scheda Inv'!G35+SUM('Scheda Inv'!G39:G42)+SUM('Scheda Inv'!G46:G48)</f>
        <v>0</v>
      </c>
      <c r="G103" s="84">
        <f>+SUM('Scheda Inv'!H23:H26)+SUM('Scheda Inv'!H30:H32)+'Scheda Inv'!H35+SUM('Scheda Inv'!H39:H42)+SUM('Scheda Inv'!H46:H48)</f>
        <v>0</v>
      </c>
      <c r="H103" s="84">
        <f>+SUM('Scheda Inv'!I23:I26)+SUM('Scheda Inv'!I30:I32)+'Scheda Inv'!I35+SUM('Scheda Inv'!I39:I42)+SUM('Scheda Inv'!I46:I48)</f>
        <v>0</v>
      </c>
      <c r="I103" s="84">
        <f>+SUM('Scheda Inv'!J23:J26)+SUM('Scheda Inv'!J30:J32)+'Scheda Inv'!J35+SUM('Scheda Inv'!J39:J42)+SUM('Scheda Inv'!J46:J48)</f>
        <v>0</v>
      </c>
      <c r="J103" s="84">
        <f>+SUM('Scheda Inv'!K23:K26)+SUM('Scheda Inv'!K30:K32)+'Scheda Inv'!K35+SUM('Scheda Inv'!K39:K42)+SUM('Scheda Inv'!K46:K48)</f>
        <v>0</v>
      </c>
      <c r="K103" s="84">
        <f>+SUM('Scheda Inv'!L23:L26)+SUM('Scheda Inv'!L30:L32)+'Scheda Inv'!L35+SUM('Scheda Inv'!L39:L42)+SUM('Scheda Inv'!L46:L48)</f>
        <v>0</v>
      </c>
      <c r="L103" s="84">
        <f>+SUM('Scheda Inv'!M23:M26)+SUM('Scheda Inv'!M30:M32)+'Scheda Inv'!M35+SUM('Scheda Inv'!M39:M42)+SUM('Scheda Inv'!M46:M48)</f>
        <v>0</v>
      </c>
    </row>
    <row r="104" spans="2:12" x14ac:dyDescent="0.3">
      <c r="B104" t="s">
        <v>1074</v>
      </c>
      <c r="C104" s="84">
        <f>+'Scheda Debiti'!E5+'Scheda Debiti'!E6+'Input Previsionale'!E25+'Input Previsionale'!E26</f>
        <v>0</v>
      </c>
      <c r="D104" s="84">
        <f>+'Scheda Debiti'!F5+'Scheda Debiti'!F6+'Input Previsionale'!F25+'Input Previsionale'!F26</f>
        <v>0</v>
      </c>
      <c r="E104" s="84">
        <f>+'Scheda Debiti'!G5+'Scheda Debiti'!G6+'Input Previsionale'!G25+'Input Previsionale'!G26</f>
        <v>0</v>
      </c>
      <c r="F104" s="84">
        <f>+'Scheda Debiti'!H5+'Scheda Debiti'!H6+'Input Previsionale'!H25+'Input Previsionale'!H26</f>
        <v>0</v>
      </c>
      <c r="G104" s="84">
        <f>+'Scheda Debiti'!I5+'Scheda Debiti'!I6+'Input Previsionale'!I25+'Input Previsionale'!I26</f>
        <v>0</v>
      </c>
      <c r="H104" s="84">
        <f>+'Scheda Debiti'!J5+'Scheda Debiti'!J6+'Input Previsionale'!J25+'Input Previsionale'!J26</f>
        <v>0</v>
      </c>
      <c r="I104" s="84">
        <f>+'Scheda Debiti'!K5+'Scheda Debiti'!K6+'Input Previsionale'!K25+'Input Previsionale'!K26</f>
        <v>0</v>
      </c>
      <c r="J104" s="84">
        <f>+'Scheda Debiti'!L5+'Scheda Debiti'!L6+'Input Previsionale'!L25+'Input Previsionale'!L26</f>
        <v>0</v>
      </c>
      <c r="K104" s="84">
        <f>+'Scheda Debiti'!M5+'Scheda Debiti'!M6+'Input Previsionale'!M25+'Input Previsionale'!M26</f>
        <v>0</v>
      </c>
      <c r="L104" s="84">
        <f>+'Scheda Debiti'!N5+'Scheda Debiti'!N6+'Input Previsionale'!N25+'Input Previsionale'!N26</f>
        <v>0</v>
      </c>
    </row>
    <row r="105" spans="2:12" x14ac:dyDescent="0.3">
      <c r="B105" t="s">
        <v>1075</v>
      </c>
      <c r="C105" s="84">
        <f>+'Scheda Debiti'!E9</f>
        <v>0</v>
      </c>
      <c r="D105" s="84">
        <f>+'Scheda Debiti'!F9</f>
        <v>0</v>
      </c>
      <c r="E105" s="84">
        <f>+'Scheda Debiti'!G9</f>
        <v>0</v>
      </c>
      <c r="F105" s="84">
        <f>+'Scheda Debiti'!H9</f>
        <v>0</v>
      </c>
      <c r="G105" s="84">
        <f>+'Scheda Debiti'!I9</f>
        <v>0</v>
      </c>
      <c r="H105" s="84">
        <f>+'Scheda Debiti'!J9</f>
        <v>0</v>
      </c>
      <c r="I105" s="84">
        <f>+'Scheda Debiti'!K9</f>
        <v>0</v>
      </c>
      <c r="J105" s="84">
        <f>+'Scheda Debiti'!L9</f>
        <v>0</v>
      </c>
      <c r="K105" s="84">
        <f>+'Scheda Debiti'!M9</f>
        <v>0</v>
      </c>
      <c r="L105" s="84">
        <f>+'Scheda Debiti'!N9</f>
        <v>0</v>
      </c>
    </row>
    <row r="106" spans="2:12" x14ac:dyDescent="0.3">
      <c r="B106" t="s">
        <v>952</v>
      </c>
      <c r="C106" s="84">
        <f>+C124</f>
        <v>131092.31014000002</v>
      </c>
      <c r="D106" s="84">
        <f t="shared" ref="D106:L106" si="41">+D124</f>
        <v>109979.11034000001</v>
      </c>
      <c r="E106" s="84">
        <f t="shared" si="41"/>
        <v>122299.11034000001</v>
      </c>
      <c r="F106" s="84">
        <f t="shared" si="41"/>
        <v>116139.11034000001</v>
      </c>
      <c r="G106" s="84">
        <f t="shared" si="41"/>
        <v>116139.11034000001</v>
      </c>
      <c r="H106" s="84">
        <f t="shared" si="41"/>
        <v>116139.11034000001</v>
      </c>
      <c r="I106" s="84">
        <f t="shared" si="41"/>
        <v>116139.11034000001</v>
      </c>
      <c r="J106" s="84">
        <f t="shared" si="41"/>
        <v>116139.11034000001</v>
      </c>
      <c r="K106" s="84">
        <f t="shared" si="41"/>
        <v>116139.11034000001</v>
      </c>
      <c r="L106" s="84">
        <f t="shared" si="41"/>
        <v>116139.11034000001</v>
      </c>
    </row>
    <row r="107" spans="2:12" x14ac:dyDescent="0.3">
      <c r="B107" t="s">
        <v>4</v>
      </c>
      <c r="C107" s="84">
        <f>+C141+'Scheda Debiti'!E16</f>
        <v>307582</v>
      </c>
      <c r="D107" s="84">
        <f>+D141+'Scheda Debiti'!F16</f>
        <v>81381.042600000044</v>
      </c>
      <c r="E107" s="84">
        <f>+E141+'Scheda Debiti'!G16</f>
        <v>67941.042600000001</v>
      </c>
      <c r="F107" s="84">
        <f>+F141+'Scheda Debiti'!H16</f>
        <v>61221.042600000001</v>
      </c>
      <c r="G107" s="84">
        <f>+G141+'Scheda Debiti'!I16</f>
        <v>64581.042600000001</v>
      </c>
      <c r="H107" s="84">
        <f>+H141+'Scheda Debiti'!J16</f>
        <v>64581.042600000001</v>
      </c>
      <c r="I107" s="84">
        <f>+I141+'Scheda Debiti'!K16</f>
        <v>64581.042600000001</v>
      </c>
      <c r="J107" s="84">
        <f>+J141+'Scheda Debiti'!L16</f>
        <v>64581.042600000001</v>
      </c>
      <c r="K107" s="84">
        <f>+K141+'Scheda Debiti'!M16</f>
        <v>64581.042600000001</v>
      </c>
      <c r="L107" s="84">
        <f>+L141+'Scheda Debiti'!N16</f>
        <v>64581.042600000001</v>
      </c>
    </row>
    <row r="108" spans="2:12" x14ac:dyDescent="0.3">
      <c r="B108" t="s">
        <v>1073</v>
      </c>
      <c r="C108" s="84">
        <f>+'CE Previsionale'!D25</f>
        <v>62014.932000000001</v>
      </c>
      <c r="D108" s="84">
        <f>+'CE Previsionale'!E25</f>
        <v>62014.932000000001</v>
      </c>
      <c r="E108" s="84">
        <f>+'CE Previsionale'!F25</f>
        <v>62014.932000000001</v>
      </c>
      <c r="F108" s="84">
        <f>+'CE Previsionale'!G25</f>
        <v>62014.932000000001</v>
      </c>
      <c r="G108" s="84">
        <f>+'CE Previsionale'!H25</f>
        <v>62014.932000000001</v>
      </c>
      <c r="H108" s="84">
        <f>+'CE Previsionale'!I25</f>
        <v>62014.932000000001</v>
      </c>
      <c r="I108" s="84">
        <f>+'CE Previsionale'!J25</f>
        <v>62014.932000000001</v>
      </c>
      <c r="J108" s="84">
        <f>+'CE Previsionale'!K25</f>
        <v>62014.932000000001</v>
      </c>
      <c r="K108" s="84">
        <f>+'CE Previsionale'!L25</f>
        <v>62014.932000000001</v>
      </c>
      <c r="L108" s="84">
        <f>+'CE Previsionale'!M25</f>
        <v>62014.932000000001</v>
      </c>
    </row>
    <row r="109" spans="2:12" x14ac:dyDescent="0.3">
      <c r="C109" s="65"/>
      <c r="D109" s="65"/>
      <c r="E109" s="65"/>
      <c r="F109" s="65"/>
      <c r="G109" s="65"/>
      <c r="H109" s="65"/>
      <c r="I109" s="65"/>
      <c r="J109" s="65"/>
      <c r="K109" s="65"/>
      <c r="L109" s="65"/>
    </row>
    <row r="110" spans="2:12" x14ac:dyDescent="0.3">
      <c r="B110" s="2" t="s">
        <v>942</v>
      </c>
      <c r="C110" s="67">
        <f>+SUM(C99:C109)</f>
        <v>1886331.3963595</v>
      </c>
      <c r="D110" s="67">
        <f t="shared" ref="D110:L110" si="42">+SUM(D99:D109)</f>
        <v>1528045.3220333334</v>
      </c>
      <c r="E110" s="67">
        <f t="shared" si="42"/>
        <v>1489505.7036666668</v>
      </c>
      <c r="F110" s="67">
        <f t="shared" si="42"/>
        <v>1493705.7036666668</v>
      </c>
      <c r="G110" s="67">
        <f t="shared" si="42"/>
        <v>1502759.0370000002</v>
      </c>
      <c r="H110" s="67">
        <f t="shared" si="42"/>
        <v>1502759.0370000002</v>
      </c>
      <c r="I110" s="67">
        <f t="shared" si="42"/>
        <v>1502759.0370000002</v>
      </c>
      <c r="J110" s="67">
        <f t="shared" si="42"/>
        <v>1502759.0370000002</v>
      </c>
      <c r="K110" s="67">
        <f t="shared" si="42"/>
        <v>1502759.0370000002</v>
      </c>
      <c r="L110" s="67">
        <f t="shared" si="42"/>
        <v>1502759.0370000002</v>
      </c>
    </row>
    <row r="111" spans="2:12" x14ac:dyDescent="0.3">
      <c r="B111" t="s">
        <v>953</v>
      </c>
      <c r="C111" s="87">
        <f>+C97-C110</f>
        <v>-311061.41430949979</v>
      </c>
      <c r="D111" s="87">
        <f t="shared" ref="D111:L111" si="43">+D97-D110</f>
        <v>113963.98736666678</v>
      </c>
      <c r="E111" s="87">
        <f t="shared" si="43"/>
        <v>152503.60573333339</v>
      </c>
      <c r="F111" s="87">
        <f t="shared" si="43"/>
        <v>558805.93308333331</v>
      </c>
      <c r="G111" s="87">
        <f t="shared" si="43"/>
        <v>139250.2723999999</v>
      </c>
      <c r="H111" s="87">
        <f t="shared" si="43"/>
        <v>139250.2723999999</v>
      </c>
      <c r="I111" s="87">
        <f t="shared" si="43"/>
        <v>139250.2723999999</v>
      </c>
      <c r="J111" s="87">
        <f t="shared" si="43"/>
        <v>139250.2723999999</v>
      </c>
      <c r="K111" s="87">
        <f t="shared" si="43"/>
        <v>139250.2723999999</v>
      </c>
      <c r="L111" s="87">
        <f t="shared" si="43"/>
        <v>139250.2723999999</v>
      </c>
    </row>
    <row r="112" spans="2:12" x14ac:dyDescent="0.3">
      <c r="C112" s="65"/>
      <c r="D112" s="65"/>
      <c r="E112" s="65"/>
      <c r="F112" s="65"/>
      <c r="G112" s="65"/>
      <c r="H112" s="65"/>
      <c r="I112" s="65"/>
      <c r="J112" s="65"/>
      <c r="K112" s="65"/>
      <c r="L112" s="65"/>
    </row>
    <row r="113" spans="2:12" x14ac:dyDescent="0.3">
      <c r="B113" t="s">
        <v>954</v>
      </c>
      <c r="C113" s="87">
        <f>+'SP Previsionale'!D5-'SP Previsionale'!D38</f>
        <v>-64664.710000000021</v>
      </c>
      <c r="D113" s="67">
        <f>+C114</f>
        <v>-375726.12430949981</v>
      </c>
      <c r="E113" s="67">
        <f t="shared" ref="E113:L113" si="44">+D114</f>
        <v>-261762.13694283302</v>
      </c>
      <c r="F113" s="67">
        <f t="shared" si="44"/>
        <v>-109258.53120949963</v>
      </c>
      <c r="G113" s="67">
        <f t="shared" si="44"/>
        <v>449547.40187383367</v>
      </c>
      <c r="H113" s="67">
        <f t="shared" si="44"/>
        <v>588797.67427383363</v>
      </c>
      <c r="I113" s="67">
        <f t="shared" si="44"/>
        <v>728047.94667383353</v>
      </c>
      <c r="J113" s="67">
        <f t="shared" si="44"/>
        <v>867298.21907383343</v>
      </c>
      <c r="K113" s="67">
        <f t="shared" si="44"/>
        <v>1006548.4914738333</v>
      </c>
      <c r="L113" s="67">
        <f t="shared" si="44"/>
        <v>1145798.7638738332</v>
      </c>
    </row>
    <row r="114" spans="2:12" x14ac:dyDescent="0.3">
      <c r="B114" t="s">
        <v>955</v>
      </c>
      <c r="C114" s="67">
        <f>+C113+C111</f>
        <v>-375726.12430949981</v>
      </c>
      <c r="D114" s="67">
        <f>+D113+D111</f>
        <v>-261762.13694283302</v>
      </c>
      <c r="E114" s="67">
        <f t="shared" ref="E114:L114" si="45">+E113+E111</f>
        <v>-109258.53120949963</v>
      </c>
      <c r="F114" s="67">
        <f t="shared" si="45"/>
        <v>449547.40187383367</v>
      </c>
      <c r="G114" s="67">
        <f t="shared" si="45"/>
        <v>588797.67427383363</v>
      </c>
      <c r="H114" s="67">
        <f t="shared" si="45"/>
        <v>728047.94667383353</v>
      </c>
      <c r="I114" s="67">
        <f t="shared" si="45"/>
        <v>867298.21907383343</v>
      </c>
      <c r="J114" s="67">
        <f t="shared" si="45"/>
        <v>1006548.4914738333</v>
      </c>
      <c r="K114" s="67">
        <f t="shared" si="45"/>
        <v>1145798.7638738332</v>
      </c>
      <c r="L114" s="67">
        <f t="shared" si="45"/>
        <v>1285049.0362738331</v>
      </c>
    </row>
    <row r="118" spans="2:12" x14ac:dyDescent="0.3">
      <c r="B118" t="s">
        <v>952</v>
      </c>
      <c r="C118" s="65">
        <f t="shared" ref="C118:L118" si="46">+C3</f>
        <v>2017</v>
      </c>
      <c r="D118" s="65">
        <f t="shared" si="46"/>
        <v>2018</v>
      </c>
      <c r="E118" s="65">
        <f t="shared" si="46"/>
        <v>2019</v>
      </c>
      <c r="F118" s="65">
        <f t="shared" si="46"/>
        <v>2020</v>
      </c>
      <c r="G118" s="65">
        <f t="shared" si="46"/>
        <v>2021</v>
      </c>
      <c r="H118" s="65">
        <f t="shared" si="46"/>
        <v>2022</v>
      </c>
      <c r="I118" s="65">
        <f t="shared" si="46"/>
        <v>2023</v>
      </c>
      <c r="J118" s="65">
        <f t="shared" si="46"/>
        <v>2024</v>
      </c>
      <c r="K118" s="65">
        <f t="shared" si="46"/>
        <v>2025</v>
      </c>
      <c r="L118" s="65">
        <f t="shared" si="46"/>
        <v>2026</v>
      </c>
    </row>
    <row r="119" spans="2:12" x14ac:dyDescent="0.3">
      <c r="B119" t="s">
        <v>940</v>
      </c>
      <c r="C119" s="66">
        <f>+C66+C75+SUM('Scheda Inv'!D39:D48)</f>
        <v>165007.72925999999</v>
      </c>
      <c r="D119" s="66">
        <f>+D66+D75+SUM('Scheda Inv'!E39:E48)</f>
        <v>186120.92905999999</v>
      </c>
      <c r="E119" s="66">
        <f>+E66+E75+SUM('Scheda Inv'!F39:F48)</f>
        <v>173800.92905999999</v>
      </c>
      <c r="F119" s="66">
        <f>+F66+F75+SUM('Scheda Inv'!G39:G48)</f>
        <v>179960.92905999999</v>
      </c>
      <c r="G119" s="66">
        <f>+G66+G75+SUM('Scheda Inv'!H39:H48)</f>
        <v>179960.92905999999</v>
      </c>
      <c r="H119" s="66">
        <f>+H66+H75+SUM('Scheda Inv'!I39:I48)</f>
        <v>179960.92905999999</v>
      </c>
      <c r="I119" s="66">
        <f>+I66+I75+SUM('Scheda Inv'!J39:J48)</f>
        <v>179960.92905999999</v>
      </c>
      <c r="J119" s="66">
        <f>+J66+J75+SUM('Scheda Inv'!K39:K48)</f>
        <v>179960.92905999999</v>
      </c>
      <c r="K119" s="66">
        <f>+K66+K75+SUM('Scheda Inv'!L39:L48)</f>
        <v>179960.92905999999</v>
      </c>
      <c r="L119" s="66">
        <f>+L66+L75+SUM('Scheda Inv'!M39:M48)</f>
        <v>179960.92905999999</v>
      </c>
    </row>
    <row r="120" spans="2:12" x14ac:dyDescent="0.3">
      <c r="B120" t="s">
        <v>934</v>
      </c>
      <c r="C120" s="66">
        <f>+C57</f>
        <v>296100.03940000001</v>
      </c>
      <c r="D120" s="66">
        <f t="shared" ref="D120:L120" si="47">+D57</f>
        <v>296100.03940000001</v>
      </c>
      <c r="E120" s="66">
        <f t="shared" si="47"/>
        <v>296100.03940000001</v>
      </c>
      <c r="F120" s="66">
        <f t="shared" si="47"/>
        <v>296100.03940000001</v>
      </c>
      <c r="G120" s="66">
        <f t="shared" si="47"/>
        <v>296100.03940000001</v>
      </c>
      <c r="H120" s="66">
        <f t="shared" si="47"/>
        <v>296100.03940000001</v>
      </c>
      <c r="I120" s="66">
        <f t="shared" si="47"/>
        <v>296100.03940000001</v>
      </c>
      <c r="J120" s="66">
        <f t="shared" si="47"/>
        <v>296100.03940000001</v>
      </c>
      <c r="K120" s="66">
        <f t="shared" si="47"/>
        <v>296100.03940000001</v>
      </c>
      <c r="L120" s="66">
        <f t="shared" si="47"/>
        <v>296100.03940000001</v>
      </c>
    </row>
    <row r="122" spans="2:12" x14ac:dyDescent="0.3">
      <c r="B122" t="s">
        <v>956</v>
      </c>
      <c r="C122" s="66">
        <f>+C119-C120</f>
        <v>-131092.31014000002</v>
      </c>
      <c r="D122" s="66">
        <f t="shared" ref="D122:L122" si="48">+D119-D120</f>
        <v>-109979.11034000001</v>
      </c>
      <c r="E122" s="66">
        <f t="shared" si="48"/>
        <v>-122299.11034000001</v>
      </c>
      <c r="F122" s="66">
        <f t="shared" si="48"/>
        <v>-116139.11034000001</v>
      </c>
      <c r="G122" s="66">
        <f t="shared" si="48"/>
        <v>-116139.11034000001</v>
      </c>
      <c r="H122" s="66">
        <f t="shared" si="48"/>
        <v>-116139.11034000001</v>
      </c>
      <c r="I122" s="66">
        <f t="shared" si="48"/>
        <v>-116139.11034000001</v>
      </c>
      <c r="J122" s="66">
        <f t="shared" si="48"/>
        <v>-116139.11034000001</v>
      </c>
      <c r="K122" s="66">
        <f t="shared" si="48"/>
        <v>-116139.11034000001</v>
      </c>
      <c r="L122" s="66">
        <f t="shared" si="48"/>
        <v>-116139.11034000001</v>
      </c>
    </row>
    <row r="124" spans="2:12" x14ac:dyDescent="0.3">
      <c r="B124" t="s">
        <v>957</v>
      </c>
      <c r="C124" s="66">
        <f>+IF(C122&lt;0,-C122,0)</f>
        <v>131092.31014000002</v>
      </c>
      <c r="D124" s="66">
        <f t="shared" ref="D124:L124" si="49">+IF(D122&lt;0,-D122,0)</f>
        <v>109979.11034000001</v>
      </c>
      <c r="E124" s="66">
        <f t="shared" si="49"/>
        <v>122299.11034000001</v>
      </c>
      <c r="F124" s="66">
        <f t="shared" si="49"/>
        <v>116139.11034000001</v>
      </c>
      <c r="G124" s="66">
        <f t="shared" si="49"/>
        <v>116139.11034000001</v>
      </c>
      <c r="H124" s="66">
        <f t="shared" si="49"/>
        <v>116139.11034000001</v>
      </c>
      <c r="I124" s="66">
        <f t="shared" si="49"/>
        <v>116139.11034000001</v>
      </c>
      <c r="J124" s="66">
        <f t="shared" si="49"/>
        <v>116139.11034000001</v>
      </c>
      <c r="K124" s="66">
        <f t="shared" si="49"/>
        <v>116139.11034000001</v>
      </c>
      <c r="L124" s="66">
        <f t="shared" si="49"/>
        <v>116139.11034000001</v>
      </c>
    </row>
    <row r="126" spans="2:12" x14ac:dyDescent="0.3">
      <c r="B126" t="s">
        <v>940</v>
      </c>
      <c r="C126" s="66">
        <f>+IF(C122&gt;0,C122,0)</f>
        <v>0</v>
      </c>
      <c r="D126" s="66">
        <f>+IF(D122&gt;0,D122,0)</f>
        <v>0</v>
      </c>
      <c r="E126" s="66">
        <f t="shared" ref="E126:L126" si="50">+IF(E122&gt;0,E122,0)</f>
        <v>0</v>
      </c>
      <c r="F126" s="66">
        <f t="shared" si="50"/>
        <v>0</v>
      </c>
      <c r="G126" s="66">
        <f t="shared" si="50"/>
        <v>0</v>
      </c>
      <c r="H126" s="66">
        <f t="shared" si="50"/>
        <v>0</v>
      </c>
      <c r="I126" s="66">
        <f t="shared" si="50"/>
        <v>0</v>
      </c>
      <c r="J126" s="66">
        <f t="shared" si="50"/>
        <v>0</v>
      </c>
      <c r="K126" s="66">
        <f t="shared" si="50"/>
        <v>0</v>
      </c>
      <c r="L126" s="66">
        <f t="shared" si="50"/>
        <v>0</v>
      </c>
    </row>
    <row r="130" spans="2:12" x14ac:dyDescent="0.3">
      <c r="C130" s="94">
        <f>+C118</f>
        <v>2017</v>
      </c>
      <c r="D130" s="94">
        <f t="shared" ref="D130:L130" si="51">+D118</f>
        <v>2018</v>
      </c>
      <c r="E130" s="94">
        <f t="shared" si="51"/>
        <v>2019</v>
      </c>
      <c r="F130" s="94">
        <f t="shared" si="51"/>
        <v>2020</v>
      </c>
      <c r="G130" s="94">
        <f t="shared" si="51"/>
        <v>2021</v>
      </c>
      <c r="H130" s="94">
        <f t="shared" si="51"/>
        <v>2022</v>
      </c>
      <c r="I130" s="94">
        <f t="shared" si="51"/>
        <v>2023</v>
      </c>
      <c r="J130" s="94">
        <f t="shared" si="51"/>
        <v>2024</v>
      </c>
      <c r="K130" s="94">
        <f t="shared" si="51"/>
        <v>2025</v>
      </c>
      <c r="L130" s="94">
        <f t="shared" si="51"/>
        <v>2026</v>
      </c>
    </row>
    <row r="131" spans="2:12" x14ac:dyDescent="0.3">
      <c r="B131" s="2" t="s">
        <v>958</v>
      </c>
      <c r="C131" s="67">
        <f>+'CE Previsionale'!D40</f>
        <v>251439.32500000013</v>
      </c>
      <c r="D131" s="67">
        <f>+'CE Previsionale'!E40</f>
        <v>203439.32500000001</v>
      </c>
      <c r="E131" s="67">
        <f>+'CE Previsionale'!F40</f>
        <v>179439.32500000001</v>
      </c>
      <c r="F131" s="67">
        <f>+'CE Previsionale'!G40</f>
        <v>191439.32500000001</v>
      </c>
      <c r="G131" s="67">
        <f>+'CE Previsionale'!H40</f>
        <v>191439.32500000001</v>
      </c>
      <c r="H131" s="67">
        <f>+'CE Previsionale'!I40</f>
        <v>191439.32500000001</v>
      </c>
      <c r="I131" s="67">
        <f>+'CE Previsionale'!J40</f>
        <v>191439.32500000001</v>
      </c>
      <c r="J131" s="67">
        <f>+'CE Previsionale'!K40</f>
        <v>191439.32500000001</v>
      </c>
      <c r="K131" s="67">
        <f>+'CE Previsionale'!L40</f>
        <v>191439.32500000001</v>
      </c>
      <c r="L131" s="67">
        <f>+'CE Previsionale'!M40</f>
        <v>191439.32500000001</v>
      </c>
    </row>
    <row r="132" spans="2:12" x14ac:dyDescent="0.3">
      <c r="B132" t="s">
        <v>2</v>
      </c>
      <c r="C132" s="66">
        <f>+'Input Previsionale'!$E$2*Calcoli!C131*(IF(C131&lt;0,0,1))</f>
        <v>60345.438000000031</v>
      </c>
      <c r="D132" s="66">
        <f>+'Input Previsionale'!$E$2*Calcoli!D131*(IF(D131&lt;0,0,1))</f>
        <v>48825.438000000002</v>
      </c>
      <c r="E132" s="66">
        <f>+'Input Previsionale'!$E$2*Calcoli!E131*(IF(E131&lt;0,0,1))</f>
        <v>43065.438000000002</v>
      </c>
      <c r="F132" s="66">
        <f>+'Input Previsionale'!$E$2*Calcoli!F131*(IF(F131&lt;0,0,1))</f>
        <v>45945.438000000002</v>
      </c>
      <c r="G132" s="66">
        <f>+'Input Previsionale'!$E$2*Calcoli!G131*(IF(G131&lt;0,0,1))</f>
        <v>45945.438000000002</v>
      </c>
      <c r="H132" s="66">
        <f>+'Input Previsionale'!$E$2*Calcoli!H131*(IF(H131&lt;0,0,1))</f>
        <v>45945.438000000002</v>
      </c>
      <c r="I132" s="66">
        <f>+'Input Previsionale'!$E$2*Calcoli!I131*(IF(I131&lt;0,0,1))</f>
        <v>45945.438000000002</v>
      </c>
      <c r="J132" s="66">
        <f>+'Input Previsionale'!$E$2*Calcoli!J131*(IF(J131&lt;0,0,1))</f>
        <v>45945.438000000002</v>
      </c>
      <c r="K132" s="66">
        <f>+'Input Previsionale'!$E$2*Calcoli!K131*(IF(K131&lt;0,0,1))</f>
        <v>45945.438000000002</v>
      </c>
      <c r="L132" s="66">
        <f>+'Input Previsionale'!$E$2*Calcoli!L131*(IF(L131&lt;0,0,1))</f>
        <v>45945.438000000002</v>
      </c>
    </row>
    <row r="134" spans="2:12" x14ac:dyDescent="0.3">
      <c r="B134" t="s">
        <v>959</v>
      </c>
      <c r="C134" s="66">
        <f>+'CE Previsionale'!D27+'CE Previsionale'!D28</f>
        <v>274450.79000000004</v>
      </c>
      <c r="D134" s="66">
        <f>+'CE Previsionale'!E27+'CE Previsionale'!E28</f>
        <v>274450.79000000004</v>
      </c>
      <c r="E134" s="66">
        <f>+'CE Previsionale'!F27+'CE Previsionale'!F28</f>
        <v>274450.79000000004</v>
      </c>
      <c r="F134" s="66">
        <f>+'CE Previsionale'!G27+'CE Previsionale'!G28</f>
        <v>274450.79000000004</v>
      </c>
      <c r="G134" s="66">
        <f>+'CE Previsionale'!H27+'CE Previsionale'!H28</f>
        <v>274450.79000000004</v>
      </c>
      <c r="H134" s="66">
        <f>+'CE Previsionale'!I27+'CE Previsionale'!I28</f>
        <v>274450.79000000004</v>
      </c>
      <c r="I134" s="66">
        <f>+'CE Previsionale'!J27+'CE Previsionale'!J28</f>
        <v>274450.79000000004</v>
      </c>
      <c r="J134" s="66">
        <f>+'CE Previsionale'!K27+'CE Previsionale'!K28</f>
        <v>274450.79000000004</v>
      </c>
      <c r="K134" s="66">
        <f>+'CE Previsionale'!L27+'CE Previsionale'!L28</f>
        <v>274450.79000000004</v>
      </c>
      <c r="L134" s="66">
        <f>+'CE Previsionale'!M27+'CE Previsionale'!M28</f>
        <v>274450.79000000004</v>
      </c>
    </row>
    <row r="135" spans="2:12" x14ac:dyDescent="0.3">
      <c r="B135" t="s">
        <v>960</v>
      </c>
      <c r="C135" s="66">
        <f>-'CE Previsionale'!D38</f>
        <v>0</v>
      </c>
      <c r="D135" s="66">
        <f>-'CE Previsionale'!E38</f>
        <v>0</v>
      </c>
      <c r="E135" s="66">
        <f>-'CE Previsionale'!F38</f>
        <v>0</v>
      </c>
      <c r="F135" s="66">
        <f>-'CE Previsionale'!G38</f>
        <v>0</v>
      </c>
      <c r="G135" s="66">
        <f>-'CE Previsionale'!H38</f>
        <v>0</v>
      </c>
      <c r="H135" s="66">
        <f>-'CE Previsionale'!I38</f>
        <v>0</v>
      </c>
      <c r="I135" s="66">
        <f>-'CE Previsionale'!J38</f>
        <v>0</v>
      </c>
      <c r="J135" s="66">
        <f>-'CE Previsionale'!K38</f>
        <v>0</v>
      </c>
      <c r="K135" s="66">
        <f>-'CE Previsionale'!L38</f>
        <v>0</v>
      </c>
      <c r="L135" s="66">
        <f>-'CE Previsionale'!M38</f>
        <v>0</v>
      </c>
    </row>
    <row r="136" spans="2:12" x14ac:dyDescent="0.3">
      <c r="B136" s="2" t="s">
        <v>961</v>
      </c>
      <c r="C136" s="67">
        <f>+C131+C134+C135</f>
        <v>525890.11500000022</v>
      </c>
      <c r="D136" s="67">
        <f t="shared" ref="D136:L136" si="52">+D131+D134+D135</f>
        <v>477890.11500000005</v>
      </c>
      <c r="E136" s="67">
        <f t="shared" si="52"/>
        <v>453890.11500000005</v>
      </c>
      <c r="F136" s="67">
        <f t="shared" si="52"/>
        <v>465890.11500000005</v>
      </c>
      <c r="G136" s="67">
        <f t="shared" si="52"/>
        <v>465890.11500000005</v>
      </c>
      <c r="H136" s="67">
        <f t="shared" si="52"/>
        <v>465890.11500000005</v>
      </c>
      <c r="I136" s="67">
        <f t="shared" si="52"/>
        <v>465890.11500000005</v>
      </c>
      <c r="J136" s="67">
        <f t="shared" si="52"/>
        <v>465890.11500000005</v>
      </c>
      <c r="K136" s="67">
        <f t="shared" si="52"/>
        <v>465890.11500000005</v>
      </c>
      <c r="L136" s="67">
        <f t="shared" si="52"/>
        <v>465890.11500000005</v>
      </c>
    </row>
    <row r="138" spans="2:12" x14ac:dyDescent="0.3">
      <c r="B138" t="s">
        <v>3</v>
      </c>
      <c r="C138" s="66">
        <f>+C136*'Input Previsionale'!$F$2*(IF(C136&lt;0,0,1))</f>
        <v>21035.60460000001</v>
      </c>
      <c r="D138" s="66">
        <f>+D136*'Input Previsionale'!$F$2*(IF(D136&lt;0,0,1))</f>
        <v>19115.604600000002</v>
      </c>
      <c r="E138" s="66">
        <f>+E136*'Input Previsionale'!$F$2*(IF(E136&lt;0,0,1))</f>
        <v>18155.604600000002</v>
      </c>
      <c r="F138" s="66">
        <f>+F136*'Input Previsionale'!$F$2*(IF(F136&lt;0,0,1))</f>
        <v>18635.604600000002</v>
      </c>
      <c r="G138" s="66">
        <f>+G136*'Input Previsionale'!$F$2*(IF(G136&lt;0,0,1))</f>
        <v>18635.604600000002</v>
      </c>
      <c r="H138" s="66">
        <f>+H136*'Input Previsionale'!$F$2*(IF(H136&lt;0,0,1))</f>
        <v>18635.604600000002</v>
      </c>
      <c r="I138" s="66">
        <f>+I136*'Input Previsionale'!$F$2*(IF(I136&lt;0,0,1))</f>
        <v>18635.604600000002</v>
      </c>
      <c r="J138" s="66">
        <f>+J136*'Input Previsionale'!$F$2*(IF(J136&lt;0,0,1))</f>
        <v>18635.604600000002</v>
      </c>
      <c r="K138" s="66">
        <f>+K136*'Input Previsionale'!$F$2*(IF(K136&lt;0,0,1))</f>
        <v>18635.604600000002</v>
      </c>
      <c r="L138" s="66">
        <f>+L136*'Input Previsionale'!$F$2*(IF(L136&lt;0,0,1))</f>
        <v>18635.604600000002</v>
      </c>
    </row>
    <row r="141" spans="2:12" x14ac:dyDescent="0.3">
      <c r="B141" t="s">
        <v>962</v>
      </c>
      <c r="C141" s="66">
        <f>+'Scheda Debiti'!E16</f>
        <v>153791</v>
      </c>
      <c r="D141" s="66">
        <f>+C132+C138+'Scheda Debiti'!F16</f>
        <v>81381.042600000044</v>
      </c>
      <c r="E141" s="66">
        <f>+D132+D138+'Scheda Debiti'!G16</f>
        <v>67941.042600000001</v>
      </c>
      <c r="F141" s="66">
        <f>+E132+E138+'Scheda Debiti'!H16</f>
        <v>61221.042600000001</v>
      </c>
      <c r="G141" s="66">
        <f>+F132+F138+'Scheda Debiti'!I16</f>
        <v>64581.042600000001</v>
      </c>
      <c r="H141" s="66">
        <f>+G132+G138+'Scheda Debiti'!J16</f>
        <v>64581.042600000001</v>
      </c>
      <c r="I141" s="66">
        <f>+H132+H138+'Scheda Debiti'!K16</f>
        <v>64581.042600000001</v>
      </c>
      <c r="J141" s="66">
        <f>+I132+I138+'Scheda Debiti'!L16</f>
        <v>64581.042600000001</v>
      </c>
      <c r="K141" s="66">
        <f>+J132+J138+'Scheda Debiti'!M16</f>
        <v>64581.042600000001</v>
      </c>
      <c r="L141" s="66">
        <f>+K132+K138+'Scheda Debiti'!N16</f>
        <v>64581.042600000001</v>
      </c>
    </row>
    <row r="143" spans="2:12" x14ac:dyDescent="0.3">
      <c r="B143" t="s">
        <v>963</v>
      </c>
      <c r="C143" s="66">
        <f>+IF(C132+C138&gt;C141,C132+C138,0)</f>
        <v>0</v>
      </c>
      <c r="D143" s="66">
        <f>+IF(SUM($C132:D132)+SUM($C138:D138)&gt;SUM($C141:D141),SUM($C132:D132)+SUM($C138:D138)-SUM($C141:D141),0)</f>
        <v>0</v>
      </c>
      <c r="E143" s="66">
        <f>+IF(SUM($C132:E132)+SUM($C138:E138)&gt;SUM($C141:E141),SUM($C132:E132)+SUM($C138:E138)-SUM($C141:E141),0)</f>
        <v>0</v>
      </c>
      <c r="F143" s="66">
        <f>+IF(SUM($C132:F132)+SUM($C138:F138)&gt;SUM($C141:F141),SUM($C132:F132)+SUM($C138:F138)-SUM($C141:F141),0)</f>
        <v>0</v>
      </c>
      <c r="G143" s="66">
        <f>+IF(SUM($C132:G132)+SUM($C138:G138)&gt;SUM($C141:G141),SUM($C132:G132)+SUM($C138:G138)-SUM($C141:G141),0)</f>
        <v>0</v>
      </c>
      <c r="H143" s="66">
        <f>+IF(SUM($C132:H132)+SUM($C138:H138)&gt;SUM($C141:H141),SUM($C132:H132)+SUM($C138:H138)-SUM($C141:H141),0)</f>
        <v>0</v>
      </c>
      <c r="I143" s="66">
        <f>+IF(SUM($C132:I132)+SUM($C138:I138)&gt;SUM($C141:I141),SUM($C132:I132)+SUM($C138:I138)-SUM($C141:I141),0)</f>
        <v>0</v>
      </c>
      <c r="J143" s="66">
        <f>+IF(SUM($C132:J132)+SUM($C138:J138)&gt;SUM($C141:J141),SUM($C132:J132)+SUM($C138:J138)-SUM($C141:J141),0)</f>
        <v>0</v>
      </c>
      <c r="K143" s="66">
        <f>+IF(SUM($C132:K132)+SUM($C138:K138)&gt;SUM($C141:K141),SUM($C132:K132)+SUM($C138:K138)-SUM($C141:K141),0)</f>
        <v>0</v>
      </c>
      <c r="L143" s="66">
        <f>+IF(SUM($C132:L132)+SUM($C138:L138)&gt;SUM($C141:L141),SUM($C132:L132)+SUM($C138:L138)-SUM($C141:L141),0)</f>
        <v>0</v>
      </c>
    </row>
    <row r="144" spans="2:12" x14ac:dyDescent="0.3">
      <c r="B144" t="s">
        <v>964</v>
      </c>
      <c r="C144" s="66">
        <f>+IF(C132+C138&lt;C141,C141-(C132+C138),0)</f>
        <v>72409.957399999956</v>
      </c>
      <c r="D144" s="66">
        <f>+IF(SUM($C132:D132)+SUM($C138:D138)&lt;SUM($C141:D141),-SUM($C132:D132)-SUM($C138:D138)+SUM($C141:D141),0)</f>
        <v>85849.957400000014</v>
      </c>
      <c r="E144" s="66">
        <f>+IF(SUM($C132:E132)+SUM($C138:E138)&lt;SUM($C141:E141),-SUM($C132:E132)-SUM($C138:E138)+SUM($C141:E141),0)</f>
        <v>92569.957399999956</v>
      </c>
      <c r="F144" s="66">
        <f>+IF(SUM($C132:F132)+SUM($C138:F138)&lt;SUM($C141:F141),-SUM($C132:F132)-SUM($C138:F138)+SUM($C141:F141),0)</f>
        <v>89209.957399999956</v>
      </c>
      <c r="G144" s="66">
        <f>+IF(SUM($C132:G132)+SUM($C138:G138)&lt;SUM($C141:G141),-SUM($C132:G132)-SUM($C138:G138)+SUM($C141:G141),0)</f>
        <v>89209.957399999956</v>
      </c>
      <c r="H144" s="66">
        <f>+IF(SUM($C132:H132)+SUM($C138:H138)&lt;SUM($C141:H141),-SUM($C132:H132)-SUM($C138:H138)+SUM($C141:H141),0)</f>
        <v>89209.957399999956</v>
      </c>
      <c r="I144" s="66">
        <f>+IF(SUM($C132:I132)+SUM($C138:I138)&lt;SUM($C141:I141),-SUM($C132:I132)-SUM($C138:I138)+SUM($C141:I141),0)</f>
        <v>89209.957399999956</v>
      </c>
      <c r="J144" s="66">
        <f>+IF(SUM($C132:J132)+SUM($C138:J138)&lt;SUM($C141:J141),-SUM($C132:J132)-SUM($C138:J138)+SUM($C141:J141),0)</f>
        <v>89209.957399999956</v>
      </c>
      <c r="K144" s="66">
        <f>+IF(SUM($C132:K132)+SUM($C138:K138)&lt;SUM($C141:K141),-SUM($C132:K132)-SUM($C138:K138)+SUM($C141:K141),0)</f>
        <v>89209.957399999956</v>
      </c>
      <c r="L144" s="66">
        <f>+IF(SUM($C132:L132)+SUM($C138:L138)&lt;SUM($C141:L141),-SUM($C132:L132)-SUM($C138:L138)+SUM($C141:L141),0)</f>
        <v>89209.957400000072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5"/>
  <sheetViews>
    <sheetView showGridLines="0" workbookViewId="0">
      <selection activeCell="C21" sqref="C21"/>
    </sheetView>
  </sheetViews>
  <sheetFormatPr defaultColWidth="8.6640625" defaultRowHeight="14.4" x14ac:dyDescent="0.3"/>
  <cols>
    <col min="3" max="3" width="56.6640625" bestFit="1" customWidth="1"/>
    <col min="4" max="14" width="13.21875" bestFit="1" customWidth="1"/>
  </cols>
  <sheetData>
    <row r="3" spans="1:14" ht="15.6" x14ac:dyDescent="0.3">
      <c r="C3" s="164" t="s">
        <v>88</v>
      </c>
      <c r="D3" s="192">
        <f>+'Input Previsionale'!E8-1</f>
        <v>2016</v>
      </c>
      <c r="E3" s="192">
        <f>+D3+1</f>
        <v>2017</v>
      </c>
      <c r="F3" s="192">
        <f t="shared" ref="F3:N3" si="0">+E3+1</f>
        <v>2018</v>
      </c>
      <c r="G3" s="192">
        <f t="shared" si="0"/>
        <v>2019</v>
      </c>
      <c r="H3" s="192">
        <f t="shared" si="0"/>
        <v>2020</v>
      </c>
      <c r="I3" s="192">
        <f t="shared" si="0"/>
        <v>2021</v>
      </c>
      <c r="J3" s="192">
        <f t="shared" si="0"/>
        <v>2022</v>
      </c>
      <c r="K3" s="192">
        <f t="shared" si="0"/>
        <v>2023</v>
      </c>
      <c r="L3" s="192">
        <f t="shared" si="0"/>
        <v>2024</v>
      </c>
      <c r="M3" s="192">
        <f t="shared" si="0"/>
        <v>2025</v>
      </c>
      <c r="N3" s="192">
        <f t="shared" si="0"/>
        <v>2026</v>
      </c>
    </row>
    <row r="4" spans="1:14" ht="15" thickBot="1" x14ac:dyDescent="0.35">
      <c r="C4" s="73"/>
    </row>
    <row r="5" spans="1:14" ht="15" thickBot="1" x14ac:dyDescent="0.35">
      <c r="A5">
        <v>4</v>
      </c>
      <c r="C5" s="238" t="s">
        <v>858</v>
      </c>
      <c r="D5" s="241">
        <f>HLOOKUP($D$3,'sp fin'!$C$2:$D$63,A5,FALSE)</f>
        <v>138281.13999999998</v>
      </c>
      <c r="E5" s="242">
        <f>+IF(Calcoli!C114&gt;0,Calcoli!C114,0)</f>
        <v>0</v>
      </c>
      <c r="F5" s="242">
        <f>+IF(Calcoli!D114&gt;0,Calcoli!D114,0)</f>
        <v>0</v>
      </c>
      <c r="G5" s="242">
        <f>+IF(Calcoli!E114&gt;0,Calcoli!E114,0)</f>
        <v>0</v>
      </c>
      <c r="H5" s="242">
        <f>+IF(Calcoli!F114&gt;0,Calcoli!F114,0)</f>
        <v>449547.40187383367</v>
      </c>
      <c r="I5" s="242">
        <f>+IF(Calcoli!G114&gt;0,Calcoli!G114,0)</f>
        <v>588797.67427383363</v>
      </c>
      <c r="J5" s="242">
        <f>+IF(Calcoli!H114&gt;0,Calcoli!H114,0)</f>
        <v>728047.94667383353</v>
      </c>
      <c r="K5" s="242">
        <f>+IF(Calcoli!I114&gt;0,Calcoli!I114,0)</f>
        <v>867298.21907383343</v>
      </c>
      <c r="L5" s="242">
        <f>+IF(Calcoli!J114&gt;0,Calcoli!J114,0)</f>
        <v>1006548.4914738333</v>
      </c>
      <c r="M5" s="242">
        <f>+IF(Calcoli!K114&gt;0,Calcoli!K114,0)</f>
        <v>1145798.7638738332</v>
      </c>
      <c r="N5" s="243">
        <f>+IF(Calcoli!L114&gt;0,Calcoli!L114,0)</f>
        <v>1285049.0362738331</v>
      </c>
    </row>
    <row r="6" spans="1:14" ht="15" thickBot="1" x14ac:dyDescent="0.35">
      <c r="A6">
        <f>+A5+1</f>
        <v>5</v>
      </c>
      <c r="C6" s="63"/>
    </row>
    <row r="7" spans="1:14" ht="15" thickBot="1" x14ac:dyDescent="0.35">
      <c r="A7">
        <f t="shared" ref="A7:A61" si="1">+A6+1</f>
        <v>6</v>
      </c>
      <c r="C7" s="238" t="s">
        <v>859</v>
      </c>
      <c r="D7" s="241">
        <f>+D8+D9+D10+D11</f>
        <v>482579.51</v>
      </c>
      <c r="E7" s="242">
        <f t="shared" ref="E7:N7" si="2">+E8+E9+E10+E11</f>
        <v>621728.79475</v>
      </c>
      <c r="F7" s="242">
        <f t="shared" si="2"/>
        <v>635168.79475</v>
      </c>
      <c r="G7" s="242">
        <f t="shared" si="2"/>
        <v>641888.79475</v>
      </c>
      <c r="H7" s="242">
        <f t="shared" si="2"/>
        <v>228026.46739999994</v>
      </c>
      <c r="I7" s="242">
        <f t="shared" si="2"/>
        <v>228026.46739999994</v>
      </c>
      <c r="J7" s="242">
        <f t="shared" si="2"/>
        <v>228026.46739999994</v>
      </c>
      <c r="K7" s="242">
        <f t="shared" si="2"/>
        <v>228026.46739999994</v>
      </c>
      <c r="L7" s="242">
        <f t="shared" si="2"/>
        <v>228026.46739999994</v>
      </c>
      <c r="M7" s="242">
        <f t="shared" si="2"/>
        <v>228026.46739999994</v>
      </c>
      <c r="N7" s="243">
        <f t="shared" si="2"/>
        <v>228026.46740000005</v>
      </c>
    </row>
    <row r="8" spans="1:14" x14ac:dyDescent="0.3">
      <c r="A8">
        <f t="shared" si="1"/>
        <v>7</v>
      </c>
      <c r="C8" s="198" t="s">
        <v>1145</v>
      </c>
      <c r="D8" s="240">
        <f>HLOOKUP($D$3,'sp fin'!$C$2:$D$63,A8,FALSE)</f>
        <v>343762.73</v>
      </c>
      <c r="E8" s="240">
        <f>+$D$8-SUM('Scheda Crediti'!E6)+Calcoli!C58</f>
        <v>410502.05735000002</v>
      </c>
      <c r="F8" s="240">
        <f>+$D$8-SUM('Scheda Crediti'!$E6:F6)+Calcoli!D58</f>
        <v>410502.05735000002</v>
      </c>
      <c r="G8" s="240">
        <f>+$D$8-SUM('Scheda Crediti'!$E6:G6)+Calcoli!E58</f>
        <v>410502.05735000002</v>
      </c>
      <c r="H8" s="240">
        <f>+$D$8-SUM('Scheda Crediti'!$E6:H6)+Calcoli!F58</f>
        <v>-0.27000000001862645</v>
      </c>
      <c r="I8" s="240">
        <f>+$D$8-SUM('Scheda Crediti'!$E6:I6)+Calcoli!G58</f>
        <v>-0.27000000001862645</v>
      </c>
      <c r="J8" s="240">
        <f>+$D$8-SUM('Scheda Crediti'!$E6:J6)+Calcoli!H58</f>
        <v>-0.27000000001862645</v>
      </c>
      <c r="K8" s="240">
        <f>+$D$8-SUM('Scheda Crediti'!$E6:K6)+Calcoli!I58</f>
        <v>-0.27000000001862645</v>
      </c>
      <c r="L8" s="240">
        <f>+$D$8-SUM('Scheda Crediti'!$E6:L6)+Calcoli!J58</f>
        <v>-0.27000000001862645</v>
      </c>
      <c r="M8" s="240">
        <f>+$D$8-SUM('Scheda Crediti'!$E6:M6)+Calcoli!K58</f>
        <v>-0.27000000001862645</v>
      </c>
      <c r="N8" s="240">
        <f>+$D$8-SUM('Scheda Crediti'!$E6:N6)+Calcoli!L58</f>
        <v>-0.27000000001862645</v>
      </c>
    </row>
    <row r="9" spans="1:14" x14ac:dyDescent="0.3">
      <c r="A9">
        <f t="shared" si="1"/>
        <v>8</v>
      </c>
      <c r="C9" s="198" t="s">
        <v>1146</v>
      </c>
      <c r="D9" s="189">
        <f>HLOOKUP($D$3,'sp fin'!$C$2:$D$63,A9,FALSE)</f>
        <v>20616.28</v>
      </c>
      <c r="E9" s="189">
        <f>+$D$9-SUM('Scheda Crediti'!E7)+Calcoli!C144+Calcoli!C126</f>
        <v>93026.237399999955</v>
      </c>
      <c r="F9" s="189">
        <f>+$D$9-SUM('Scheda Crediti'!$E7:F7)+Calcoli!D144+SUM(Calcoli!$C126:D126)</f>
        <v>106466.23740000001</v>
      </c>
      <c r="G9" s="189">
        <f>+$D$9-SUM('Scheda Crediti'!$E7:G7)+Calcoli!E144+SUM(Calcoli!$C126:E126)</f>
        <v>113186.23739999995</v>
      </c>
      <c r="H9" s="189">
        <f>+$D$9-SUM('Scheda Crediti'!$E7:H7)+Calcoli!F144+SUM(Calcoli!$C126:F126)</f>
        <v>109826.23739999995</v>
      </c>
      <c r="I9" s="189">
        <f>+$D$9-SUM('Scheda Crediti'!$E7:I7)+Calcoli!G144+SUM(Calcoli!$C126:G126)</f>
        <v>109826.23739999995</v>
      </c>
      <c r="J9" s="189">
        <f>+$D$9-SUM('Scheda Crediti'!$E7:J7)+Calcoli!H144+SUM(Calcoli!$C126:H126)</f>
        <v>109826.23739999995</v>
      </c>
      <c r="K9" s="189">
        <f>+$D$9-SUM('Scheda Crediti'!$E7:K7)+Calcoli!I144+SUM(Calcoli!$C126:I126)</f>
        <v>109826.23739999995</v>
      </c>
      <c r="L9" s="189">
        <f>+$D$9-SUM('Scheda Crediti'!$E7:L7)+Calcoli!J144+SUM(Calcoli!$C126:J126)</f>
        <v>109826.23739999995</v>
      </c>
      <c r="M9" s="189">
        <f>+$D$9-SUM('Scheda Crediti'!$E7:M7)+Calcoli!K144+SUM(Calcoli!$C126:K126)</f>
        <v>109826.23739999995</v>
      </c>
      <c r="N9" s="189">
        <f>+$D$9-SUM('Scheda Crediti'!$E7:N7)+Calcoli!L144+SUM(Calcoli!$C126:L126)</f>
        <v>109826.23740000007</v>
      </c>
    </row>
    <row r="10" spans="1:14" x14ac:dyDescent="0.3">
      <c r="A10">
        <f t="shared" si="1"/>
        <v>9</v>
      </c>
      <c r="C10" s="239" t="s">
        <v>1147</v>
      </c>
      <c r="D10" s="189">
        <f>HLOOKUP($D$3,'sp fin'!$C$2:$D$63,A10,FALSE)</f>
        <v>35964.9</v>
      </c>
      <c r="E10" s="189">
        <f>+$D$10-SUM('Scheda Crediti'!E8)</f>
        <v>35964.9</v>
      </c>
      <c r="F10" s="189">
        <f>+$D$10-SUM('Scheda Crediti'!$E8:F8)</f>
        <v>35964.9</v>
      </c>
      <c r="G10" s="189">
        <f>+$D$10-SUM('Scheda Crediti'!$E8:G8)</f>
        <v>35964.9</v>
      </c>
      <c r="H10" s="189">
        <f>+$D$10-SUM('Scheda Crediti'!$E8:H8)</f>
        <v>35964.9</v>
      </c>
      <c r="I10" s="189">
        <f>+$D$10-SUM('Scheda Crediti'!$E8:I8)</f>
        <v>35964.9</v>
      </c>
      <c r="J10" s="189">
        <f>+$D$10-SUM('Scheda Crediti'!$E8:J8)</f>
        <v>35964.9</v>
      </c>
      <c r="K10" s="189">
        <f>+$D$10-SUM('Scheda Crediti'!$E8:K8)</f>
        <v>35964.9</v>
      </c>
      <c r="L10" s="189">
        <f>+$D$10-SUM('Scheda Crediti'!$E8:L8)</f>
        <v>35964.9</v>
      </c>
      <c r="M10" s="189">
        <f>+$D$10-SUM('Scheda Crediti'!$E8:M8)</f>
        <v>35964.9</v>
      </c>
      <c r="N10" s="189">
        <f>+$D$10-SUM('Scheda Crediti'!$E8:N8)</f>
        <v>35964.9</v>
      </c>
    </row>
    <row r="11" spans="1:14" x14ac:dyDescent="0.3">
      <c r="A11">
        <f t="shared" si="1"/>
        <v>10</v>
      </c>
      <c r="C11" s="239" t="s">
        <v>1148</v>
      </c>
      <c r="D11" s="189">
        <f>HLOOKUP($D$3,'sp fin'!$C$2:$D$63,A11,FALSE)</f>
        <v>82235.600000000006</v>
      </c>
      <c r="E11" s="189">
        <f>+$D$11-SUM('Scheda Crediti'!E9)</f>
        <v>82235.600000000006</v>
      </c>
      <c r="F11" s="189">
        <f>+$D$11-SUM('Scheda Crediti'!$E9:F9)</f>
        <v>82235.600000000006</v>
      </c>
      <c r="G11" s="189">
        <f>+$D$11-SUM('Scheda Crediti'!$E9:G9)</f>
        <v>82235.600000000006</v>
      </c>
      <c r="H11" s="189">
        <f>+$D$11-SUM('Scheda Crediti'!$E9:H9)</f>
        <v>82235.600000000006</v>
      </c>
      <c r="I11" s="189">
        <f>+$D$11-SUM('Scheda Crediti'!$E9:I9)</f>
        <v>82235.600000000006</v>
      </c>
      <c r="J11" s="189">
        <f>+$D$11-SUM('Scheda Crediti'!$E9:J9)</f>
        <v>82235.600000000006</v>
      </c>
      <c r="K11" s="189">
        <f>+$D$11-SUM('Scheda Crediti'!$E9:K9)</f>
        <v>82235.600000000006</v>
      </c>
      <c r="L11" s="189">
        <f>+$D$11-SUM('Scheda Crediti'!$E9:L9)</f>
        <v>82235.600000000006</v>
      </c>
      <c r="M11" s="189">
        <f>+$D$11-SUM('Scheda Crediti'!$E9:M9)</f>
        <v>82235.600000000006</v>
      </c>
      <c r="N11" s="189">
        <f>+$D$11-SUM('Scheda Crediti'!$E9:N9)</f>
        <v>82235.600000000006</v>
      </c>
    </row>
    <row r="12" spans="1:14" ht="15" thickBot="1" x14ac:dyDescent="0.35">
      <c r="A12">
        <f t="shared" si="1"/>
        <v>11</v>
      </c>
      <c r="C12" s="63"/>
    </row>
    <row r="13" spans="1:14" ht="15" thickBot="1" x14ac:dyDescent="0.35">
      <c r="A13">
        <f t="shared" si="1"/>
        <v>12</v>
      </c>
      <c r="C13" s="238" t="s">
        <v>860</v>
      </c>
      <c r="D13" s="241">
        <f>+SUM(D14:D15)</f>
        <v>207969.09</v>
      </c>
      <c r="E13" s="242">
        <f t="shared" ref="E13:N13" si="3">+SUM(E14:E15)</f>
        <v>200000</v>
      </c>
      <c r="F13" s="242">
        <f t="shared" si="3"/>
        <v>240000</v>
      </c>
      <c r="G13" s="242">
        <f t="shared" si="3"/>
        <v>200000</v>
      </c>
      <c r="H13" s="242">
        <f t="shared" si="3"/>
        <v>200000</v>
      </c>
      <c r="I13" s="242">
        <f t="shared" si="3"/>
        <v>200000</v>
      </c>
      <c r="J13" s="242">
        <f t="shared" si="3"/>
        <v>200000</v>
      </c>
      <c r="K13" s="242">
        <f t="shared" si="3"/>
        <v>200000</v>
      </c>
      <c r="L13" s="242">
        <f t="shared" si="3"/>
        <v>200000</v>
      </c>
      <c r="M13" s="242">
        <f t="shared" si="3"/>
        <v>200000</v>
      </c>
      <c r="N13" s="243">
        <f t="shared" si="3"/>
        <v>200000</v>
      </c>
    </row>
    <row r="14" spans="1:14" x14ac:dyDescent="0.3">
      <c r="A14">
        <f t="shared" si="1"/>
        <v>13</v>
      </c>
      <c r="C14" s="239" t="s">
        <v>1149</v>
      </c>
      <c r="D14" s="189">
        <f>HLOOKUP($D$3,'sp fin'!$C$2:$D$63,A14,FALSE)</f>
        <v>207969.09</v>
      </c>
      <c r="E14" s="189">
        <f>+'CE Previsionale'!D7</f>
        <v>100000</v>
      </c>
      <c r="F14" s="189">
        <f>+'CE Previsionale'!E7</f>
        <v>120000</v>
      </c>
      <c r="G14" s="189">
        <f>+'CE Previsionale'!F7</f>
        <v>100000</v>
      </c>
      <c r="H14" s="189">
        <f>+'CE Previsionale'!G7</f>
        <v>100000</v>
      </c>
      <c r="I14" s="189">
        <f>+'CE Previsionale'!H7</f>
        <v>100000</v>
      </c>
      <c r="J14" s="189">
        <f>+'CE Previsionale'!I7</f>
        <v>100000</v>
      </c>
      <c r="K14" s="189">
        <f>+'CE Previsionale'!J7</f>
        <v>100000</v>
      </c>
      <c r="L14" s="189">
        <f>+'CE Previsionale'!K7</f>
        <v>100000</v>
      </c>
      <c r="M14" s="189">
        <f>+'CE Previsionale'!L7</f>
        <v>100000</v>
      </c>
      <c r="N14" s="189">
        <f>+'CE Previsionale'!M7</f>
        <v>100000</v>
      </c>
    </row>
    <row r="15" spans="1:14" x14ac:dyDescent="0.3">
      <c r="A15">
        <f t="shared" si="1"/>
        <v>14</v>
      </c>
      <c r="C15" s="239" t="s">
        <v>1150</v>
      </c>
      <c r="D15" s="189">
        <f>HLOOKUP($D$3,'sp fin'!$C$2:$D$63,A15,FALSE)</f>
        <v>0</v>
      </c>
      <c r="E15" s="189">
        <f>+'CE Previsionale'!D12</f>
        <v>100000</v>
      </c>
      <c r="F15" s="189">
        <f>+'CE Previsionale'!E12</f>
        <v>120000</v>
      </c>
      <c r="G15" s="189">
        <f>+'CE Previsionale'!F12</f>
        <v>100000</v>
      </c>
      <c r="H15" s="189">
        <f>+'CE Previsionale'!G12</f>
        <v>100000</v>
      </c>
      <c r="I15" s="189">
        <f>+'CE Previsionale'!H12</f>
        <v>100000</v>
      </c>
      <c r="J15" s="189">
        <f>+'CE Previsionale'!I12</f>
        <v>100000</v>
      </c>
      <c r="K15" s="189">
        <f>+'CE Previsionale'!J12</f>
        <v>100000</v>
      </c>
      <c r="L15" s="189">
        <f>+'CE Previsionale'!K12</f>
        <v>100000</v>
      </c>
      <c r="M15" s="189">
        <f>+'CE Previsionale'!L12</f>
        <v>100000</v>
      </c>
      <c r="N15" s="189">
        <f>+'CE Previsionale'!M12</f>
        <v>100000</v>
      </c>
    </row>
    <row r="16" spans="1:14" ht="15" thickBot="1" x14ac:dyDescent="0.35">
      <c r="A16">
        <f t="shared" si="1"/>
        <v>15</v>
      </c>
      <c r="C16" s="64"/>
    </row>
    <row r="17" spans="1:15" ht="15" thickBot="1" x14ac:dyDescent="0.35">
      <c r="A17">
        <f t="shared" si="1"/>
        <v>16</v>
      </c>
      <c r="C17" s="238" t="s">
        <v>37</v>
      </c>
      <c r="D17" s="241">
        <f>+D18+D20</f>
        <v>2343629.81</v>
      </c>
      <c r="E17" s="242">
        <f t="shared" ref="E17:N17" si="4">+E18+E20</f>
        <v>2343629.81</v>
      </c>
      <c r="F17" s="242">
        <f t="shared" si="4"/>
        <v>2343629.81</v>
      </c>
      <c r="G17" s="242">
        <f t="shared" si="4"/>
        <v>2343629.81</v>
      </c>
      <c r="H17" s="242">
        <f t="shared" si="4"/>
        <v>2343629.81</v>
      </c>
      <c r="I17" s="242">
        <f t="shared" si="4"/>
        <v>2343629.81</v>
      </c>
      <c r="J17" s="242">
        <f t="shared" si="4"/>
        <v>2343629.81</v>
      </c>
      <c r="K17" s="242">
        <f t="shared" si="4"/>
        <v>2343629.81</v>
      </c>
      <c r="L17" s="242">
        <f t="shared" si="4"/>
        <v>2343629.81</v>
      </c>
      <c r="M17" s="242">
        <f t="shared" si="4"/>
        <v>2343629.81</v>
      </c>
      <c r="N17" s="243">
        <f t="shared" si="4"/>
        <v>2343629.81</v>
      </c>
    </row>
    <row r="18" spans="1:15" ht="15" thickBot="1" x14ac:dyDescent="0.35">
      <c r="A18">
        <f t="shared" si="1"/>
        <v>17</v>
      </c>
      <c r="C18" s="239" t="s">
        <v>1151</v>
      </c>
      <c r="D18" s="241">
        <f>+SUM(D19:D19)</f>
        <v>1988414.54</v>
      </c>
      <c r="E18" s="242">
        <f t="shared" ref="E18:N18" si="5">+SUM(E19:E19)</f>
        <v>1988414.54</v>
      </c>
      <c r="F18" s="242">
        <f t="shared" si="5"/>
        <v>1988414.54</v>
      </c>
      <c r="G18" s="242">
        <f t="shared" si="5"/>
        <v>1988414.54</v>
      </c>
      <c r="H18" s="242">
        <f t="shared" si="5"/>
        <v>1988414.54</v>
      </c>
      <c r="I18" s="242">
        <f t="shared" si="5"/>
        <v>1988414.54</v>
      </c>
      <c r="J18" s="242">
        <f t="shared" si="5"/>
        <v>1988414.54</v>
      </c>
      <c r="K18" s="242">
        <f t="shared" si="5"/>
        <v>1988414.54</v>
      </c>
      <c r="L18" s="242">
        <f t="shared" si="5"/>
        <v>1988414.54</v>
      </c>
      <c r="M18" s="242">
        <f t="shared" si="5"/>
        <v>1988414.54</v>
      </c>
      <c r="N18" s="243">
        <f t="shared" si="5"/>
        <v>1988414.54</v>
      </c>
    </row>
    <row r="19" spans="1:15" ht="15" thickBot="1" x14ac:dyDescent="0.35">
      <c r="A19">
        <f t="shared" si="1"/>
        <v>18</v>
      </c>
      <c r="C19" s="239" t="s">
        <v>864</v>
      </c>
      <c r="D19" s="189">
        <f>HLOOKUP($D$3,'sp fin'!$C$2:$D$63,A19,FALSE)</f>
        <v>1988414.54</v>
      </c>
      <c r="E19" s="189">
        <f>+'Scheda Inv'!$C$4-Calcoli!C11-'Scheda Inv'!D183+'Scheda Inv'!D23</f>
        <v>1988414.54</v>
      </c>
      <c r="F19" s="189">
        <f>+'Scheda Inv'!$C$4-Calcoli!D11-SUM('Scheda Inv'!$D183:E183)+SUM('Scheda Inv'!$D23:E23)</f>
        <v>1988414.54</v>
      </c>
      <c r="G19" s="189">
        <f>+'Scheda Inv'!$C$4-Calcoli!E11-SUM('Scheda Inv'!$D183:F183)+SUM('Scheda Inv'!$D23:F23)</f>
        <v>1988414.54</v>
      </c>
      <c r="H19" s="189">
        <f>+'Scheda Inv'!$C$4-Calcoli!F11-SUM('Scheda Inv'!$D183:G183)+SUM('Scheda Inv'!$D23:G23)</f>
        <v>1988414.54</v>
      </c>
      <c r="I19" s="189">
        <f>+'Scheda Inv'!$C$4-Calcoli!G11-SUM('Scheda Inv'!$D183:H183)+SUM('Scheda Inv'!$D23:H23)</f>
        <v>1988414.54</v>
      </c>
      <c r="J19" s="189">
        <f>+'Scheda Inv'!$C$4-Calcoli!H11-SUM('Scheda Inv'!$D183:I183)+SUM('Scheda Inv'!$D23:I23)</f>
        <v>1988414.54</v>
      </c>
      <c r="K19" s="189">
        <f>+'Scheda Inv'!$C$4-Calcoli!I11-SUM('Scheda Inv'!$D183:J183)+SUM('Scheda Inv'!$D23:J23)</f>
        <v>1988414.54</v>
      </c>
      <c r="L19" s="189">
        <f>+'Scheda Inv'!$C$4-Calcoli!J11-SUM('Scheda Inv'!$D183:K183)+SUM('Scheda Inv'!$D23:K23)</f>
        <v>1988414.54</v>
      </c>
      <c r="M19" s="189">
        <f>+'Scheda Inv'!$C$4-Calcoli!K11-SUM('Scheda Inv'!$D183:L183)+SUM('Scheda Inv'!$D23:L23)</f>
        <v>1988414.54</v>
      </c>
      <c r="N19" s="189">
        <f>+'Scheda Inv'!$C$4-Calcoli!L11-SUM('Scheda Inv'!$D183:M183)+SUM('Scheda Inv'!$D23:M23)</f>
        <v>1988414.54</v>
      </c>
    </row>
    <row r="20" spans="1:15" ht="15" thickBot="1" x14ac:dyDescent="0.35">
      <c r="A20">
        <f t="shared" si="1"/>
        <v>19</v>
      </c>
      <c r="C20" s="239" t="s">
        <v>1152</v>
      </c>
      <c r="D20" s="241">
        <f>+SUM(D21:D23)</f>
        <v>355215.26999999996</v>
      </c>
      <c r="E20" s="242">
        <f t="shared" ref="E20:N20" si="6">+SUM(E21:E23)</f>
        <v>355215.26999999996</v>
      </c>
      <c r="F20" s="242">
        <f t="shared" si="6"/>
        <v>355215.26999999996</v>
      </c>
      <c r="G20" s="242">
        <f t="shared" si="6"/>
        <v>355215.26999999996</v>
      </c>
      <c r="H20" s="242">
        <f t="shared" si="6"/>
        <v>355215.26999999996</v>
      </c>
      <c r="I20" s="242">
        <f t="shared" si="6"/>
        <v>355215.26999999996</v>
      </c>
      <c r="J20" s="242">
        <f t="shared" si="6"/>
        <v>355215.26999999996</v>
      </c>
      <c r="K20" s="242">
        <f t="shared" si="6"/>
        <v>355215.26999999996</v>
      </c>
      <c r="L20" s="242">
        <f t="shared" si="6"/>
        <v>355215.26999999996</v>
      </c>
      <c r="M20" s="242">
        <f t="shared" si="6"/>
        <v>355215.26999999996</v>
      </c>
      <c r="N20" s="243">
        <f t="shared" si="6"/>
        <v>355215.26999999996</v>
      </c>
    </row>
    <row r="21" spans="1:15" x14ac:dyDescent="0.3">
      <c r="A21">
        <f t="shared" si="1"/>
        <v>20</v>
      </c>
      <c r="C21" s="239" t="s">
        <v>866</v>
      </c>
      <c r="D21" s="189">
        <f>HLOOKUP($D$3,'sp fin'!$C$2:$D$63,A21,FALSE)</f>
        <v>46898.14</v>
      </c>
      <c r="E21" s="189">
        <f>+$D$21-Calcoli!C12-'Scheda Inv'!D184+'Scheda Inv'!D24</f>
        <v>46898.14</v>
      </c>
      <c r="F21" s="189">
        <f>+$D$21-Calcoli!D12-SUM('Scheda Inv'!$D184:E184)+SUM('Scheda Inv'!$D24:E24)</f>
        <v>46898.14</v>
      </c>
      <c r="G21" s="189">
        <f>+$D$21-Calcoli!E12-SUM('Scheda Inv'!$D184:F184)+SUM('Scheda Inv'!$D24:F24)</f>
        <v>46898.14</v>
      </c>
      <c r="H21" s="189">
        <f>+$D$21-Calcoli!F12-SUM('Scheda Inv'!$D184:G184)+SUM('Scheda Inv'!$D24:G24)</f>
        <v>46898.14</v>
      </c>
      <c r="I21" s="189">
        <f>+$D$21-Calcoli!G12-SUM('Scheda Inv'!$D184:H184)+SUM('Scheda Inv'!$D24:H24)</f>
        <v>46898.14</v>
      </c>
      <c r="J21" s="189">
        <f>+$D$21-Calcoli!H12-SUM('Scheda Inv'!$D184:I184)+SUM('Scheda Inv'!$D24:I24)</f>
        <v>46898.14</v>
      </c>
      <c r="K21" s="189">
        <f>+$D$21-Calcoli!I12-SUM('Scheda Inv'!$D184:J184)+SUM('Scheda Inv'!$D24:J24)</f>
        <v>46898.14</v>
      </c>
      <c r="L21" s="189">
        <f>+$D$21-Calcoli!J12-SUM('Scheda Inv'!$D184:K184)+SUM('Scheda Inv'!$D24:K24)</f>
        <v>46898.14</v>
      </c>
      <c r="M21" s="189">
        <f>+$D$21-Calcoli!K12-SUM('Scheda Inv'!$D184:L184)+SUM('Scheda Inv'!$D24:L24)</f>
        <v>46898.14</v>
      </c>
      <c r="N21" s="189">
        <f>+$D$21-Calcoli!L12-SUM('Scheda Inv'!$D184:M184)+SUM('Scheda Inv'!$D24:M24)</f>
        <v>46898.14</v>
      </c>
    </row>
    <row r="22" spans="1:15" x14ac:dyDescent="0.3">
      <c r="A22">
        <f t="shared" si="1"/>
        <v>21</v>
      </c>
      <c r="C22" s="239" t="s">
        <v>867</v>
      </c>
      <c r="D22" s="189">
        <f>HLOOKUP($D$3,'sp fin'!$C$2:$D$63,A22,FALSE)</f>
        <v>158998.82999999999</v>
      </c>
      <c r="E22" s="189">
        <f>+$D$22-Calcoli!C13-'Scheda Inv'!D185+'Scheda Inv'!D25</f>
        <v>158998.82999999999</v>
      </c>
      <c r="F22" s="189">
        <f>+$D$22-Calcoli!D13-SUM('Scheda Inv'!$D185:E185)+SUM('Scheda Inv'!$D25:E25)</f>
        <v>158998.82999999999</v>
      </c>
      <c r="G22" s="189">
        <f>+$D$22-Calcoli!E13-SUM('Scheda Inv'!$D185:F185)+SUM('Scheda Inv'!$D25:F25)</f>
        <v>158998.82999999999</v>
      </c>
      <c r="H22" s="189">
        <f>+$D$22-Calcoli!F13-SUM('Scheda Inv'!$D185:G185)+SUM('Scheda Inv'!$D25:G25)</f>
        <v>158998.82999999999</v>
      </c>
      <c r="I22" s="189">
        <f>+$D$22-Calcoli!G13-SUM('Scheda Inv'!$D185:H185)+SUM('Scheda Inv'!$D25:H25)</f>
        <v>158998.82999999999</v>
      </c>
      <c r="J22" s="189">
        <f>+$D$22-Calcoli!H13-SUM('Scheda Inv'!$D185:I185)+SUM('Scheda Inv'!$D25:I25)</f>
        <v>158998.82999999999</v>
      </c>
      <c r="K22" s="189">
        <f>+$D$22-Calcoli!I13-SUM('Scheda Inv'!$D185:J185)+SUM('Scheda Inv'!$D25:J25)</f>
        <v>158998.82999999999</v>
      </c>
      <c r="L22" s="189">
        <f>+$D$22-Calcoli!J13-SUM('Scheda Inv'!$D185:K185)+SUM('Scheda Inv'!$D25:K25)</f>
        <v>158998.82999999999</v>
      </c>
      <c r="M22" s="189">
        <f>+$D$22-Calcoli!K13-SUM('Scheda Inv'!$D185:L185)+SUM('Scheda Inv'!$D25:L25)</f>
        <v>158998.82999999999</v>
      </c>
      <c r="N22" s="189">
        <f>+$D$22-Calcoli!L13-SUM('Scheda Inv'!$D185:M185)+SUM('Scheda Inv'!$D25:M25)</f>
        <v>158998.82999999999</v>
      </c>
    </row>
    <row r="23" spans="1:15" x14ac:dyDescent="0.3">
      <c r="A23">
        <f t="shared" si="1"/>
        <v>22</v>
      </c>
      <c r="C23" s="239" t="s">
        <v>868</v>
      </c>
      <c r="D23" s="189">
        <f>HLOOKUP($D$3,'sp fin'!$C$2:$D$63,A23,FALSE)</f>
        <v>149318.29999999999</v>
      </c>
      <c r="E23" s="189">
        <f>+$D$23-Calcoli!C14-'Scheda Inv'!D186+'Scheda Inv'!D26</f>
        <v>149318.29999999999</v>
      </c>
      <c r="F23" s="189">
        <f>+$D$23-Calcoli!D14-SUM('Scheda Inv'!$D186:E186)+SUM('Scheda Inv'!$D26:E26)</f>
        <v>149318.29999999999</v>
      </c>
      <c r="G23" s="189">
        <f>+$D$23-Calcoli!E14-SUM('Scheda Inv'!$D186:F186)+SUM('Scheda Inv'!$D26:F26)</f>
        <v>149318.29999999999</v>
      </c>
      <c r="H23" s="189">
        <f>+$D$23-Calcoli!F14-SUM('Scheda Inv'!$D186:G186)+SUM('Scheda Inv'!$D26:G26)</f>
        <v>149318.29999999999</v>
      </c>
      <c r="I23" s="189">
        <f>+$D$23-Calcoli!G14-SUM('Scheda Inv'!$D186:H186)+SUM('Scheda Inv'!$D26:H26)</f>
        <v>149318.29999999999</v>
      </c>
      <c r="J23" s="189">
        <f>+$D$23-Calcoli!H14-SUM('Scheda Inv'!$D186:I186)+SUM('Scheda Inv'!$D26:I26)</f>
        <v>149318.29999999999</v>
      </c>
      <c r="K23" s="189">
        <f>+$D$23-Calcoli!I14-SUM('Scheda Inv'!$D186:J186)+SUM('Scheda Inv'!$D26:J26)</f>
        <v>149318.29999999999</v>
      </c>
      <c r="L23" s="189">
        <f>+$D$23-Calcoli!J14-SUM('Scheda Inv'!$D186:K186)+SUM('Scheda Inv'!$D26:K26)</f>
        <v>149318.29999999999</v>
      </c>
      <c r="M23" s="189">
        <f>+$D$23-Calcoli!K14-SUM('Scheda Inv'!$D186:L186)+SUM('Scheda Inv'!$D26:L26)</f>
        <v>149318.29999999999</v>
      </c>
      <c r="N23" s="189">
        <f>+$D$23-Calcoli!L14-SUM('Scheda Inv'!$D186:M186)+SUM('Scheda Inv'!$D26:M26)</f>
        <v>149318.29999999999</v>
      </c>
    </row>
    <row r="24" spans="1:15" ht="15" thickBot="1" x14ac:dyDescent="0.35">
      <c r="A24">
        <f t="shared" si="1"/>
        <v>23</v>
      </c>
      <c r="C24" s="64"/>
    </row>
    <row r="25" spans="1:15" ht="15" thickBot="1" x14ac:dyDescent="0.35">
      <c r="A25">
        <f t="shared" si="1"/>
        <v>24</v>
      </c>
      <c r="C25" s="238" t="s">
        <v>869</v>
      </c>
      <c r="D25" s="241">
        <f>+D26</f>
        <v>0</v>
      </c>
      <c r="E25" s="242">
        <f t="shared" ref="E25:N25" si="7">+E26</f>
        <v>0</v>
      </c>
      <c r="F25" s="242">
        <f t="shared" si="7"/>
        <v>0</v>
      </c>
      <c r="G25" s="242">
        <f t="shared" si="7"/>
        <v>0</v>
      </c>
      <c r="H25" s="242">
        <f t="shared" si="7"/>
        <v>0</v>
      </c>
      <c r="I25" s="242">
        <f t="shared" si="7"/>
        <v>0</v>
      </c>
      <c r="J25" s="242">
        <f t="shared" si="7"/>
        <v>0</v>
      </c>
      <c r="K25" s="242">
        <f t="shared" si="7"/>
        <v>0</v>
      </c>
      <c r="L25" s="242">
        <f t="shared" si="7"/>
        <v>0</v>
      </c>
      <c r="M25" s="242">
        <f t="shared" si="7"/>
        <v>0</v>
      </c>
      <c r="N25" s="243">
        <f t="shared" si="7"/>
        <v>0</v>
      </c>
    </row>
    <row r="26" spans="1:15" x14ac:dyDescent="0.3">
      <c r="A26">
        <f t="shared" si="1"/>
        <v>25</v>
      </c>
      <c r="C26" s="239" t="s">
        <v>1153</v>
      </c>
      <c r="D26" s="74">
        <f>+SUM(D27:D29)</f>
        <v>0</v>
      </c>
      <c r="E26" s="74">
        <f t="shared" ref="E26:N26" si="8">+SUM(E27:E29)</f>
        <v>0</v>
      </c>
      <c r="F26" s="74">
        <f t="shared" si="8"/>
        <v>0</v>
      </c>
      <c r="G26" s="74">
        <f t="shared" si="8"/>
        <v>0</v>
      </c>
      <c r="H26" s="74">
        <f t="shared" si="8"/>
        <v>0</v>
      </c>
      <c r="I26" s="74">
        <f t="shared" si="8"/>
        <v>0</v>
      </c>
      <c r="J26" s="74">
        <f t="shared" si="8"/>
        <v>0</v>
      </c>
      <c r="K26" s="74">
        <f t="shared" si="8"/>
        <v>0</v>
      </c>
      <c r="L26" s="74">
        <f t="shared" si="8"/>
        <v>0</v>
      </c>
      <c r="M26" s="74">
        <f t="shared" si="8"/>
        <v>0</v>
      </c>
      <c r="N26" s="74">
        <f t="shared" si="8"/>
        <v>0</v>
      </c>
    </row>
    <row r="27" spans="1:15" x14ac:dyDescent="0.3">
      <c r="A27">
        <f t="shared" si="1"/>
        <v>26</v>
      </c>
      <c r="C27" s="239" t="s">
        <v>871</v>
      </c>
      <c r="D27" s="189">
        <f>HLOOKUP($D$3,'sp fin'!$C$2:$D$63,A27,FALSE)</f>
        <v>0</v>
      </c>
      <c r="E27" s="189">
        <f>+$D$27-Calcoli!C23-'Scheda Inv'!D190+'Scheda Inv'!D30</f>
        <v>0</v>
      </c>
      <c r="F27" s="189">
        <f>+$D$27-Calcoli!D23-SUM('Scheda Inv'!$D190:E190)+SUM('Scheda Inv'!$D30:E30)</f>
        <v>0</v>
      </c>
      <c r="G27" s="189">
        <f>+$D$27-Calcoli!E23-SUM('Scheda Inv'!$D190:F190)+SUM('Scheda Inv'!$D30:F30)</f>
        <v>0</v>
      </c>
      <c r="H27" s="189">
        <f>+$D$27-Calcoli!F23-SUM('Scheda Inv'!$D190:G190)+SUM('Scheda Inv'!$D30:G30)</f>
        <v>0</v>
      </c>
      <c r="I27" s="189">
        <f>+$D$27-Calcoli!G23-SUM('Scheda Inv'!$D190:H190)+SUM('Scheda Inv'!$D30:H30)</f>
        <v>0</v>
      </c>
      <c r="J27" s="189">
        <f>+$D$27-Calcoli!H23-SUM('Scheda Inv'!$D190:I190)+SUM('Scheda Inv'!$D30:I30)</f>
        <v>0</v>
      </c>
      <c r="K27" s="189">
        <f>+$D$27-Calcoli!I23-SUM('Scheda Inv'!$D190:J190)+SUM('Scheda Inv'!$D30:J30)</f>
        <v>0</v>
      </c>
      <c r="L27" s="189">
        <f>+$D$27-Calcoli!J23-SUM('Scheda Inv'!$D190:K190)+SUM('Scheda Inv'!$D30:K30)</f>
        <v>0</v>
      </c>
      <c r="M27" s="189">
        <f>+$D$27-Calcoli!K23-SUM('Scheda Inv'!$D190:L190)+SUM('Scheda Inv'!$D30:L30)</f>
        <v>0</v>
      </c>
      <c r="N27" s="189">
        <f>+$D$27-Calcoli!L23-SUM('Scheda Inv'!$D190:M190)+SUM('Scheda Inv'!$D30:M30)</f>
        <v>0</v>
      </c>
    </row>
    <row r="28" spans="1:15" x14ac:dyDescent="0.3">
      <c r="A28">
        <f t="shared" si="1"/>
        <v>27</v>
      </c>
      <c r="C28" s="239" t="s">
        <v>872</v>
      </c>
      <c r="D28" s="189">
        <f>HLOOKUP($D$3,'sp fin'!$C$2:$D$63,A28,FALSE)</f>
        <v>0</v>
      </c>
      <c r="E28" s="189">
        <f>+$D$28-Calcoli!C24-'Scheda Inv'!D191+'Scheda Inv'!D31</f>
        <v>0</v>
      </c>
      <c r="F28" s="189">
        <f>+$D$28-Calcoli!D24-SUM('Scheda Inv'!$D191:E191)+SUM('Scheda Inv'!$D31:E31)</f>
        <v>0</v>
      </c>
      <c r="G28" s="189">
        <f>+$D$28-Calcoli!E24-SUM('Scheda Inv'!$D191:F191)+SUM('Scheda Inv'!$D31:F31)</f>
        <v>0</v>
      </c>
      <c r="H28" s="189">
        <f>+$D$28-Calcoli!F24-SUM('Scheda Inv'!$D191:G191)+SUM('Scheda Inv'!$D31:G31)</f>
        <v>0</v>
      </c>
      <c r="I28" s="189">
        <f>+$D$28-Calcoli!G24-SUM('Scheda Inv'!$D191:H191)+SUM('Scheda Inv'!$D31:H31)</f>
        <v>0</v>
      </c>
      <c r="J28" s="189">
        <f>+$D$28-Calcoli!H24-SUM('Scheda Inv'!$D191:I191)+SUM('Scheda Inv'!$D31:I31)</f>
        <v>0</v>
      </c>
      <c r="K28" s="189">
        <f>+$D$28-Calcoli!I24-SUM('Scheda Inv'!$D191:J191)+SUM('Scheda Inv'!$D31:J31)</f>
        <v>0</v>
      </c>
      <c r="L28" s="189">
        <f>+$D$28-Calcoli!J24-SUM('Scheda Inv'!$D191:K191)+SUM('Scheda Inv'!$D31:K31)</f>
        <v>0</v>
      </c>
      <c r="M28" s="189">
        <f>+$D$28-Calcoli!K24-SUM('Scheda Inv'!$D191:L191)+SUM('Scheda Inv'!$D31:L31)</f>
        <v>0</v>
      </c>
      <c r="N28" s="189">
        <f>+$D$28-Calcoli!L24-SUM('Scheda Inv'!$D191:M191)+SUM('Scheda Inv'!$D31:M31)</f>
        <v>0</v>
      </c>
    </row>
    <row r="29" spans="1:15" x14ac:dyDescent="0.3">
      <c r="A29">
        <f t="shared" si="1"/>
        <v>28</v>
      </c>
      <c r="C29" s="239" t="s">
        <v>873</v>
      </c>
      <c r="D29" s="189">
        <f>HLOOKUP($D$3,'sp fin'!$C$2:$D$63,A29,FALSE)</f>
        <v>0</v>
      </c>
      <c r="E29" s="189">
        <f>+$D$29-Calcoli!C25-'Scheda Inv'!D192+'Scheda Inv'!D32</f>
        <v>0</v>
      </c>
      <c r="F29" s="189">
        <f>+$D$29-Calcoli!D25-SUM('Scheda Inv'!$D192:E192)+SUM('Scheda Inv'!$D32:E32)</f>
        <v>0</v>
      </c>
      <c r="G29" s="189">
        <f>+$D$29-Calcoli!E25-SUM('Scheda Inv'!$D192:F192)+SUM('Scheda Inv'!$D32:F32)</f>
        <v>0</v>
      </c>
      <c r="H29" s="189">
        <f>+$D$29-Calcoli!F25-SUM('Scheda Inv'!$D192:G192)+SUM('Scheda Inv'!$D32:G32)</f>
        <v>0</v>
      </c>
      <c r="I29" s="189">
        <f>+$D$29-Calcoli!G25-SUM('Scheda Inv'!$D192:H192)+SUM('Scheda Inv'!$D32:H32)</f>
        <v>0</v>
      </c>
      <c r="J29" s="189">
        <f>+$D$29-Calcoli!H25-SUM('Scheda Inv'!$D192:I192)+SUM('Scheda Inv'!$D32:I32)</f>
        <v>0</v>
      </c>
      <c r="K29" s="189">
        <f>+$D$29-Calcoli!I25-SUM('Scheda Inv'!$D192:J192)+SUM('Scheda Inv'!$D32:J32)</f>
        <v>0</v>
      </c>
      <c r="L29" s="189">
        <f>+$D$29-Calcoli!J25-SUM('Scheda Inv'!$D192:K192)+SUM('Scheda Inv'!$D32:K32)</f>
        <v>0</v>
      </c>
      <c r="M29" s="189">
        <f>+$D$29-Calcoli!K25-SUM('Scheda Inv'!$D192:L192)+SUM('Scheda Inv'!$D32:L32)</f>
        <v>0</v>
      </c>
      <c r="N29" s="189">
        <f>+$D$29-Calcoli!L25-SUM('Scheda Inv'!$D192:M192)+SUM('Scheda Inv'!$D32:M32)</f>
        <v>0</v>
      </c>
    </row>
    <row r="30" spans="1:15" ht="15" thickBot="1" x14ac:dyDescent="0.35">
      <c r="A30">
        <f t="shared" si="1"/>
        <v>29</v>
      </c>
      <c r="C30" s="63"/>
    </row>
    <row r="31" spans="1:15" ht="15" thickBot="1" x14ac:dyDescent="0.35">
      <c r="A31">
        <f t="shared" si="1"/>
        <v>30</v>
      </c>
      <c r="C31" s="238" t="s">
        <v>48</v>
      </c>
      <c r="D31" s="241">
        <f>HLOOKUP($D$3,'sp fin'!$C$2:$D$63,A31,FALSE)</f>
        <v>559.4</v>
      </c>
      <c r="E31" s="242">
        <f>+$D$31+'Scheda Inv'!D35</f>
        <v>559.4</v>
      </c>
      <c r="F31" s="242">
        <f>+$D$31+SUM('Scheda Inv'!$D35:E35)</f>
        <v>559.4</v>
      </c>
      <c r="G31" s="242">
        <f>+$D$31+SUM('Scheda Inv'!$D35:F35)</f>
        <v>559.4</v>
      </c>
      <c r="H31" s="242">
        <f>+$D$31+SUM('Scheda Inv'!$D35:G35)</f>
        <v>559.4</v>
      </c>
      <c r="I31" s="242">
        <f>+$D$31+SUM('Scheda Inv'!$D35:H35)</f>
        <v>559.4</v>
      </c>
      <c r="J31" s="242">
        <f>+$D$31+SUM('Scheda Inv'!$D35:I35)</f>
        <v>559.4</v>
      </c>
      <c r="K31" s="242">
        <f>+$D$31+SUM('Scheda Inv'!$D35:J35)</f>
        <v>559.4</v>
      </c>
      <c r="L31" s="242">
        <f>+$D$31+SUM('Scheda Inv'!$D35:K35)</f>
        <v>559.4</v>
      </c>
      <c r="M31" s="242">
        <f>+$D$31+SUM('Scheda Inv'!$D35:L35)</f>
        <v>559.4</v>
      </c>
      <c r="N31" s="243">
        <f>+$D$31+SUM('Scheda Inv'!$D35:M35)</f>
        <v>559.4</v>
      </c>
    </row>
    <row r="32" spans="1:15" ht="15" thickBot="1" x14ac:dyDescent="0.35">
      <c r="A32">
        <f t="shared" si="1"/>
        <v>31</v>
      </c>
      <c r="C32" s="63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</row>
    <row r="33" spans="1:14" ht="15" thickBot="1" x14ac:dyDescent="0.35">
      <c r="A33">
        <f t="shared" si="1"/>
        <v>32</v>
      </c>
      <c r="C33" s="73" t="s">
        <v>874</v>
      </c>
      <c r="D33" s="241">
        <f>+D25+D17+D13+D7+D5+D31</f>
        <v>3173018.95</v>
      </c>
      <c r="E33" s="241">
        <f t="shared" ref="E33:N33" si="9">+E25+E17+E13+E7+E5+E31</f>
        <v>3165918.0047499998</v>
      </c>
      <c r="F33" s="241">
        <f t="shared" si="9"/>
        <v>3219358.0047499998</v>
      </c>
      <c r="G33" s="241">
        <f t="shared" si="9"/>
        <v>3186078.0047499998</v>
      </c>
      <c r="H33" s="241">
        <f t="shared" si="9"/>
        <v>3221763.0792738334</v>
      </c>
      <c r="I33" s="241">
        <f t="shared" si="9"/>
        <v>3361013.3516738336</v>
      </c>
      <c r="J33" s="241">
        <f t="shared" si="9"/>
        <v>3500263.6240738337</v>
      </c>
      <c r="K33" s="241">
        <f t="shared" si="9"/>
        <v>3639513.8964738334</v>
      </c>
      <c r="L33" s="241">
        <f t="shared" si="9"/>
        <v>3778764.168873833</v>
      </c>
      <c r="M33" s="241">
        <f t="shared" si="9"/>
        <v>3918014.4412738332</v>
      </c>
      <c r="N33" s="241">
        <f t="shared" si="9"/>
        <v>4057264.7136738333</v>
      </c>
    </row>
    <row r="34" spans="1:14" x14ac:dyDescent="0.3">
      <c r="A34">
        <f t="shared" si="1"/>
        <v>33</v>
      </c>
      <c r="C34" s="63"/>
    </row>
    <row r="35" spans="1:14" ht="15.6" x14ac:dyDescent="0.3">
      <c r="A35">
        <f t="shared" si="1"/>
        <v>34</v>
      </c>
      <c r="C35" s="164" t="s">
        <v>361</v>
      </c>
      <c r="D35" s="192">
        <f>+D3</f>
        <v>2016</v>
      </c>
      <c r="E35" s="192">
        <f t="shared" ref="E35:N35" si="10">+E3</f>
        <v>2017</v>
      </c>
      <c r="F35" s="192">
        <f t="shared" si="10"/>
        <v>2018</v>
      </c>
      <c r="G35" s="192">
        <f t="shared" si="10"/>
        <v>2019</v>
      </c>
      <c r="H35" s="192">
        <f t="shared" si="10"/>
        <v>2020</v>
      </c>
      <c r="I35" s="192">
        <f t="shared" si="10"/>
        <v>2021</v>
      </c>
      <c r="J35" s="192">
        <f t="shared" si="10"/>
        <v>2022</v>
      </c>
      <c r="K35" s="192">
        <f t="shared" si="10"/>
        <v>2023</v>
      </c>
      <c r="L35" s="192">
        <f t="shared" si="10"/>
        <v>2024</v>
      </c>
      <c r="M35" s="192">
        <f t="shared" si="10"/>
        <v>2025</v>
      </c>
      <c r="N35" s="192">
        <f t="shared" si="10"/>
        <v>2026</v>
      </c>
    </row>
    <row r="36" spans="1:14" ht="15" thickBot="1" x14ac:dyDescent="0.35">
      <c r="A36">
        <f t="shared" si="1"/>
        <v>35</v>
      </c>
      <c r="C36" s="63"/>
    </row>
    <row r="37" spans="1:14" ht="15" thickBot="1" x14ac:dyDescent="0.35">
      <c r="A37">
        <f t="shared" si="1"/>
        <v>36</v>
      </c>
      <c r="C37" s="238" t="s">
        <v>875</v>
      </c>
      <c r="D37" s="241">
        <f>+D38</f>
        <v>202945.85</v>
      </c>
      <c r="E37" s="242">
        <f t="shared" ref="E37:N37" si="11">+E38</f>
        <v>375726.12430949981</v>
      </c>
      <c r="F37" s="242">
        <f t="shared" si="11"/>
        <v>261762.13694283302</v>
      </c>
      <c r="G37" s="242">
        <f t="shared" si="11"/>
        <v>109258.53120949963</v>
      </c>
      <c r="H37" s="242">
        <f t="shared" si="11"/>
        <v>0</v>
      </c>
      <c r="I37" s="242">
        <f t="shared" si="11"/>
        <v>0</v>
      </c>
      <c r="J37" s="242">
        <f t="shared" si="11"/>
        <v>0</v>
      </c>
      <c r="K37" s="242">
        <f t="shared" si="11"/>
        <v>0</v>
      </c>
      <c r="L37" s="242">
        <f t="shared" si="11"/>
        <v>0</v>
      </c>
      <c r="M37" s="242">
        <f t="shared" si="11"/>
        <v>0</v>
      </c>
      <c r="N37" s="243">
        <f t="shared" si="11"/>
        <v>0</v>
      </c>
    </row>
    <row r="38" spans="1:14" x14ac:dyDescent="0.3">
      <c r="A38">
        <f t="shared" si="1"/>
        <v>37</v>
      </c>
      <c r="C38" s="239" t="s">
        <v>1154</v>
      </c>
      <c r="D38" s="189">
        <f>HLOOKUP($D$3,'sp fin'!$C$2:$D$63,A38,FALSE)</f>
        <v>202945.85</v>
      </c>
      <c r="E38" s="189">
        <f>+IF(Calcoli!C114&lt;0,-Calcoli!C114,0)</f>
        <v>375726.12430949981</v>
      </c>
      <c r="F38" s="189">
        <f>+IF(Calcoli!D114&lt;0,-Calcoli!D114,0)</f>
        <v>261762.13694283302</v>
      </c>
      <c r="G38" s="189">
        <f>+IF(Calcoli!E114&lt;0,-Calcoli!E114,0)</f>
        <v>109258.53120949963</v>
      </c>
      <c r="H38" s="189">
        <f>+IF(Calcoli!F114&lt;0,-Calcoli!F114,0)</f>
        <v>0</v>
      </c>
      <c r="I38" s="189">
        <f>+IF(Calcoli!G114&lt;0,-Calcoli!G114,0)</f>
        <v>0</v>
      </c>
      <c r="J38" s="189">
        <f>+IF(Calcoli!H114&lt;0,-Calcoli!H114,0)</f>
        <v>0</v>
      </c>
      <c r="K38" s="189">
        <f>+IF(Calcoli!I114&lt;0,-Calcoli!I114,0)</f>
        <v>0</v>
      </c>
      <c r="L38" s="189">
        <f>+IF(Calcoli!J114&lt;0,-Calcoli!J114,0)</f>
        <v>0</v>
      </c>
      <c r="M38" s="189">
        <f>+IF(Calcoli!K114&lt;0,-Calcoli!K114,0)</f>
        <v>0</v>
      </c>
      <c r="N38" s="189">
        <f>+IF(Calcoli!L114&lt;0,-Calcoli!L114,0)</f>
        <v>0</v>
      </c>
    </row>
    <row r="39" spans="1:14" ht="15" thickBot="1" x14ac:dyDescent="0.35">
      <c r="A39">
        <f t="shared" si="1"/>
        <v>38</v>
      </c>
      <c r="C39" s="64"/>
    </row>
    <row r="40" spans="1:14" ht="15" thickBot="1" x14ac:dyDescent="0.35">
      <c r="A40">
        <f t="shared" si="1"/>
        <v>39</v>
      </c>
      <c r="C40" s="238" t="s">
        <v>877</v>
      </c>
      <c r="D40" s="241">
        <f>+D41+D42+D43+D44+D45</f>
        <v>458546.44</v>
      </c>
      <c r="E40" s="242">
        <f t="shared" ref="E40:N40" si="12">+E41+E42+E43+E44+E45</f>
        <v>96214.948040499963</v>
      </c>
      <c r="F40" s="242">
        <f t="shared" si="12"/>
        <v>115728.66300716664</v>
      </c>
      <c r="G40" s="242">
        <f t="shared" si="12"/>
        <v>104341.99634049996</v>
      </c>
      <c r="H40" s="242">
        <f t="shared" si="12"/>
        <v>110035.32967383333</v>
      </c>
      <c r="I40" s="242">
        <f t="shared" si="12"/>
        <v>110035.32967383333</v>
      </c>
      <c r="J40" s="242">
        <f t="shared" si="12"/>
        <v>110035.32967383333</v>
      </c>
      <c r="K40" s="242">
        <f t="shared" si="12"/>
        <v>110035.32967383333</v>
      </c>
      <c r="L40" s="242">
        <f t="shared" si="12"/>
        <v>110035.32967383333</v>
      </c>
      <c r="M40" s="242">
        <f t="shared" si="12"/>
        <v>110035.32967383333</v>
      </c>
      <c r="N40" s="243">
        <f t="shared" si="12"/>
        <v>110035.32967383333</v>
      </c>
    </row>
    <row r="41" spans="1:14" x14ac:dyDescent="0.3">
      <c r="A41">
        <f t="shared" si="1"/>
        <v>40</v>
      </c>
      <c r="C41" s="239" t="s">
        <v>1155</v>
      </c>
      <c r="D41" s="189">
        <f>HLOOKUP($D$3,'sp fin'!$C$2:$D$63,A41,FALSE)</f>
        <v>210252.16</v>
      </c>
      <c r="E41" s="189">
        <f>+D41+Calcoli!C67+Calcoli!C76-'Scheda Debiti'!E14</f>
        <v>96215.668040499964</v>
      </c>
      <c r="F41" s="189">
        <f>+E41+Calcoli!D67-Calcoli!C67+Calcoli!D76-Calcoli!C76-'Scheda Debiti'!F14</f>
        <v>115729.38300716665</v>
      </c>
      <c r="G41" s="189">
        <f>+F41+Calcoli!E67-Calcoli!D67+Calcoli!E76-Calcoli!D76-'Scheda Debiti'!G14</f>
        <v>104342.71634049997</v>
      </c>
      <c r="H41" s="189">
        <f>+G41+Calcoli!F67-Calcoli!E67+Calcoli!F76-Calcoli!E76-'Scheda Debiti'!H14</f>
        <v>110036.04967383333</v>
      </c>
      <c r="I41" s="189">
        <f>+H41+Calcoli!G67-Calcoli!F67+Calcoli!G76-Calcoli!F76-'Scheda Debiti'!I14</f>
        <v>110036.04967383333</v>
      </c>
      <c r="J41" s="189">
        <f>+I41+Calcoli!H67-Calcoli!G67+Calcoli!H76-Calcoli!G76-'Scheda Debiti'!J14</f>
        <v>110036.04967383333</v>
      </c>
      <c r="K41" s="189">
        <f>+J41+Calcoli!I67-Calcoli!H67+Calcoli!I76-Calcoli!H76-'Scheda Debiti'!K14</f>
        <v>110036.04967383333</v>
      </c>
      <c r="L41" s="189">
        <f>+K41+Calcoli!J67-Calcoli!I67+Calcoli!J76-Calcoli!I76-'Scheda Debiti'!L14</f>
        <v>110036.04967383333</v>
      </c>
      <c r="M41" s="189">
        <f>+L41+Calcoli!K67-Calcoli!J67+Calcoli!K76-Calcoli!J76-'Scheda Debiti'!M14</f>
        <v>110036.04967383333</v>
      </c>
      <c r="N41" s="189">
        <f>+M41+Calcoli!L67-Calcoli!K67+Calcoli!L76-Calcoli!K76-'Scheda Debiti'!N14</f>
        <v>110036.04967383333</v>
      </c>
    </row>
    <row r="42" spans="1:14" x14ac:dyDescent="0.3">
      <c r="A42">
        <f t="shared" si="1"/>
        <v>41</v>
      </c>
      <c r="C42" s="239" t="s">
        <v>1156</v>
      </c>
      <c r="D42" s="189">
        <f>HLOOKUP($D$3,'sp fin'!$C$2:$D$63,A42,FALSE)</f>
        <v>5958</v>
      </c>
      <c r="E42" s="189">
        <f>+D42-'Scheda Debiti'!E15</f>
        <v>0</v>
      </c>
      <c r="F42" s="189">
        <f>+$D$42-SUM('Scheda Debiti'!$E15:F15)</f>
        <v>0</v>
      </c>
      <c r="G42" s="189">
        <f>+$D$42-SUM('Scheda Debiti'!$E15:G15)</f>
        <v>0</v>
      </c>
      <c r="H42" s="189">
        <f>+$D$42-SUM('Scheda Debiti'!$E15:H15)</f>
        <v>0</v>
      </c>
      <c r="I42" s="189">
        <f>+$D$42-SUM('Scheda Debiti'!$E15:I15)</f>
        <v>0</v>
      </c>
      <c r="J42" s="189">
        <f>+$D$42-SUM('Scheda Debiti'!$E15:J15)</f>
        <v>0</v>
      </c>
      <c r="K42" s="189">
        <f>+$D$42-SUM('Scheda Debiti'!$E15:K15)</f>
        <v>0</v>
      </c>
      <c r="L42" s="189">
        <f>+$D$42-SUM('Scheda Debiti'!$E15:L15)</f>
        <v>0</v>
      </c>
      <c r="M42" s="189">
        <f>+$D$42-SUM('Scheda Debiti'!$E15:M15)</f>
        <v>0</v>
      </c>
      <c r="N42" s="189">
        <f>+$D$42-SUM('Scheda Debiti'!$E15:N15)</f>
        <v>0</v>
      </c>
    </row>
    <row r="43" spans="1:14" x14ac:dyDescent="0.3">
      <c r="A43">
        <f t="shared" si="1"/>
        <v>42</v>
      </c>
      <c r="C43" s="239" t="s">
        <v>1157</v>
      </c>
      <c r="D43" s="189">
        <f>HLOOKUP($D$3,'sp fin'!$C$2:$D$63,A43,FALSE)</f>
        <v>153790.65</v>
      </c>
      <c r="E43" s="189">
        <f>+Calcoli!C143-'Scheda Debiti'!E16+$D$43</f>
        <v>-0.35000000000582077</v>
      </c>
      <c r="F43" s="189">
        <f>+Calcoli!D143+$D$43-SUM('Scheda Debiti'!$E16:F16)</f>
        <v>-0.35000000000582077</v>
      </c>
      <c r="G43" s="189">
        <f>+Calcoli!E143+$D$43-SUM('Scheda Debiti'!$E16:G16)</f>
        <v>-0.35000000000582077</v>
      </c>
      <c r="H43" s="189">
        <f>+Calcoli!F143+$D$43-SUM('Scheda Debiti'!$E16:H16)</f>
        <v>-0.35000000000582077</v>
      </c>
      <c r="I43" s="189">
        <f>+Calcoli!G143+$D$43-SUM('Scheda Debiti'!$E16:I16)</f>
        <v>-0.35000000000582077</v>
      </c>
      <c r="J43" s="189">
        <f>+Calcoli!H143+$D$43-SUM('Scheda Debiti'!$E16:J16)</f>
        <v>-0.35000000000582077</v>
      </c>
      <c r="K43" s="189">
        <f>+Calcoli!I143+$D$43-SUM('Scheda Debiti'!$E16:K16)</f>
        <v>-0.35000000000582077</v>
      </c>
      <c r="L43" s="189">
        <f>+Calcoli!J143+$D$43-SUM('Scheda Debiti'!$E16:L16)</f>
        <v>-0.35000000000582077</v>
      </c>
      <c r="M43" s="189">
        <f>+Calcoli!K143+$D$43-SUM('Scheda Debiti'!$E16:M16)</f>
        <v>-0.35000000000582077</v>
      </c>
      <c r="N43" s="189">
        <f>+Calcoli!L143+$D$43-SUM('Scheda Debiti'!$E16:N16)</f>
        <v>-0.35000000000582077</v>
      </c>
    </row>
    <row r="44" spans="1:14" x14ac:dyDescent="0.3">
      <c r="A44">
        <f t="shared" si="1"/>
        <v>43</v>
      </c>
      <c r="C44" s="239" t="s">
        <v>1158</v>
      </c>
      <c r="D44" s="189">
        <f>HLOOKUP($D$3,'sp fin'!$C$2:$D$63,A44,FALSE)</f>
        <v>70638.95</v>
      </c>
      <c r="E44" s="189">
        <f>+D44-'Scheda Debiti'!E17</f>
        <v>-5.0000000002910383E-2</v>
      </c>
      <c r="F44" s="189">
        <f>+E44-'Scheda Debiti'!F17</f>
        <v>-5.0000000002910383E-2</v>
      </c>
      <c r="G44" s="189">
        <f>+F44-'Scheda Debiti'!G17</f>
        <v>-5.0000000002910383E-2</v>
      </c>
      <c r="H44" s="189">
        <f>+G44-'Scheda Debiti'!H17</f>
        <v>-5.0000000002910383E-2</v>
      </c>
      <c r="I44" s="189">
        <f>+H44-'Scheda Debiti'!I17</f>
        <v>-5.0000000002910383E-2</v>
      </c>
      <c r="J44" s="189">
        <f>+I44-'Scheda Debiti'!J17</f>
        <v>-5.0000000002910383E-2</v>
      </c>
      <c r="K44" s="189">
        <f>+J44-'Scheda Debiti'!K17</f>
        <v>-5.0000000002910383E-2</v>
      </c>
      <c r="L44" s="189">
        <f>+K44-'Scheda Debiti'!L17</f>
        <v>-5.0000000002910383E-2</v>
      </c>
      <c r="M44" s="189">
        <f>+L44-'Scheda Debiti'!M17</f>
        <v>-5.0000000002910383E-2</v>
      </c>
      <c r="N44" s="189">
        <f>+M44-'Scheda Debiti'!N17</f>
        <v>-5.0000000002910383E-2</v>
      </c>
    </row>
    <row r="45" spans="1:14" x14ac:dyDescent="0.3">
      <c r="A45">
        <f t="shared" si="1"/>
        <v>44</v>
      </c>
      <c r="C45" s="239" t="s">
        <v>1159</v>
      </c>
      <c r="D45" s="189">
        <f>HLOOKUP($D$3,'sp fin'!$C$2:$D$63,A45,FALSE)</f>
        <v>17906.68</v>
      </c>
      <c r="E45" s="189">
        <f>+D45-'Scheda Debiti'!E18</f>
        <v>-0.31999999999970896</v>
      </c>
      <c r="F45" s="189">
        <f>+E45-'Scheda Debiti'!F18</f>
        <v>-0.31999999999970896</v>
      </c>
      <c r="G45" s="189">
        <f>+F45-'Scheda Debiti'!G18</f>
        <v>-0.31999999999970896</v>
      </c>
      <c r="H45" s="189">
        <f>+G45-'Scheda Debiti'!H18</f>
        <v>-0.31999999999970896</v>
      </c>
      <c r="I45" s="189">
        <f>+H45-'Scheda Debiti'!I18</f>
        <v>-0.31999999999970896</v>
      </c>
      <c r="J45" s="189">
        <f>+I45-'Scheda Debiti'!J18</f>
        <v>-0.31999999999970896</v>
      </c>
      <c r="K45" s="189">
        <f>+J45-'Scheda Debiti'!K18</f>
        <v>-0.31999999999970896</v>
      </c>
      <c r="L45" s="189">
        <f>+K45-'Scheda Debiti'!L18</f>
        <v>-0.31999999999970896</v>
      </c>
      <c r="M45" s="189">
        <f>+L45-'Scheda Debiti'!M18</f>
        <v>-0.31999999999970896</v>
      </c>
      <c r="N45" s="189">
        <f>+M45-'Scheda Debiti'!N18</f>
        <v>-0.31999999999970896</v>
      </c>
    </row>
    <row r="46" spans="1:14" ht="15" thickBot="1" x14ac:dyDescent="0.35">
      <c r="A46">
        <f t="shared" si="1"/>
        <v>45</v>
      </c>
      <c r="C46" s="63"/>
    </row>
    <row r="47" spans="1:14" ht="15" thickBot="1" x14ac:dyDescent="0.35">
      <c r="A47">
        <f t="shared" si="1"/>
        <v>46</v>
      </c>
      <c r="C47" s="238" t="s">
        <v>883</v>
      </c>
      <c r="D47" s="241">
        <f>HLOOKUP($D$3,'sp fin'!$C$2:$D$63,A47,FALSE)</f>
        <v>850000</v>
      </c>
      <c r="E47" s="242">
        <f>+D47</f>
        <v>850000</v>
      </c>
      <c r="F47" s="242">
        <f t="shared" ref="F47:N47" si="13">+E47</f>
        <v>850000</v>
      </c>
      <c r="G47" s="242">
        <f t="shared" si="13"/>
        <v>850000</v>
      </c>
      <c r="H47" s="242">
        <f t="shared" si="13"/>
        <v>850000</v>
      </c>
      <c r="I47" s="242">
        <f t="shared" si="13"/>
        <v>850000</v>
      </c>
      <c r="J47" s="242">
        <f t="shared" si="13"/>
        <v>850000</v>
      </c>
      <c r="K47" s="242">
        <f t="shared" si="13"/>
        <v>850000</v>
      </c>
      <c r="L47" s="242">
        <f t="shared" si="13"/>
        <v>850000</v>
      </c>
      <c r="M47" s="242">
        <f t="shared" si="13"/>
        <v>850000</v>
      </c>
      <c r="N47" s="243">
        <f t="shared" si="13"/>
        <v>850000</v>
      </c>
    </row>
    <row r="48" spans="1:14" ht="15" thickBot="1" x14ac:dyDescent="0.35">
      <c r="A48">
        <f t="shared" si="1"/>
        <v>47</v>
      </c>
      <c r="C48" s="73"/>
    </row>
    <row r="49" spans="1:14" ht="15" thickBot="1" x14ac:dyDescent="0.35">
      <c r="A49">
        <f t="shared" si="1"/>
        <v>48</v>
      </c>
      <c r="C49" s="238" t="s">
        <v>884</v>
      </c>
      <c r="D49" s="241">
        <f>+SUM(D50:D54)</f>
        <v>1378703.96</v>
      </c>
      <c r="E49" s="242">
        <f t="shared" ref="E49:N49" si="14">+SUM(E50:E54)</f>
        <v>1391095.95</v>
      </c>
      <c r="F49" s="242">
        <f t="shared" si="14"/>
        <v>1403487.94</v>
      </c>
      <c r="G49" s="242">
        <f t="shared" si="14"/>
        <v>1415879.93</v>
      </c>
      <c r="H49" s="242">
        <f t="shared" si="14"/>
        <v>1428271.92</v>
      </c>
      <c r="I49" s="242">
        <f t="shared" si="14"/>
        <v>1440663.91</v>
      </c>
      <c r="J49" s="242">
        <f t="shared" si="14"/>
        <v>1453055.9</v>
      </c>
      <c r="K49" s="242">
        <f t="shared" si="14"/>
        <v>1465447.8900000001</v>
      </c>
      <c r="L49" s="242">
        <f t="shared" si="14"/>
        <v>1477839.8800000001</v>
      </c>
      <c r="M49" s="242">
        <f t="shared" si="14"/>
        <v>1490231.87</v>
      </c>
      <c r="N49" s="243">
        <f t="shared" si="14"/>
        <v>1502623.86</v>
      </c>
    </row>
    <row r="50" spans="1:14" x14ac:dyDescent="0.3">
      <c r="A50">
        <f t="shared" si="1"/>
        <v>49</v>
      </c>
      <c r="C50" s="239" t="s">
        <v>1161</v>
      </c>
      <c r="D50" s="189">
        <f>HLOOKUP($D$3,'sp fin'!$C$2:$D$63,A50,FALSE)</f>
        <v>1342852.76</v>
      </c>
      <c r="E50" s="189">
        <f>+D50-'Scheda Debiti'!E5+'Input Previsionale'!E24-'Input Previsionale'!E25</f>
        <v>1342852.76</v>
      </c>
      <c r="F50" s="189">
        <f>+E50-'Scheda Debiti'!F5+'Input Previsionale'!F24-'Input Previsionale'!F25</f>
        <v>1342852.76</v>
      </c>
      <c r="G50" s="189">
        <f>+F50-'Scheda Debiti'!G5+'Input Previsionale'!G24-'Input Previsionale'!G25</f>
        <v>1342852.76</v>
      </c>
      <c r="H50" s="189">
        <f>+G50-'Scheda Debiti'!H5+'Input Previsionale'!H24-'Input Previsionale'!H25</f>
        <v>1342852.76</v>
      </c>
      <c r="I50" s="189">
        <f>+H50-'Scheda Debiti'!I5+'Input Previsionale'!I24-'Input Previsionale'!I25</f>
        <v>1342852.76</v>
      </c>
      <c r="J50" s="189">
        <f>+I50-'Scheda Debiti'!J5+'Input Previsionale'!J24-'Input Previsionale'!J25</f>
        <v>1342852.76</v>
      </c>
      <c r="K50" s="189">
        <f>+J50-'Scheda Debiti'!K5+'Input Previsionale'!K24-'Input Previsionale'!K25</f>
        <v>1342852.76</v>
      </c>
      <c r="L50" s="189">
        <f>+K50-'Scheda Debiti'!L5+'Input Previsionale'!L24-'Input Previsionale'!L25</f>
        <v>1342852.76</v>
      </c>
      <c r="M50" s="189">
        <f>+L50-'Scheda Debiti'!M5+'Input Previsionale'!M24-'Input Previsionale'!M25</f>
        <v>1342852.76</v>
      </c>
      <c r="N50" s="189">
        <f>+M50-'Scheda Debiti'!N5+'Input Previsionale'!N24-'Input Previsionale'!N25</f>
        <v>1342852.76</v>
      </c>
    </row>
    <row r="51" spans="1:14" x14ac:dyDescent="0.3">
      <c r="A51">
        <f t="shared" si="1"/>
        <v>50</v>
      </c>
      <c r="C51" s="239" t="s">
        <v>1160</v>
      </c>
      <c r="D51" s="189">
        <f>HLOOKUP($D$3,'sp fin'!$C$2:$D$63,A51,FALSE)</f>
        <v>35851.199999999997</v>
      </c>
      <c r="E51" s="189">
        <f>+D51-'Scheda Debiti'!E9+'CE Previsionale'!D28</f>
        <v>48243.189999999995</v>
      </c>
      <c r="F51" s="189">
        <f>+E51-'Scheda Debiti'!F9+'CE Previsionale'!E28</f>
        <v>60635.179999999993</v>
      </c>
      <c r="G51" s="189">
        <f>+F51-'Scheda Debiti'!G9+'CE Previsionale'!F28</f>
        <v>73027.17</v>
      </c>
      <c r="H51" s="189">
        <f>+G51-'Scheda Debiti'!H9+'CE Previsionale'!G28</f>
        <v>85419.16</v>
      </c>
      <c r="I51" s="189">
        <f>+H51-'Scheda Debiti'!I9+'CE Previsionale'!H28</f>
        <v>97811.150000000009</v>
      </c>
      <c r="J51" s="189">
        <f>+I51-'Scheda Debiti'!J9+'CE Previsionale'!I28</f>
        <v>110203.14000000001</v>
      </c>
      <c r="K51" s="189">
        <f>+J51-'Scheda Debiti'!K9+'CE Previsionale'!J28</f>
        <v>122595.13000000002</v>
      </c>
      <c r="L51" s="189">
        <f>+K51-'Scheda Debiti'!L9+'CE Previsionale'!K28</f>
        <v>134987.12000000002</v>
      </c>
      <c r="M51" s="189">
        <f>+L51-'Scheda Debiti'!M9+'CE Previsionale'!L28</f>
        <v>147379.11000000002</v>
      </c>
      <c r="N51" s="189">
        <f>+M51-'Scheda Debiti'!N9+'CE Previsionale'!M28</f>
        <v>159771.1</v>
      </c>
    </row>
    <row r="52" spans="1:14" x14ac:dyDescent="0.3">
      <c r="A52">
        <f t="shared" si="1"/>
        <v>51</v>
      </c>
      <c r="C52" s="239" t="s">
        <v>1162</v>
      </c>
      <c r="D52" s="189">
        <f>HLOOKUP($D$3,'sp fin'!$C$2:$D$63,A52,FALSE)</f>
        <v>0</v>
      </c>
      <c r="E52" s="189">
        <f>+D52-'Scheda Debiti'!E10+'CE Previsionale'!D26</f>
        <v>0</v>
      </c>
      <c r="F52" s="189">
        <f>+E52-'Scheda Debiti'!F10+'CE Previsionale'!E26</f>
        <v>0</v>
      </c>
      <c r="G52" s="189">
        <f>+F52-'Scheda Debiti'!G10+'CE Previsionale'!F26</f>
        <v>0</v>
      </c>
      <c r="H52" s="189">
        <f>+G52-'Scheda Debiti'!H10+'CE Previsionale'!G26</f>
        <v>0</v>
      </c>
      <c r="I52" s="189">
        <f>+H52-'Scheda Debiti'!I10+'CE Previsionale'!H26</f>
        <v>0</v>
      </c>
      <c r="J52" s="189">
        <f>+I52-'Scheda Debiti'!J10+'CE Previsionale'!I26</f>
        <v>0</v>
      </c>
      <c r="K52" s="189">
        <f>+J52-'Scheda Debiti'!K10+'CE Previsionale'!J26</f>
        <v>0</v>
      </c>
      <c r="L52" s="189">
        <f>+K52-'Scheda Debiti'!L10+'CE Previsionale'!K26</f>
        <v>0</v>
      </c>
      <c r="M52" s="189">
        <f>+L52-'Scheda Debiti'!M10+'CE Previsionale'!L26</f>
        <v>0</v>
      </c>
      <c r="N52" s="189">
        <f>+M52-'Scheda Debiti'!N10+'CE Previsionale'!M26</f>
        <v>0</v>
      </c>
    </row>
    <row r="53" spans="1:14" x14ac:dyDescent="0.3">
      <c r="A53">
        <f t="shared" si="1"/>
        <v>52</v>
      </c>
      <c r="C53" s="239" t="s">
        <v>1163</v>
      </c>
      <c r="D53" s="189">
        <f>HLOOKUP($D$3,'sp fin'!$C$2:$D$63,A53,FALSE)</f>
        <v>0</v>
      </c>
      <c r="E53" s="189">
        <f>+D53-'Scheda Debiti'!E11</f>
        <v>0</v>
      </c>
      <c r="F53" s="189">
        <f>+E53-'Scheda Debiti'!F11</f>
        <v>0</v>
      </c>
      <c r="G53" s="189">
        <f>+F53-'Scheda Debiti'!G11</f>
        <v>0</v>
      </c>
      <c r="H53" s="189">
        <f>+G53-'Scheda Debiti'!H11</f>
        <v>0</v>
      </c>
      <c r="I53" s="189">
        <f>+H53-'Scheda Debiti'!I11</f>
        <v>0</v>
      </c>
      <c r="J53" s="189">
        <f>+I53-'Scheda Debiti'!J11</f>
        <v>0</v>
      </c>
      <c r="K53" s="189">
        <f>+J53-'Scheda Debiti'!K11</f>
        <v>0</v>
      </c>
      <c r="L53" s="189">
        <f>+K53-'Scheda Debiti'!L11</f>
        <v>0</v>
      </c>
      <c r="M53" s="189">
        <f>+L53-'Scheda Debiti'!M11</f>
        <v>0</v>
      </c>
      <c r="N53" s="189">
        <f>+M53-'Scheda Debiti'!N11</f>
        <v>0</v>
      </c>
    </row>
    <row r="54" spans="1:14" x14ac:dyDescent="0.3">
      <c r="A54">
        <f t="shared" si="1"/>
        <v>53</v>
      </c>
      <c r="C54" s="239" t="s">
        <v>1164</v>
      </c>
      <c r="D54" s="189">
        <f>HLOOKUP($D$3,'sp fin'!$C$2:$D$63,A54,FALSE)</f>
        <v>0</v>
      </c>
      <c r="E54" s="189">
        <f>+D54-'Scheda Debiti'!E12</f>
        <v>0</v>
      </c>
      <c r="F54" s="189">
        <f>+E54-'Scheda Debiti'!F12</f>
        <v>0</v>
      </c>
      <c r="G54" s="189">
        <f>+F54-'Scheda Debiti'!G12</f>
        <v>0</v>
      </c>
      <c r="H54" s="189">
        <f>+G54-'Scheda Debiti'!H12</f>
        <v>0</v>
      </c>
      <c r="I54" s="189">
        <f>+H54-'Scheda Debiti'!I12</f>
        <v>0</v>
      </c>
      <c r="J54" s="189">
        <f>+I54-'Scheda Debiti'!J12</f>
        <v>0</v>
      </c>
      <c r="K54" s="189">
        <f>+J54-'Scheda Debiti'!K12</f>
        <v>0</v>
      </c>
      <c r="L54" s="189">
        <f>+K54-'Scheda Debiti'!L12</f>
        <v>0</v>
      </c>
      <c r="M54" s="189">
        <f>+L54-'Scheda Debiti'!M12</f>
        <v>0</v>
      </c>
      <c r="N54" s="189">
        <f>+M54-'Scheda Debiti'!N12</f>
        <v>0</v>
      </c>
    </row>
    <row r="55" spans="1:14" ht="15" thickBot="1" x14ac:dyDescent="0.35">
      <c r="A55">
        <f t="shared" si="1"/>
        <v>54</v>
      </c>
      <c r="C55" s="64"/>
    </row>
    <row r="56" spans="1:14" ht="15" thickBot="1" x14ac:dyDescent="0.35">
      <c r="A56">
        <f t="shared" si="1"/>
        <v>55</v>
      </c>
      <c r="C56" s="238" t="s">
        <v>890</v>
      </c>
      <c r="D56" s="241">
        <f>+D57+D58+D59+D60+D61</f>
        <v>282822.78999999998</v>
      </c>
      <c r="E56" s="242">
        <f t="shared" ref="E56:N56" si="15">+E57+E58+E59+E60+E61</f>
        <v>452881.07240000006</v>
      </c>
      <c r="F56" s="242">
        <f t="shared" si="15"/>
        <v>588379.35480000009</v>
      </c>
      <c r="G56" s="242">
        <f t="shared" si="15"/>
        <v>706597.63720000011</v>
      </c>
      <c r="H56" s="242">
        <f t="shared" si="15"/>
        <v>833455.91960000014</v>
      </c>
      <c r="I56" s="242">
        <f t="shared" si="15"/>
        <v>960314.20200000016</v>
      </c>
      <c r="J56" s="242">
        <f t="shared" si="15"/>
        <v>1087172.4844000002</v>
      </c>
      <c r="K56" s="242">
        <f t="shared" si="15"/>
        <v>1214030.7668000001</v>
      </c>
      <c r="L56" s="242">
        <f t="shared" si="15"/>
        <v>1340889.0492000002</v>
      </c>
      <c r="M56" s="242">
        <f t="shared" si="15"/>
        <v>1467747.3316000002</v>
      </c>
      <c r="N56" s="243">
        <f t="shared" si="15"/>
        <v>1594605.6140000001</v>
      </c>
    </row>
    <row r="57" spans="1:14" x14ac:dyDescent="0.3">
      <c r="A57">
        <f t="shared" si="1"/>
        <v>56</v>
      </c>
      <c r="C57" s="239" t="s">
        <v>1165</v>
      </c>
      <c r="D57" s="189">
        <f>HLOOKUP($D$3,'sp fin'!$C$2:$D$63,A57,FALSE)</f>
        <v>116000</v>
      </c>
      <c r="E57" s="189">
        <f>+D57+'Input Previsionale'!E29</f>
        <v>116000</v>
      </c>
      <c r="F57" s="189">
        <f>+E57+'Input Previsionale'!F29</f>
        <v>116000</v>
      </c>
      <c r="G57" s="189">
        <f>+F57+'Input Previsionale'!G29</f>
        <v>116000</v>
      </c>
      <c r="H57" s="189">
        <f>+G57+'Input Previsionale'!H29</f>
        <v>116000</v>
      </c>
      <c r="I57" s="189">
        <f>+H57+'Input Previsionale'!I29</f>
        <v>116000</v>
      </c>
      <c r="J57" s="189">
        <f>+I57+'Input Previsionale'!J29</f>
        <v>116000</v>
      </c>
      <c r="K57" s="189">
        <f>+J57+'Input Previsionale'!K29</f>
        <v>116000</v>
      </c>
      <c r="L57" s="189">
        <f>+K57+'Input Previsionale'!L29</f>
        <v>116000</v>
      </c>
      <c r="M57" s="189">
        <f>+L57+'Input Previsionale'!M29</f>
        <v>116000</v>
      </c>
      <c r="N57" s="189">
        <f>+M57+'Input Previsionale'!N29</f>
        <v>116000</v>
      </c>
    </row>
    <row r="58" spans="1:14" x14ac:dyDescent="0.3">
      <c r="A58">
        <f t="shared" si="1"/>
        <v>57</v>
      </c>
      <c r="C58" s="239" t="s">
        <v>1167</v>
      </c>
      <c r="D58" s="189">
        <f>HLOOKUP($D$3,'sp fin'!$C$2:$D$63,A58,FALSE)</f>
        <v>4534.1499999999996</v>
      </c>
      <c r="E58" s="189">
        <f>+D58</f>
        <v>4534.1499999999996</v>
      </c>
      <c r="F58" s="189">
        <f t="shared" ref="F58:N58" si="16">+E58</f>
        <v>4534.1499999999996</v>
      </c>
      <c r="G58" s="189">
        <f t="shared" si="16"/>
        <v>4534.1499999999996</v>
      </c>
      <c r="H58" s="189">
        <f t="shared" si="16"/>
        <v>4534.1499999999996</v>
      </c>
      <c r="I58" s="189">
        <f t="shared" si="16"/>
        <v>4534.1499999999996</v>
      </c>
      <c r="J58" s="189">
        <f t="shared" si="16"/>
        <v>4534.1499999999996</v>
      </c>
      <c r="K58" s="189">
        <f t="shared" si="16"/>
        <v>4534.1499999999996</v>
      </c>
      <c r="L58" s="189">
        <f t="shared" si="16"/>
        <v>4534.1499999999996</v>
      </c>
      <c r="M58" s="189">
        <f t="shared" si="16"/>
        <v>4534.1499999999996</v>
      </c>
      <c r="N58" s="189">
        <f t="shared" si="16"/>
        <v>4534.1499999999996</v>
      </c>
    </row>
    <row r="59" spans="1:14" x14ac:dyDescent="0.3">
      <c r="A59">
        <f t="shared" si="1"/>
        <v>58</v>
      </c>
      <c r="C59" s="239" t="s">
        <v>1166</v>
      </c>
      <c r="D59" s="189">
        <f>HLOOKUP($D$3,'sp fin'!$C$2:$D$63,A59,FALSE)</f>
        <v>148699.83000000002</v>
      </c>
      <c r="E59" s="189">
        <f>+D59</f>
        <v>148699.83000000002</v>
      </c>
      <c r="F59" s="189">
        <f t="shared" ref="F59:N59" si="17">+E59</f>
        <v>148699.83000000002</v>
      </c>
      <c r="G59" s="189">
        <f t="shared" si="17"/>
        <v>148699.83000000002</v>
      </c>
      <c r="H59" s="189">
        <f t="shared" si="17"/>
        <v>148699.83000000002</v>
      </c>
      <c r="I59" s="189">
        <f t="shared" si="17"/>
        <v>148699.83000000002</v>
      </c>
      <c r="J59" s="189">
        <f t="shared" si="17"/>
        <v>148699.83000000002</v>
      </c>
      <c r="K59" s="189">
        <f t="shared" si="17"/>
        <v>148699.83000000002</v>
      </c>
      <c r="L59" s="189">
        <f t="shared" si="17"/>
        <v>148699.83000000002</v>
      </c>
      <c r="M59" s="189">
        <f t="shared" si="17"/>
        <v>148699.83000000002</v>
      </c>
      <c r="N59" s="189">
        <f t="shared" si="17"/>
        <v>148699.83000000002</v>
      </c>
    </row>
    <row r="60" spans="1:14" x14ac:dyDescent="0.3">
      <c r="A60">
        <f t="shared" si="1"/>
        <v>59</v>
      </c>
      <c r="C60" s="239" t="s">
        <v>1168</v>
      </c>
      <c r="D60" s="189">
        <f>HLOOKUP($D$3,'sp fin'!$C$2:$D$63,A60,FALSE)</f>
        <v>0</v>
      </c>
      <c r="E60" s="189">
        <f>+D60+D61</f>
        <v>13588.81</v>
      </c>
      <c r="F60" s="189">
        <f t="shared" ref="F60:N60" si="18">+E60+E61</f>
        <v>183647.09240000008</v>
      </c>
      <c r="G60" s="189">
        <f t="shared" si="18"/>
        <v>319145.37480000011</v>
      </c>
      <c r="H60" s="189">
        <f t="shared" si="18"/>
        <v>437363.65720000013</v>
      </c>
      <c r="I60" s="189">
        <f t="shared" si="18"/>
        <v>564221.93960000016</v>
      </c>
      <c r="J60" s="189">
        <f t="shared" si="18"/>
        <v>691080.22200000018</v>
      </c>
      <c r="K60" s="189">
        <f t="shared" si="18"/>
        <v>817938.50440000021</v>
      </c>
      <c r="L60" s="189">
        <f t="shared" si="18"/>
        <v>944796.78680000023</v>
      </c>
      <c r="M60" s="189">
        <f t="shared" si="18"/>
        <v>1071655.0692000003</v>
      </c>
      <c r="N60" s="189">
        <f t="shared" si="18"/>
        <v>1198513.3516000002</v>
      </c>
    </row>
    <row r="61" spans="1:14" x14ac:dyDescent="0.3">
      <c r="A61">
        <f t="shared" si="1"/>
        <v>60</v>
      </c>
      <c r="C61" s="239" t="s">
        <v>1169</v>
      </c>
      <c r="D61" s="189">
        <f>HLOOKUP($D$3,'sp fin'!$C$2:$D$63,A61,FALSE)</f>
        <v>13588.81</v>
      </c>
      <c r="E61" s="189">
        <f>+'CE Previsionale'!D44</f>
        <v>170058.28240000008</v>
      </c>
      <c r="F61" s="189">
        <f>+'CE Previsionale'!E44</f>
        <v>135498.28240000003</v>
      </c>
      <c r="G61" s="189">
        <f>+'CE Previsionale'!F44</f>
        <v>118218.28240000001</v>
      </c>
      <c r="H61" s="189">
        <f>+'CE Previsionale'!G44</f>
        <v>126858.28240000001</v>
      </c>
      <c r="I61" s="189">
        <f>+'CE Previsionale'!H44</f>
        <v>126858.28240000001</v>
      </c>
      <c r="J61" s="189">
        <f>+'CE Previsionale'!I44</f>
        <v>126858.28240000001</v>
      </c>
      <c r="K61" s="189">
        <f>+'CE Previsionale'!J44</f>
        <v>126858.28240000001</v>
      </c>
      <c r="L61" s="189">
        <f>+'CE Previsionale'!K44</f>
        <v>126858.28240000001</v>
      </c>
      <c r="M61" s="189">
        <f>+'CE Previsionale'!L44</f>
        <v>126858.28240000001</v>
      </c>
      <c r="N61" s="189">
        <f>+'CE Previsionale'!M44</f>
        <v>126858.28240000001</v>
      </c>
    </row>
    <row r="62" spans="1:14" x14ac:dyDescent="0.3">
      <c r="C62" s="70"/>
    </row>
    <row r="63" spans="1:14" x14ac:dyDescent="0.3">
      <c r="C63" s="73" t="s">
        <v>896</v>
      </c>
      <c r="D63" s="62">
        <f t="shared" ref="D63:N63" si="19">+D56+D49+D47+D40+D37</f>
        <v>3173019.04</v>
      </c>
      <c r="E63" s="62">
        <f t="shared" si="19"/>
        <v>3165918.0947499997</v>
      </c>
      <c r="F63" s="62">
        <f t="shared" si="19"/>
        <v>3219358.0947500002</v>
      </c>
      <c r="G63" s="62">
        <f t="shared" si="19"/>
        <v>3186078.0947499992</v>
      </c>
      <c r="H63" s="62">
        <f t="shared" si="19"/>
        <v>3221763.1692738333</v>
      </c>
      <c r="I63" s="62">
        <f t="shared" si="19"/>
        <v>3361013.4416738334</v>
      </c>
      <c r="J63" s="62">
        <f t="shared" si="19"/>
        <v>3500263.7140738331</v>
      </c>
      <c r="K63" s="62">
        <f t="shared" si="19"/>
        <v>3639513.9864738332</v>
      </c>
      <c r="L63" s="62">
        <f t="shared" si="19"/>
        <v>3778764.2588738333</v>
      </c>
      <c r="M63" s="62">
        <f t="shared" si="19"/>
        <v>3918014.5312738335</v>
      </c>
      <c r="N63" s="62">
        <f t="shared" si="19"/>
        <v>4057264.8036738336</v>
      </c>
    </row>
    <row r="65" spans="4:14" x14ac:dyDescent="0.3">
      <c r="D65" s="66">
        <f>+D33-D63</f>
        <v>-8.9999999850988388E-2</v>
      </c>
      <c r="E65" s="66">
        <f>+E33-E63</f>
        <v>-8.9999999850988388E-2</v>
      </c>
      <c r="F65" s="66">
        <f>+F33-F63</f>
        <v>-9.0000000316649675E-2</v>
      </c>
      <c r="G65" s="66">
        <f t="shared" ref="G65:N65" si="20">+G33-G63</f>
        <v>-8.9999999385327101E-2</v>
      </c>
      <c r="H65" s="66">
        <f t="shared" si="20"/>
        <v>-8.9999999850988388E-2</v>
      </c>
      <c r="I65" s="66">
        <f t="shared" si="20"/>
        <v>-8.9999999850988388E-2</v>
      </c>
      <c r="J65" s="66">
        <f t="shared" si="20"/>
        <v>-8.9999999385327101E-2</v>
      </c>
      <c r="K65" s="66">
        <f t="shared" si="20"/>
        <v>-8.9999999850988388E-2</v>
      </c>
      <c r="L65" s="66">
        <f t="shared" si="20"/>
        <v>-9.0000000316649675E-2</v>
      </c>
      <c r="M65" s="66">
        <f t="shared" si="20"/>
        <v>-9.0000000316649675E-2</v>
      </c>
      <c r="N65" s="66">
        <f t="shared" si="20"/>
        <v>-9.0000000316649675E-2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</vt:i4>
      </vt:variant>
    </vt:vector>
  </HeadingPairs>
  <TitlesOfParts>
    <vt:vector size="20" baseType="lpstr">
      <vt:lpstr>Menu</vt:lpstr>
      <vt:lpstr>SP</vt:lpstr>
      <vt:lpstr>CE</vt:lpstr>
      <vt:lpstr>Input Previsionale</vt:lpstr>
      <vt:lpstr>Scheda Debiti</vt:lpstr>
      <vt:lpstr>Scheda Crediti</vt:lpstr>
      <vt:lpstr>Scheda Inv</vt:lpstr>
      <vt:lpstr>Calcoli</vt:lpstr>
      <vt:lpstr>SP Previsionale</vt:lpstr>
      <vt:lpstr>CE Previsionale</vt:lpstr>
      <vt:lpstr>Rendiconto Finanziario</vt:lpstr>
      <vt:lpstr>sp fin</vt:lpstr>
      <vt:lpstr>ce mcl</vt:lpstr>
      <vt:lpstr>ce va</vt:lpstr>
      <vt:lpstr>Rat MedioCreditoCentrale</vt:lpstr>
      <vt:lpstr>Indicatori</vt:lpstr>
      <vt:lpstr>CE!firstItemRow</vt:lpstr>
      <vt:lpstr>CE!nomeFoglio</vt:lpstr>
      <vt:lpstr>prefix</vt:lpstr>
      <vt:lpstr>'Input Previsionale'!Print_Area</vt:lpstr>
    </vt:vector>
  </TitlesOfParts>
  <Manager/>
  <Company>Accenture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Imperiale, Gianluca</dc:creator>
  <cp:keywords/>
  <dc:description/>
  <cp:lastModifiedBy>Imperiale, Gianluca</cp:lastModifiedBy>
  <cp:revision/>
  <dcterms:created xsi:type="dcterms:W3CDTF">2015-03-06T11:34:44Z</dcterms:created>
  <dcterms:modified xsi:type="dcterms:W3CDTF">2018-05-26T05:36:32Z</dcterms:modified>
  <cp:category/>
  <cp:contentStatus/>
</cp:coreProperties>
</file>