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storelli\Downloads\"/>
    </mc:Choice>
  </mc:AlternateContent>
  <bookViews>
    <workbookView xWindow="0" yWindow="0" windowWidth="25200" windowHeight="11760"/>
  </bookViews>
  <sheets>
    <sheet name="Calcolo interessi" sheetId="2" r:id="rId1"/>
    <sheet name="Serie storica tassi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2" l="1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7" i="2"/>
  <c r="F16" i="2"/>
  <c r="F15" i="2"/>
  <c r="F14" i="2"/>
  <c r="F13" i="2"/>
  <c r="D9" i="2" l="1"/>
  <c r="D33" i="2" l="1"/>
  <c r="T5" i="2" s="1"/>
  <c r="F18" i="2" l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N13" i="2" l="1"/>
  <c r="I32" i="2"/>
  <c r="J32" i="2" s="1"/>
  <c r="K32" i="2" s="1"/>
  <c r="I28" i="2"/>
  <c r="J28" i="2" s="1"/>
  <c r="K28" i="2" s="1"/>
  <c r="I24" i="2"/>
  <c r="J24" i="2" s="1"/>
  <c r="K24" i="2" s="1"/>
  <c r="I20" i="2"/>
  <c r="J20" i="2" s="1"/>
  <c r="K20" i="2" s="1"/>
  <c r="I16" i="2"/>
  <c r="I31" i="2"/>
  <c r="J31" i="2" s="1"/>
  <c r="K31" i="2" s="1"/>
  <c r="I27" i="2"/>
  <c r="J27" i="2" s="1"/>
  <c r="K27" i="2" s="1"/>
  <c r="I23" i="2"/>
  <c r="J23" i="2" s="1"/>
  <c r="K23" i="2" s="1"/>
  <c r="I19" i="2"/>
  <c r="J19" i="2" s="1"/>
  <c r="K19" i="2" s="1"/>
  <c r="I15" i="2"/>
  <c r="I30" i="2"/>
  <c r="J30" i="2" s="1"/>
  <c r="K30" i="2" s="1"/>
  <c r="I26" i="2"/>
  <c r="J26" i="2" s="1"/>
  <c r="K26" i="2" s="1"/>
  <c r="I22" i="2"/>
  <c r="J22" i="2" s="1"/>
  <c r="K22" i="2" s="1"/>
  <c r="I18" i="2"/>
  <c r="J18" i="2" s="1"/>
  <c r="K18" i="2" s="1"/>
  <c r="I13" i="2"/>
  <c r="K13" i="2" s="1"/>
  <c r="I14" i="2"/>
  <c r="I29" i="2"/>
  <c r="J29" i="2" s="1"/>
  <c r="K29" i="2" s="1"/>
  <c r="I25" i="2"/>
  <c r="J25" i="2" s="1"/>
  <c r="K25" i="2" s="1"/>
  <c r="I17" i="2"/>
  <c r="I21" i="2"/>
  <c r="J21" i="2" s="1"/>
  <c r="K21" i="2" s="1"/>
  <c r="J17" i="2" l="1"/>
  <c r="K17" i="2" s="1"/>
  <c r="O13" i="2"/>
  <c r="J14" i="2"/>
  <c r="K14" i="2" s="1"/>
  <c r="Q13" i="2"/>
  <c r="J15" i="2"/>
  <c r="K15" i="2" s="1"/>
  <c r="J16" i="2"/>
  <c r="K16" i="2" s="1"/>
  <c r="P13" i="2" l="1"/>
  <c r="R13" i="2" s="1"/>
  <c r="S13" i="2"/>
  <c r="L14" i="2"/>
  <c r="N14" i="2" s="1"/>
  <c r="T13" i="2" l="1"/>
  <c r="O14" i="2"/>
  <c r="Q14" i="2" s="1"/>
  <c r="M14" i="2"/>
  <c r="N15" i="2" l="1"/>
  <c r="S14" i="2"/>
  <c r="P14" i="2"/>
  <c r="R14" i="2" s="1"/>
  <c r="O15" i="2" l="1"/>
  <c r="Q15" i="2" s="1"/>
  <c r="M15" i="2"/>
  <c r="T14" i="2"/>
  <c r="N16" i="2" l="1"/>
  <c r="S15" i="2"/>
  <c r="P15" i="2"/>
  <c r="R15" i="2" s="1"/>
  <c r="O16" i="2" l="1"/>
  <c r="Q16" i="2" s="1"/>
  <c r="M16" i="2"/>
  <c r="T15" i="2"/>
  <c r="S16" i="2" l="1"/>
  <c r="P16" i="2"/>
  <c r="R16" i="2" s="1"/>
  <c r="N17" i="2"/>
  <c r="T16" i="2" l="1"/>
  <c r="O17" i="2"/>
  <c r="S17" i="2" s="1"/>
  <c r="M17" i="2"/>
  <c r="Q17" i="2" l="1"/>
  <c r="N18" i="2"/>
  <c r="P17" i="2"/>
  <c r="R17" i="2" l="1"/>
  <c r="T17" i="2" s="1"/>
  <c r="M18" i="2"/>
  <c r="O18" i="2"/>
  <c r="P18" i="2" s="1"/>
  <c r="N19" i="2" l="1"/>
  <c r="M19" i="2" s="1"/>
  <c r="Q18" i="2"/>
  <c r="R18" i="2" s="1"/>
  <c r="S18" i="2"/>
  <c r="T18" i="2" l="1"/>
  <c r="O19" i="2"/>
  <c r="N20" i="2" s="1"/>
  <c r="Q20" i="2" s="1"/>
  <c r="P19" i="2" l="1"/>
  <c r="Q19" i="2"/>
  <c r="R19" i="2" s="1"/>
  <c r="S19" i="2"/>
  <c r="O20" i="2"/>
  <c r="M20" i="2"/>
  <c r="P20" i="2"/>
  <c r="N21" i="2" l="1"/>
  <c r="Q21" i="2" s="1"/>
  <c r="T19" i="2"/>
  <c r="R20" i="2"/>
  <c r="S20" i="2"/>
  <c r="O21" i="2" l="1"/>
  <c r="T20" i="2"/>
  <c r="M21" i="2"/>
  <c r="N22" i="2" s="1"/>
  <c r="Q22" i="2" s="1"/>
  <c r="O22" i="2" l="1"/>
  <c r="S21" i="2"/>
  <c r="P21" i="2"/>
  <c r="R21" i="2" s="1"/>
  <c r="T21" i="2" l="1"/>
  <c r="M22" i="2"/>
  <c r="N23" i="2" s="1"/>
  <c r="Q23" i="2" s="1"/>
  <c r="P22" i="2"/>
  <c r="O23" i="2" l="1"/>
  <c r="R22" i="2"/>
  <c r="S22" i="2"/>
  <c r="T22" i="2" l="1"/>
  <c r="M23" i="2"/>
  <c r="N24" i="2" s="1"/>
  <c r="Q24" i="2" s="1"/>
  <c r="O24" i="2" l="1"/>
  <c r="S23" i="2"/>
  <c r="P23" i="2"/>
  <c r="R23" i="2" s="1"/>
  <c r="T23" i="2" l="1"/>
  <c r="M24" i="2"/>
  <c r="N25" i="2" s="1"/>
  <c r="Q25" i="2" s="1"/>
  <c r="O25" i="2" l="1"/>
  <c r="S24" i="2"/>
  <c r="P24" i="2"/>
  <c r="R24" i="2" s="1"/>
  <c r="M25" i="2" l="1"/>
  <c r="N26" i="2" s="1"/>
  <c r="Q26" i="2" s="1"/>
  <c r="T24" i="2"/>
  <c r="P25" i="2"/>
  <c r="O26" i="2" l="1"/>
  <c r="R25" i="2"/>
  <c r="S25" i="2"/>
  <c r="T25" i="2" l="1"/>
  <c r="M26" i="2"/>
  <c r="N27" i="2" s="1"/>
  <c r="Q27" i="2" s="1"/>
  <c r="O27" i="2" l="1"/>
  <c r="S26" i="2"/>
  <c r="P26" i="2"/>
  <c r="R26" i="2" s="1"/>
  <c r="T26" i="2" l="1"/>
  <c r="R27" i="2"/>
  <c r="P27" i="2"/>
  <c r="M27" i="2"/>
  <c r="N28" i="2" s="1"/>
  <c r="Q28" i="2" s="1"/>
  <c r="O28" i="2" l="1"/>
  <c r="S27" i="2"/>
  <c r="T27" i="2" s="1"/>
  <c r="M28" i="2" l="1"/>
  <c r="N29" i="2" s="1"/>
  <c r="Q29" i="2" s="1"/>
  <c r="O29" i="2" l="1"/>
  <c r="S28" i="2"/>
  <c r="P28" i="2"/>
  <c r="R28" i="2" s="1"/>
  <c r="T28" i="2" l="1"/>
  <c r="P29" i="2"/>
  <c r="M29" i="2"/>
  <c r="N30" i="2" s="1"/>
  <c r="Q30" i="2" s="1"/>
  <c r="O30" i="2" l="1"/>
  <c r="R29" i="2"/>
  <c r="S29" i="2"/>
  <c r="T29" i="2" s="1"/>
  <c r="P30" i="2" l="1"/>
  <c r="M30" i="2"/>
  <c r="N31" i="2" s="1"/>
  <c r="Q31" i="2" s="1"/>
  <c r="O31" i="2" l="1"/>
  <c r="R30" i="2"/>
  <c r="S30" i="2"/>
  <c r="T30" i="2" s="1"/>
  <c r="R31" i="2" l="1"/>
  <c r="P31" i="2"/>
  <c r="M31" i="2"/>
  <c r="N32" i="2" s="1"/>
  <c r="Q32" i="2" s="1"/>
  <c r="O32" i="2" l="1"/>
  <c r="S31" i="2"/>
  <c r="T31" i="2" s="1"/>
  <c r="P32" i="2" l="1"/>
  <c r="M32" i="2"/>
  <c r="R32" i="2" l="1"/>
  <c r="S32" i="2"/>
  <c r="T32" i="2" s="1"/>
  <c r="T33" i="2" s="1"/>
  <c r="T4" i="2" s="1"/>
  <c r="T9" i="2" s="1"/>
</calcChain>
</file>

<file path=xl/sharedStrings.xml><?xml version="1.0" encoding="utf-8"?>
<sst xmlns="http://schemas.openxmlformats.org/spreadsheetml/2006/main" count="35" uniqueCount="34">
  <si>
    <t>Serie storica tassi legali di mora ex d.lgs. 231/2002</t>
  </si>
  <si>
    <t>MAGGIORAZIONE</t>
  </si>
  <si>
    <t>TASSO LEGALE</t>
  </si>
  <si>
    <t>TASSO INTERESSE</t>
  </si>
  <si>
    <t>DA DATA</t>
  </si>
  <si>
    <t>A DATA</t>
  </si>
  <si>
    <t>RIEPILOGO FATTURE</t>
  </si>
  <si>
    <t>N. FATTURA</t>
  </si>
  <si>
    <t>DATA FATTURA</t>
  </si>
  <si>
    <t>IMPORTO</t>
  </si>
  <si>
    <t>SCADENZA FATTURA</t>
  </si>
  <si>
    <t>CALCOLO INTERESSI DI MORA  ex d.lgs. 231/2002</t>
  </si>
  <si>
    <t>DAL</t>
  </si>
  <si>
    <t>AL</t>
  </si>
  <si>
    <t>N. GIORNI</t>
  </si>
  <si>
    <t>SALDI PER VALUTA</t>
  </si>
  <si>
    <t>NUM. DEBITORI</t>
  </si>
  <si>
    <t>TASSO</t>
  </si>
  <si>
    <t>INTERESSI</t>
  </si>
  <si>
    <t>&gt;0</t>
  </si>
  <si>
    <t>TOTALE</t>
  </si>
  <si>
    <t>TOTALE INTERESSI DI MORA MATURATI</t>
  </si>
  <si>
    <t>SPESE LEGALI</t>
  </si>
  <si>
    <t>SPESE NOTARILI</t>
  </si>
  <si>
    <t>ALTRE SPESE</t>
  </si>
  <si>
    <t>TOTALE CAPITALE A NOSTRO CREDITO</t>
  </si>
  <si>
    <t>TOTALE €</t>
  </si>
  <si>
    <t>CLIENTE</t>
  </si>
  <si>
    <t>CALCOLO INTERESSI</t>
  </si>
  <si>
    <t>RIEPILOGO</t>
  </si>
  <si>
    <t>DATA FINE CALCOLO</t>
  </si>
  <si>
    <t>DATA MATURAZIONE INTERESSI</t>
  </si>
  <si>
    <t>Realizzato da Pastorelli Carlo</t>
  </si>
  <si>
    <t>https://it.linkedin.com/in/carlopastorelliafc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</si>
</sst>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7" tint="-0.499984740745262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6"/>
      <color theme="7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7" tint="-0.49998474074526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 style="medium">
        <color theme="3" tint="0.39994506668294322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7" tint="0.39994506668294322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 applyFill="1"/>
    <xf numFmtId="0" fontId="3" fillId="0" borderId="0" xfId="0" applyFont="1"/>
    <xf numFmtId="0" fontId="7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0" xfId="0" applyBorder="1" applyAlignment="1">
      <alignment horizontal="left" vertical="center"/>
    </xf>
    <xf numFmtId="0" fontId="0" fillId="0" borderId="0" xfId="0" applyBorder="1"/>
    <xf numFmtId="43" fontId="2" fillId="3" borderId="1" xfId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Border="1"/>
    <xf numFmtId="14" fontId="2" fillId="0" borderId="0" xfId="0" applyNumberFormat="1" applyFont="1" applyBorder="1" applyAlignment="1">
      <alignment vertic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10" fontId="2" fillId="3" borderId="1" xfId="2" applyNumberFormat="1" applyFont="1" applyFill="1" applyBorder="1" applyAlignment="1">
      <alignment horizontal="center" vertical="center"/>
    </xf>
    <xf numFmtId="43" fontId="9" fillId="3" borderId="1" xfId="1" applyFont="1" applyFill="1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vertical="center"/>
    </xf>
    <xf numFmtId="10" fontId="2" fillId="3" borderId="5" xfId="2" applyNumberFormat="1" applyFont="1" applyFill="1" applyBorder="1" applyAlignment="1">
      <alignment horizontal="center" vertical="center"/>
    </xf>
    <xf numFmtId="43" fontId="9" fillId="3" borderId="5" xfId="1" applyFont="1" applyFill="1" applyBorder="1" applyAlignment="1">
      <alignment vertical="center"/>
    </xf>
    <xf numFmtId="0" fontId="0" fillId="0" borderId="6" xfId="0" applyBorder="1"/>
    <xf numFmtId="0" fontId="12" fillId="0" borderId="0" xfId="0" applyFont="1" applyBorder="1" applyAlignment="1">
      <alignment horizontal="left" vertical="center"/>
    </xf>
    <xf numFmtId="10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Protection="1">
      <protection locked="0"/>
    </xf>
    <xf numFmtId="10" fontId="6" fillId="3" borderId="1" xfId="0" applyNumberFormat="1" applyFont="1" applyFill="1" applyBorder="1" applyAlignment="1" applyProtection="1">
      <alignment horizontal="center" vertical="center" wrapText="1"/>
    </xf>
    <xf numFmtId="14" fontId="5" fillId="3" borderId="1" xfId="0" applyNumberFormat="1" applyFont="1" applyFill="1" applyBorder="1" applyAlignment="1" applyProtection="1">
      <alignment horizontal="center" vertical="center" wrapText="1"/>
    </xf>
    <xf numFmtId="0" fontId="0" fillId="4" borderId="3" xfId="0" applyFill="1" applyBorder="1"/>
    <xf numFmtId="0" fontId="10" fillId="4" borderId="4" xfId="0" applyFont="1" applyFill="1" applyBorder="1" applyAlignment="1">
      <alignment horizontal="right" vertical="center" indent="1"/>
    </xf>
    <xf numFmtId="43" fontId="9" fillId="6" borderId="1" xfId="1" applyFont="1" applyFill="1" applyBorder="1" applyAlignment="1">
      <alignment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4" fontId="2" fillId="3" borderId="1" xfId="0" applyNumberFormat="1" applyFont="1" applyFill="1" applyBorder="1" applyAlignment="1" applyProtection="1">
      <alignment horizontal="center" vertical="center"/>
      <protection locked="0"/>
    </xf>
    <xf numFmtId="43" fontId="2" fillId="3" borderId="1" xfId="1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14" fontId="2" fillId="3" borderId="5" xfId="0" applyNumberFormat="1" applyFont="1" applyFill="1" applyBorder="1" applyAlignment="1" applyProtection="1">
      <alignment horizontal="center" vertical="center"/>
      <protection locked="0"/>
    </xf>
    <xf numFmtId="43" fontId="2" fillId="3" borderId="5" xfId="1" applyFont="1" applyFill="1" applyBorder="1" applyAlignment="1" applyProtection="1">
      <alignment vertical="center"/>
      <protection locked="0"/>
    </xf>
    <xf numFmtId="14" fontId="3" fillId="3" borderId="1" xfId="0" applyNumberFormat="1" applyFont="1" applyFill="1" applyBorder="1" applyAlignment="1" applyProtection="1">
      <alignment horizontal="left" vertical="center" indent="1"/>
      <protection locked="0"/>
    </xf>
    <xf numFmtId="0" fontId="0" fillId="7" borderId="3" xfId="0" applyFill="1" applyBorder="1"/>
    <xf numFmtId="0" fontId="12" fillId="7" borderId="4" xfId="0" applyFont="1" applyFill="1" applyBorder="1" applyAlignment="1">
      <alignment horizontal="right" vertical="center" indent="1"/>
    </xf>
    <xf numFmtId="0" fontId="12" fillId="7" borderId="3" xfId="0" applyFont="1" applyFill="1" applyBorder="1" applyAlignment="1">
      <alignment horizontal="right" vertical="center" indent="1"/>
    </xf>
    <xf numFmtId="0" fontId="14" fillId="0" borderId="0" xfId="0" applyFont="1"/>
    <xf numFmtId="14" fontId="15" fillId="0" borderId="0" xfId="0" applyNumberFormat="1" applyFont="1" applyBorder="1" applyAlignment="1">
      <alignment horizontal="left" vertic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0" fillId="0" borderId="10" xfId="0" applyBorder="1"/>
    <xf numFmtId="0" fontId="13" fillId="0" borderId="10" xfId="0" applyFont="1" applyBorder="1" applyAlignment="1">
      <alignment horizontal="center" vertical="center"/>
    </xf>
    <xf numFmtId="43" fontId="9" fillId="5" borderId="10" xfId="1" applyFont="1" applyFill="1" applyBorder="1" applyAlignment="1">
      <alignment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right" vertical="center" wrapText="1" indent="1"/>
    </xf>
    <xf numFmtId="43" fontId="16" fillId="4" borderId="6" xfId="0" applyNumberFormat="1" applyFont="1" applyFill="1" applyBorder="1" applyAlignment="1">
      <alignment vertical="center"/>
    </xf>
    <xf numFmtId="0" fontId="17" fillId="0" borderId="0" xfId="0" applyFont="1" applyAlignment="1">
      <alignment horizontal="right" vertical="top"/>
    </xf>
    <xf numFmtId="0" fontId="17" fillId="0" borderId="0" xfId="0" applyFont="1" applyAlignment="1">
      <alignment horizontal="left" vertical="top"/>
    </xf>
    <xf numFmtId="0" fontId="13" fillId="8" borderId="2" xfId="0" applyFont="1" applyFill="1" applyBorder="1" applyAlignment="1">
      <alignment horizontal="left" vertical="center" indent="1"/>
    </xf>
    <xf numFmtId="0" fontId="8" fillId="8" borderId="3" xfId="0" applyFont="1" applyFill="1" applyBorder="1" applyAlignment="1">
      <alignment vertical="center"/>
    </xf>
    <xf numFmtId="0" fontId="8" fillId="8" borderId="4" xfId="0" applyFont="1" applyFill="1" applyBorder="1" applyAlignment="1">
      <alignment vertical="center"/>
    </xf>
    <xf numFmtId="0" fontId="12" fillId="9" borderId="2" xfId="0" applyFont="1" applyFill="1" applyBorder="1" applyAlignment="1">
      <alignment horizontal="left" vertical="center" indent="1"/>
    </xf>
    <xf numFmtId="0" fontId="0" fillId="9" borderId="3" xfId="0" applyFill="1" applyBorder="1"/>
    <xf numFmtId="0" fontId="0" fillId="9" borderId="4" xfId="0" applyFill="1" applyBorder="1"/>
    <xf numFmtId="0" fontId="12" fillId="0" borderId="5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 vertical="center" indent="1"/>
      <protection locked="0"/>
    </xf>
    <xf numFmtId="0" fontId="3" fillId="3" borderId="3" xfId="0" applyFont="1" applyFill="1" applyBorder="1" applyAlignment="1" applyProtection="1">
      <alignment horizontal="left" vertical="center" indent="1"/>
      <protection locked="0"/>
    </xf>
    <xf numFmtId="0" fontId="3" fillId="3" borderId="4" xfId="0" applyFont="1" applyFill="1" applyBorder="1" applyAlignment="1" applyProtection="1">
      <alignment horizontal="left" vertical="center" indent="1"/>
      <protection locked="0"/>
    </xf>
    <xf numFmtId="0" fontId="7" fillId="0" borderId="0" xfId="0" applyFont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t.linkedin.com/in/carlopastorelliaf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3"/>
  <sheetViews>
    <sheetView showGridLines="0" showRowColHeaders="0" tabSelected="1" topLeftCell="B1" workbookViewId="0">
      <selection activeCell="T8" sqref="T8"/>
    </sheetView>
  </sheetViews>
  <sheetFormatPr defaultRowHeight="15" x14ac:dyDescent="0.25"/>
  <cols>
    <col min="1" max="1" width="1.5703125" customWidth="1"/>
    <col min="2" max="2" width="17.7109375" customWidth="1"/>
    <col min="3" max="6" width="17.140625" customWidth="1"/>
    <col min="7" max="7" width="2.140625" customWidth="1"/>
    <col min="8" max="8" width="4.85546875" hidden="1" customWidth="1"/>
    <col min="9" max="9" width="12.140625" hidden="1" customWidth="1"/>
    <col min="10" max="10" width="4.140625" hidden="1" customWidth="1"/>
    <col min="11" max="11" width="12.42578125" hidden="1" customWidth="1"/>
    <col min="12" max="12" width="13" hidden="1" customWidth="1"/>
    <col min="13" max="13" width="1.85546875" customWidth="1"/>
    <col min="14" max="20" width="15.42578125" customWidth="1"/>
  </cols>
  <sheetData>
    <row r="1" spans="2:20" ht="8.25" customHeight="1" x14ac:dyDescent="0.25"/>
    <row r="2" spans="2:20" ht="16.5" customHeight="1" x14ac:dyDescent="0.25">
      <c r="B2" s="74" t="s">
        <v>11</v>
      </c>
      <c r="C2" s="74"/>
      <c r="D2" s="74"/>
      <c r="E2" s="74"/>
      <c r="F2" s="74"/>
      <c r="G2" s="73"/>
      <c r="H2" s="73"/>
      <c r="Q2" s="68" t="s">
        <v>29</v>
      </c>
      <c r="R2" s="68"/>
      <c r="S2" s="68"/>
      <c r="T2" s="68"/>
    </row>
    <row r="3" spans="2:20" ht="15" customHeight="1" thickBot="1" x14ac:dyDescent="0.3">
      <c r="B3" s="74"/>
      <c r="C3" s="74"/>
      <c r="D3" s="74"/>
      <c r="E3" s="74"/>
      <c r="F3" s="74"/>
      <c r="G3" s="3"/>
      <c r="H3" s="3"/>
      <c r="Q3" s="69"/>
      <c r="R3" s="69"/>
      <c r="S3" s="69"/>
      <c r="T3" s="69"/>
    </row>
    <row r="4" spans="2:20" ht="20.25" customHeight="1" thickBot="1" x14ac:dyDescent="0.3">
      <c r="B4" s="74"/>
      <c r="C4" s="74"/>
      <c r="D4" s="74"/>
      <c r="E4" s="74"/>
      <c r="F4" s="74"/>
      <c r="G4" s="3"/>
      <c r="H4" s="3"/>
      <c r="N4" s="25"/>
      <c r="P4" s="65"/>
      <c r="Q4" s="40"/>
      <c r="R4" s="40"/>
      <c r="S4" s="41" t="s">
        <v>21</v>
      </c>
      <c r="T4" s="10">
        <f>T33</f>
        <v>585.97</v>
      </c>
    </row>
    <row r="5" spans="2:20" ht="20.25" customHeight="1" thickBot="1" x14ac:dyDescent="0.3">
      <c r="B5" s="58" t="s">
        <v>32</v>
      </c>
      <c r="C5" s="3"/>
      <c r="D5" s="3"/>
      <c r="E5" s="3"/>
      <c r="F5" s="57" t="s">
        <v>33</v>
      </c>
      <c r="G5" s="3"/>
      <c r="H5" s="3"/>
      <c r="N5" s="25"/>
      <c r="P5" s="66"/>
      <c r="Q5" s="40"/>
      <c r="R5" s="42"/>
      <c r="S5" s="41" t="s">
        <v>25</v>
      </c>
      <c r="T5" s="10">
        <f>D33</f>
        <v>19000</v>
      </c>
    </row>
    <row r="6" spans="2:20" ht="20.25" customHeight="1" thickBot="1" x14ac:dyDescent="0.3">
      <c r="N6" s="25"/>
      <c r="P6" s="66"/>
      <c r="Q6" s="40"/>
      <c r="R6" s="40"/>
      <c r="S6" s="41" t="s">
        <v>22</v>
      </c>
      <c r="T6" s="35">
        <v>0</v>
      </c>
    </row>
    <row r="7" spans="2:20" ht="20.25" customHeight="1" thickBot="1" x14ac:dyDescent="0.3">
      <c r="B7" s="55" t="s">
        <v>27</v>
      </c>
      <c r="C7" s="70"/>
      <c r="D7" s="71"/>
      <c r="E7" s="71"/>
      <c r="F7" s="72"/>
      <c r="N7" s="25"/>
      <c r="P7" s="66"/>
      <c r="Q7" s="40"/>
      <c r="R7" s="40"/>
      <c r="S7" s="41" t="s">
        <v>23</v>
      </c>
      <c r="T7" s="35">
        <v>0</v>
      </c>
    </row>
    <row r="8" spans="2:20" ht="20.25" customHeight="1" thickBot="1" x14ac:dyDescent="0.3">
      <c r="E8" s="8"/>
      <c r="F8" s="8"/>
      <c r="N8" s="25"/>
      <c r="P8" s="66"/>
      <c r="Q8" s="40"/>
      <c r="R8" s="40"/>
      <c r="S8" s="41" t="s">
        <v>24</v>
      </c>
      <c r="T8" s="35">
        <v>0</v>
      </c>
    </row>
    <row r="9" spans="2:20" ht="20.25" customHeight="1" thickBot="1" x14ac:dyDescent="0.3">
      <c r="B9" s="55" t="s">
        <v>30</v>
      </c>
      <c r="C9" s="39">
        <v>42597</v>
      </c>
      <c r="D9" s="44">
        <f>C9</f>
        <v>42597</v>
      </c>
      <c r="E9" s="8"/>
      <c r="F9" s="8"/>
      <c r="N9" s="25"/>
      <c r="P9" s="67"/>
      <c r="Q9" s="30"/>
      <c r="R9" s="30"/>
      <c r="S9" s="31" t="s">
        <v>20</v>
      </c>
      <c r="T9" s="32">
        <f>SUM(T4:T8)</f>
        <v>19585.97</v>
      </c>
    </row>
    <row r="10" spans="2:20" ht="36" customHeight="1" thickBot="1" x14ac:dyDescent="0.3"/>
    <row r="11" spans="2:20" ht="21" customHeight="1" thickBot="1" x14ac:dyDescent="0.3">
      <c r="B11" s="59" t="s">
        <v>6</v>
      </c>
      <c r="C11" s="60"/>
      <c r="D11" s="60"/>
      <c r="E11" s="60"/>
      <c r="F11" s="61"/>
      <c r="N11" s="62" t="s">
        <v>28</v>
      </c>
      <c r="O11" s="63"/>
      <c r="P11" s="63"/>
      <c r="Q11" s="63"/>
      <c r="R11" s="63"/>
      <c r="S11" s="63"/>
      <c r="T11" s="64"/>
    </row>
    <row r="12" spans="2:20" ht="32.25" customHeight="1" thickBot="1" x14ac:dyDescent="0.3">
      <c r="B12" s="49" t="s">
        <v>7</v>
      </c>
      <c r="C12" s="53" t="s">
        <v>8</v>
      </c>
      <c r="D12" s="53" t="s">
        <v>9</v>
      </c>
      <c r="E12" s="53" t="s">
        <v>10</v>
      </c>
      <c r="F12" s="54" t="s">
        <v>31</v>
      </c>
      <c r="H12" s="9"/>
      <c r="I12" s="9"/>
      <c r="J12" s="9"/>
      <c r="K12" s="9"/>
      <c r="L12" s="9"/>
      <c r="M12" s="7"/>
      <c r="N12" s="45" t="s">
        <v>12</v>
      </c>
      <c r="O12" s="46" t="s">
        <v>13</v>
      </c>
      <c r="P12" s="46" t="s">
        <v>14</v>
      </c>
      <c r="Q12" s="46" t="s">
        <v>15</v>
      </c>
      <c r="R12" s="46" t="s">
        <v>16</v>
      </c>
      <c r="S12" s="46" t="s">
        <v>17</v>
      </c>
      <c r="T12" s="47" t="s">
        <v>18</v>
      </c>
    </row>
    <row r="13" spans="2:20" s="7" customFormat="1" ht="17.25" customHeight="1" thickBot="1" x14ac:dyDescent="0.3">
      <c r="B13" s="33">
        <v>306</v>
      </c>
      <c r="C13" s="34">
        <v>42439</v>
      </c>
      <c r="D13" s="35">
        <v>10000</v>
      </c>
      <c r="E13" s="34">
        <v>42563</v>
      </c>
      <c r="F13" s="34">
        <f t="shared" ref="F13:F32" si="0">IF(E13=0,"",E13+1)</f>
        <v>42564</v>
      </c>
      <c r="H13" s="13">
        <v>1</v>
      </c>
      <c r="I13" s="14">
        <f t="shared" ref="I13:I32" si="1">IF(ISERROR(SMALL($F$13:$F$32,H13)),"",SMALL($F$13:$F$32,H13))</f>
        <v>41895</v>
      </c>
      <c r="J13" s="13">
        <v>1</v>
      </c>
      <c r="K13" s="14">
        <f>IF(J13=1,I13,"")</f>
        <v>41895</v>
      </c>
      <c r="L13" s="15" t="s">
        <v>19</v>
      </c>
      <c r="M13" s="43">
        <v>1</v>
      </c>
      <c r="N13" s="12">
        <f>MIN($F$13:$F$32)</f>
        <v>41895</v>
      </c>
      <c r="O13" s="12">
        <f>IF(N13="","",IF(SUMPRODUCT(('Serie storica tassi'!$A$4:$A$40&lt;='Calcolo interessi'!N13)*('Serie storica tassi'!$B$4:$B$40&gt;='Calcolo interessi'!N13)*'Serie storica tassi'!$B$4:$B$40)&lt;$D$9,SUMPRODUCT(('Serie storica tassi'!$A$4:$A$40&lt;='Calcolo interessi'!N13)*('Serie storica tassi'!$B$4:$B$40&gt;='Calcolo interessi'!N13)*'Serie storica tassi'!$B$4:$B$40),$D$9))</f>
        <v>42004</v>
      </c>
      <c r="P13" s="11">
        <f>IF(N13="","",O13-N13+1)</f>
        <v>110</v>
      </c>
      <c r="Q13" s="10">
        <f t="shared" ref="Q13" si="2">IF(N13="","",SUMPRODUCT(($F$13:$F$32&lt;=N13)*$D$13:$D$32))</f>
        <v>2000</v>
      </c>
      <c r="R13" s="10">
        <f>IF(N13="","",Q13*P13)</f>
        <v>220000</v>
      </c>
      <c r="S13" s="17">
        <f>IF(O13="","",SUMPRODUCT(('Serie storica tassi'!$A$4:$A$40&lt;='Calcolo interessi'!N13)*('Serie storica tassi'!$B$4:$B$40&gt;='Calcolo interessi'!O13)*'Serie storica tassi'!$E$4:$E$40))</f>
        <v>8.1500000000000003E-2</v>
      </c>
      <c r="T13" s="18">
        <f>IF(N13="","",ROUND(R13*100*S13/36500,2))</f>
        <v>49.12</v>
      </c>
    </row>
    <row r="14" spans="2:20" s="7" customFormat="1" ht="17.25" customHeight="1" thickBot="1" x14ac:dyDescent="0.25">
      <c r="B14" s="33">
        <v>624</v>
      </c>
      <c r="C14" s="34">
        <v>42480</v>
      </c>
      <c r="D14" s="35">
        <v>2000</v>
      </c>
      <c r="E14" s="34">
        <v>41894</v>
      </c>
      <c r="F14" s="34">
        <f t="shared" si="0"/>
        <v>41895</v>
      </c>
      <c r="H14" s="13">
        <v>2</v>
      </c>
      <c r="I14" s="14">
        <f t="shared" si="1"/>
        <v>42370</v>
      </c>
      <c r="J14" s="13">
        <f>IF(I14="","",IF(ISERROR(VLOOKUP(I14,I$13:I13,1,0)),1,2))</f>
        <v>1</v>
      </c>
      <c r="K14" s="14">
        <f t="shared" ref="K14:K32" si="3">IF(J14=1,I14,"")</f>
        <v>42370</v>
      </c>
      <c r="L14" s="16">
        <f>COUNTIF(K13:K32,L13)</f>
        <v>4</v>
      </c>
      <c r="M14" s="43" t="str">
        <f>IF((MAX(M$13:M13)+1)&gt;$L$14,"",IF(N14=SMALL($K$13:$K$32,MAX(M$13:M13)+1),MAX(M$13:M13)+1,""))</f>
        <v/>
      </c>
      <c r="N14" s="12">
        <f>IF(MAX(M$13:M13)+1&gt;$L$14,IF(O13="","",IF($D$9=O13,"",O13+1)),IF(O13="","",IF((SMALL($K$13:$K$32,MAX(M$13:M13)+1))&lt;O13,SMALL($K$13:$K$32,MAX(M$13:M13)+1),IF($D$9=O13,"",O13+1))))</f>
        <v>42005</v>
      </c>
      <c r="O14" s="12">
        <f>IF(N14="","",IF(SUMPRODUCT(('Serie storica tassi'!$A$4:$A$40&lt;='Calcolo interessi'!N14)*('Serie storica tassi'!$B$4:$B$40&gt;='Calcolo interessi'!N14)*'Serie storica tassi'!$B$4:$B$40)&lt;$D$9,SUMPRODUCT(('Serie storica tassi'!$A$4:$A$40&lt;='Calcolo interessi'!N14)*('Serie storica tassi'!$B$4:$B$40&gt;='Calcolo interessi'!N14)*'Serie storica tassi'!$B$4:$B$40),$D$9))</f>
        <v>42185</v>
      </c>
      <c r="P14" s="11">
        <f t="shared" ref="P14:P32" si="4">IF(N14="","",O14-N14+1)</f>
        <v>181</v>
      </c>
      <c r="Q14" s="10">
        <f>IF(N14="","",IF(O14=O13,SUMPRODUCT(($F$13:$F$32&lt;=N14)*$D$13:$D$32)-SUMPRODUCT(($O$13:$O13=O14)*$Q$13:$Q13),SUMPRODUCT(($F$13:$F$32&lt;=N14)*$D$13:$D$32)))</f>
        <v>2000</v>
      </c>
      <c r="R14" s="10">
        <f t="shared" ref="R14:R32" si="5">IF(N14="","",Q14*P14)</f>
        <v>362000</v>
      </c>
      <c r="S14" s="17">
        <f>IF(O14="","",SUMPRODUCT(('Serie storica tassi'!$A$4:$A$40&lt;='Calcolo interessi'!N14)*('Serie storica tassi'!$B$4:$B$40&gt;='Calcolo interessi'!O14)*'Serie storica tassi'!$E$4:$E$40))</f>
        <v>8.0500000000000002E-2</v>
      </c>
      <c r="T14" s="18">
        <f t="shared" ref="T14:T32" si="6">IF(N14="","",ROUND(R14*100*S14/36500,2))</f>
        <v>79.84</v>
      </c>
    </row>
    <row r="15" spans="2:20" s="7" customFormat="1" ht="17.25" customHeight="1" thickBot="1" x14ac:dyDescent="0.25">
      <c r="B15" s="33">
        <v>697</v>
      </c>
      <c r="C15" s="34">
        <v>42490</v>
      </c>
      <c r="D15" s="35">
        <v>3000</v>
      </c>
      <c r="E15" s="34">
        <v>42947</v>
      </c>
      <c r="F15" s="34">
        <f t="shared" si="0"/>
        <v>42948</v>
      </c>
      <c r="H15" s="13">
        <v>3</v>
      </c>
      <c r="I15" s="14">
        <f t="shared" si="1"/>
        <v>42564</v>
      </c>
      <c r="J15" s="13">
        <f>IF(I15="","",IF(ISERROR(VLOOKUP(I15,I$13:I14,1,0)),1,2))</f>
        <v>1</v>
      </c>
      <c r="K15" s="14">
        <f t="shared" si="3"/>
        <v>42564</v>
      </c>
      <c r="L15" s="13"/>
      <c r="M15" s="43" t="str">
        <f>IF((MAX(M$13:M14)+1)&gt;$L$14,"",IF(N15=SMALL($K$13:$K$32,MAX(M$13:M14)+1),MAX(M$13:M14)+1,""))</f>
        <v/>
      </c>
      <c r="N15" s="12">
        <f>IF(MAX(M$13:M14)+1&gt;$L$14,IF(O14="","",IF($D$9=O14,"",O14+1)),IF(O14="","",IF((SMALL($K$13:$K$32,MAX(M$13:M14)+1))&lt;O14,SMALL($K$13:$K$32,MAX(M$13:M14)+1),IF($D$9=O14,"",O14+1))))</f>
        <v>42186</v>
      </c>
      <c r="O15" s="12">
        <f>IF(N15="","",IF(SUMPRODUCT(('Serie storica tassi'!$A$4:$A$40&lt;='Calcolo interessi'!N15)*('Serie storica tassi'!$B$4:$B$40&gt;='Calcolo interessi'!N15)*'Serie storica tassi'!$B$4:$B$40)&lt;$D$9,SUMPRODUCT(('Serie storica tassi'!$A$4:$A$40&lt;='Calcolo interessi'!N15)*('Serie storica tassi'!$B$4:$B$40&gt;='Calcolo interessi'!N15)*'Serie storica tassi'!$B$4:$B$40),$D$9))</f>
        <v>42369</v>
      </c>
      <c r="P15" s="11">
        <f t="shared" si="4"/>
        <v>184</v>
      </c>
      <c r="Q15" s="10">
        <f>IF(N15="","",IF(O15=O14,SUMPRODUCT(($F$13:$F$32&lt;=N15)*$D$13:$D$32)-SUMPRODUCT(($O$13:$O14=O15)*$Q$13:$Q14),SUMPRODUCT(($F$13:$F$32&lt;=N15)*$D$13:$D$32)))</f>
        <v>2000</v>
      </c>
      <c r="R15" s="10">
        <f t="shared" si="5"/>
        <v>368000</v>
      </c>
      <c r="S15" s="17">
        <f>IF(O15="","",SUMPRODUCT(('Serie storica tassi'!$A$4:$A$40&lt;='Calcolo interessi'!N15)*('Serie storica tassi'!$B$4:$B$40&gt;='Calcolo interessi'!O15)*'Serie storica tassi'!$E$4:$E$40))</f>
        <v>8.0500000000000002E-2</v>
      </c>
      <c r="T15" s="18">
        <f t="shared" si="6"/>
        <v>81.16</v>
      </c>
    </row>
    <row r="16" spans="2:20" s="7" customFormat="1" ht="17.25" customHeight="1" thickBot="1" x14ac:dyDescent="0.25">
      <c r="B16" s="33">
        <v>779</v>
      </c>
      <c r="C16" s="34">
        <v>42500</v>
      </c>
      <c r="D16" s="35">
        <v>4000</v>
      </c>
      <c r="E16" s="34">
        <v>42369</v>
      </c>
      <c r="F16" s="34">
        <f t="shared" si="0"/>
        <v>42370</v>
      </c>
      <c r="H16" s="13">
        <v>4</v>
      </c>
      <c r="I16" s="14">
        <f t="shared" si="1"/>
        <v>42948</v>
      </c>
      <c r="J16" s="13">
        <f>IF(I16="","",IF(ISERROR(VLOOKUP(I16,I$13:I15,1,0)),1,2))</f>
        <v>1</v>
      </c>
      <c r="K16" s="14">
        <f t="shared" si="3"/>
        <v>42948</v>
      </c>
      <c r="L16" s="13"/>
      <c r="M16" s="43">
        <f>IF((MAX(M$13:M15)+1)&gt;$L$14,"",IF(N16=SMALL($K$13:$K$32,MAX(M$13:M15)+1),MAX(M$13:M15)+1,""))</f>
        <v>2</v>
      </c>
      <c r="N16" s="12">
        <f>IF(MAX(M$13:M15)+1&gt;$L$14,IF(O15="","",IF($D$9=O15,"",O15+1)),IF(O15="","",IF((SMALL($K$13:$K$32,MAX(M$13:M15)+1))&lt;O15,SMALL($K$13:$K$32,MAX(M$13:M15)+1),IF($D$9=O15,"",O15+1))))</f>
        <v>42370</v>
      </c>
      <c r="O16" s="12">
        <f>IF(N16="","",IF(SUMPRODUCT(('Serie storica tassi'!$A$4:$A$40&lt;='Calcolo interessi'!N16)*('Serie storica tassi'!$B$4:$B$40&gt;='Calcolo interessi'!N16)*'Serie storica tassi'!$B$4:$B$40)&lt;$D$9,SUMPRODUCT(('Serie storica tassi'!$A$4:$A$40&lt;='Calcolo interessi'!N16)*('Serie storica tassi'!$B$4:$B$40&gt;='Calcolo interessi'!N16)*'Serie storica tassi'!$B$4:$B$40),$D$9))</f>
        <v>42551</v>
      </c>
      <c r="P16" s="11">
        <f t="shared" si="4"/>
        <v>182</v>
      </c>
      <c r="Q16" s="10">
        <f>IF(N16="","",IF(O16=O15,SUMPRODUCT(($F$13:$F$32&lt;=N16)*$D$13:$D$32)-SUMPRODUCT(($O$13:$O15=O16)*$Q$13:$Q15),SUMPRODUCT(($F$13:$F$32&lt;=N16)*$D$13:$D$32)))</f>
        <v>6000</v>
      </c>
      <c r="R16" s="10">
        <f t="shared" si="5"/>
        <v>1092000</v>
      </c>
      <c r="S16" s="17">
        <f>IF(O16="","",SUMPRODUCT(('Serie storica tassi'!$A$4:$A$40&lt;='Calcolo interessi'!N16)*('Serie storica tassi'!$B$4:$B$40&gt;='Calcolo interessi'!O16)*'Serie storica tassi'!$E$4:$E$40))</f>
        <v>8.0500000000000002E-2</v>
      </c>
      <c r="T16" s="18">
        <f t="shared" si="6"/>
        <v>240.84</v>
      </c>
    </row>
    <row r="17" spans="2:20" s="7" customFormat="1" ht="17.25" customHeight="1" thickBot="1" x14ac:dyDescent="0.25">
      <c r="B17" s="33"/>
      <c r="C17" s="34"/>
      <c r="D17" s="35"/>
      <c r="E17" s="34"/>
      <c r="F17" s="34" t="str">
        <f t="shared" si="0"/>
        <v/>
      </c>
      <c r="H17" s="13">
        <v>5</v>
      </c>
      <c r="I17" s="14" t="str">
        <f t="shared" si="1"/>
        <v/>
      </c>
      <c r="J17" s="13" t="str">
        <f>IF(I17="","",IF(ISERROR(VLOOKUP(I17,I$13:I16,1,0)),1,2))</f>
        <v/>
      </c>
      <c r="K17" s="14" t="str">
        <f t="shared" si="3"/>
        <v/>
      </c>
      <c r="L17" s="13"/>
      <c r="M17" s="43" t="str">
        <f>IF((MAX(M$13:M16)+1)&gt;$L$14,"",IF(N17=SMALL($K$13:$K$32,MAX(M$13:M16)+1),MAX(M$13:M16)+1,""))</f>
        <v/>
      </c>
      <c r="N17" s="12">
        <f>IF(MAX(M$13:M16)+1&gt;$L$14,IF(O16="","",IF($D$9=O16,"",O16+1)),IF(O16="","",IF((SMALL($K$13:$K$32,MAX(M$13:M16)+1))&lt;O16,SMALL($K$13:$K$32,MAX(M$13:M16)+1),IF($D$9=O16,"",O16+1))))</f>
        <v>42552</v>
      </c>
      <c r="O17" s="12">
        <f>IF(N17="","",IF(SUMPRODUCT(('Serie storica tassi'!$A$4:$A$40&lt;='Calcolo interessi'!N17)*('Serie storica tassi'!$B$4:$B$40&gt;='Calcolo interessi'!N17)*'Serie storica tassi'!$B$4:$B$40)&lt;$D$9,SUMPRODUCT(('Serie storica tassi'!$A$4:$A$40&lt;='Calcolo interessi'!N17)*('Serie storica tassi'!$B$4:$B$40&gt;='Calcolo interessi'!N17)*'Serie storica tassi'!$B$4:$B$40),$D$9))</f>
        <v>42597</v>
      </c>
      <c r="P17" s="11">
        <f t="shared" si="4"/>
        <v>46</v>
      </c>
      <c r="Q17" s="10">
        <f>IF(N17="","",IF(O17=O16,SUMPRODUCT(($F$13:$F$32&lt;=N17)*$D$13:$D$32)-SUMPRODUCT(($O$13:$O16=O17)*$Q$13:$Q16),SUMPRODUCT(($F$13:$F$32&lt;=N17)*$D$13:$D$32)))</f>
        <v>6000</v>
      </c>
      <c r="R17" s="10">
        <f t="shared" si="5"/>
        <v>276000</v>
      </c>
      <c r="S17" s="17">
        <f>IF(O17="","",SUMPRODUCT(('Serie storica tassi'!$A$4:$A$40&lt;='Calcolo interessi'!N17)*('Serie storica tassi'!$B$4:$B$40&gt;='Calcolo interessi'!O17)*'Serie storica tassi'!$E$4:$E$40))</f>
        <v>0.08</v>
      </c>
      <c r="T17" s="18">
        <f t="shared" si="6"/>
        <v>60.49</v>
      </c>
    </row>
    <row r="18" spans="2:20" s="7" customFormat="1" ht="17.25" customHeight="1" thickBot="1" x14ac:dyDescent="0.25">
      <c r="B18" s="33"/>
      <c r="C18" s="34"/>
      <c r="D18" s="35"/>
      <c r="E18" s="34"/>
      <c r="F18" s="34" t="str">
        <f t="shared" ref="F18:F32" si="7">IF(E18=0,"",E18+1)</f>
        <v/>
      </c>
      <c r="H18" s="13">
        <v>6</v>
      </c>
      <c r="I18" s="14" t="str">
        <f t="shared" si="1"/>
        <v/>
      </c>
      <c r="J18" s="13" t="str">
        <f>IF(I18="","",IF(ISERROR(VLOOKUP(I18,I$13:I17,1,0)),1,2))</f>
        <v/>
      </c>
      <c r="K18" s="14" t="str">
        <f t="shared" si="3"/>
        <v/>
      </c>
      <c r="L18" s="13"/>
      <c r="M18" s="43">
        <f>IF((MAX(M$13:M17)+1)&gt;$L$14,"",IF(N18=SMALL($K$13:$K$32,MAX(M$13:M17)+1),MAX(M$13:M17)+1,""))</f>
        <v>3</v>
      </c>
      <c r="N18" s="12">
        <f>IF(MAX(M$13:M17)+1&gt;$L$14,IF(O17="","",IF($D$9=O17,"",O17+1)),IF(O17="","",IF((SMALL($K$13:$K$32,MAX(M$13:M17)+1))&lt;O17,SMALL($K$13:$K$32,MAX(M$13:M17)+1),IF($D$9=O17,"",O17+1))))</f>
        <v>42564</v>
      </c>
      <c r="O18" s="12">
        <f>IF(N18="","",IF(SUMPRODUCT(('Serie storica tassi'!$A$4:$A$40&lt;='Calcolo interessi'!N18)*('Serie storica tassi'!$B$4:$B$40&gt;='Calcolo interessi'!N18)*'Serie storica tassi'!$B$4:$B$40)&lt;$D$9,SUMPRODUCT(('Serie storica tassi'!$A$4:$A$40&lt;='Calcolo interessi'!N18)*('Serie storica tassi'!$B$4:$B$40&gt;='Calcolo interessi'!N18)*'Serie storica tassi'!$B$4:$B$40),$D$9))</f>
        <v>42597</v>
      </c>
      <c r="P18" s="11">
        <f t="shared" si="4"/>
        <v>34</v>
      </c>
      <c r="Q18" s="10">
        <f>IF(N18="","",IF(O18=O17,SUMPRODUCT(($F$13:$F$32&lt;=N18)*$D$13:$D$32)-SUMPRODUCT(($O$13:$O17=O18)*$Q$13:$Q17),SUMPRODUCT(($F$13:$F$32&lt;=N18)*$D$13:$D$32)))</f>
        <v>10000</v>
      </c>
      <c r="R18" s="10">
        <f t="shared" si="5"/>
        <v>340000</v>
      </c>
      <c r="S18" s="17">
        <f>IF(O18="","",SUMPRODUCT(('Serie storica tassi'!$A$4:$A$40&lt;='Calcolo interessi'!N18)*('Serie storica tassi'!$B$4:$B$40&gt;='Calcolo interessi'!O18)*'Serie storica tassi'!$E$4:$E$40))</f>
        <v>0.08</v>
      </c>
      <c r="T18" s="18">
        <f t="shared" si="6"/>
        <v>74.52</v>
      </c>
    </row>
    <row r="19" spans="2:20" s="7" customFormat="1" ht="17.25" customHeight="1" thickBot="1" x14ac:dyDescent="0.25">
      <c r="B19" s="33"/>
      <c r="C19" s="34"/>
      <c r="D19" s="35"/>
      <c r="E19" s="34"/>
      <c r="F19" s="34" t="str">
        <f t="shared" si="0"/>
        <v/>
      </c>
      <c r="H19" s="13">
        <v>7</v>
      </c>
      <c r="I19" s="14" t="str">
        <f t="shared" si="1"/>
        <v/>
      </c>
      <c r="J19" s="13" t="str">
        <f>IF(I19="","",IF(ISERROR(VLOOKUP(I19,I$13:I18,1,0)),1,2))</f>
        <v/>
      </c>
      <c r="K19" s="14" t="str">
        <f t="shared" si="3"/>
        <v/>
      </c>
      <c r="L19" s="13"/>
      <c r="M19" s="43" t="str">
        <f>IF((MAX(M$13:M18)+1)&gt;$L$14,"",IF(N19=SMALL($K$13:$K$32,MAX(M$13:M18)+1),MAX(M$13:M18)+1,""))</f>
        <v/>
      </c>
      <c r="N19" s="12" t="str">
        <f>IF(MAX(M$13:M18)+1&gt;$L$14,IF(O18="","",IF($D$9=O18,"",O18+1)),IF(O18="","",IF((SMALL($K$13:$K$32,MAX(M$13:M18)+1))&lt;O18,SMALL($K$13:$K$32,MAX(M$13:M18)+1),IF($D$9=O18,"",O18+1))))</f>
        <v/>
      </c>
      <c r="O19" s="12" t="str">
        <f>IF(N19="","",IF(SUMPRODUCT(('Serie storica tassi'!$A$4:$A$40&lt;='Calcolo interessi'!N19)*('Serie storica tassi'!$B$4:$B$40&gt;='Calcolo interessi'!N19)*'Serie storica tassi'!$B$4:$B$40)&lt;$D$9,SUMPRODUCT(('Serie storica tassi'!$A$4:$A$40&lt;='Calcolo interessi'!N19)*('Serie storica tassi'!$B$4:$B$40&gt;='Calcolo interessi'!N19)*'Serie storica tassi'!$B$4:$B$40),$D$9))</f>
        <v/>
      </c>
      <c r="P19" s="11" t="str">
        <f t="shared" si="4"/>
        <v/>
      </c>
      <c r="Q19" s="10" t="str">
        <f>IF(N19="","",IF(O19=O18,SUMPRODUCT(($F$13:$F$32&lt;=N19)*$D$13:$D$32)-SUMPRODUCT(($O$13:$O18=O19)*$Q$13:$Q18),SUMPRODUCT(($F$13:$F$32&lt;=N19)*$D$13:$D$32)))</f>
        <v/>
      </c>
      <c r="R19" s="10" t="str">
        <f t="shared" si="5"/>
        <v/>
      </c>
      <c r="S19" s="17" t="str">
        <f>IF(O19="","",SUMPRODUCT(('Serie storica tassi'!$A$4:$A$40&lt;='Calcolo interessi'!N19)*('Serie storica tassi'!$B$4:$B$40&gt;='Calcolo interessi'!O19)*'Serie storica tassi'!$E$4:$E$40))</f>
        <v/>
      </c>
      <c r="T19" s="18" t="str">
        <f t="shared" si="6"/>
        <v/>
      </c>
    </row>
    <row r="20" spans="2:20" s="7" customFormat="1" ht="17.25" customHeight="1" thickBot="1" x14ac:dyDescent="0.25">
      <c r="B20" s="33"/>
      <c r="C20" s="34"/>
      <c r="D20" s="35"/>
      <c r="E20" s="34"/>
      <c r="F20" s="34" t="str">
        <f t="shared" si="0"/>
        <v/>
      </c>
      <c r="H20" s="13">
        <v>8</v>
      </c>
      <c r="I20" s="14" t="str">
        <f t="shared" si="1"/>
        <v/>
      </c>
      <c r="J20" s="13" t="str">
        <f>IF(I20="","",IF(ISERROR(VLOOKUP(I20,I$13:I19,1,0)),1,2))</f>
        <v/>
      </c>
      <c r="K20" s="14" t="str">
        <f t="shared" si="3"/>
        <v/>
      </c>
      <c r="L20" s="13"/>
      <c r="M20" s="43" t="str">
        <f>IF((MAX(M$13:M19)+1)&gt;$L$14,"",IF(N20=SMALL($K$13:$K$32,MAX(M$13:M19)+1),MAX(M$13:M19)+1,""))</f>
        <v/>
      </c>
      <c r="N20" s="12" t="str">
        <f>IF(MAX(M$13:M19)+1&gt;$L$14,IF(O19="","",IF($D$9=O19,"",O19+1)),IF(O19="","",IF((SMALL($K$13:$K$32,MAX(M$13:M19)+1))&lt;O19,SMALL($K$13:$K$32,MAX(M$13:M19)+1),IF($D$9=O19,"",O19+1))))</f>
        <v/>
      </c>
      <c r="O20" s="12" t="str">
        <f>IF(N20="","",IF(SUMPRODUCT(('Serie storica tassi'!$A$4:$A$40&lt;='Calcolo interessi'!N20)*('Serie storica tassi'!$B$4:$B$40&gt;='Calcolo interessi'!N20)*'Serie storica tassi'!$B$4:$B$40)&lt;$D$9,SUMPRODUCT(('Serie storica tassi'!$A$4:$A$40&lt;='Calcolo interessi'!N20)*('Serie storica tassi'!$B$4:$B$40&gt;='Calcolo interessi'!N20)*'Serie storica tassi'!$B$4:$B$40),$D$9))</f>
        <v/>
      </c>
      <c r="P20" s="11" t="str">
        <f t="shared" si="4"/>
        <v/>
      </c>
      <c r="Q20" s="10" t="str">
        <f>IF(N20="","",IF(O20=O19,SUMPRODUCT(($F$13:$F$32&lt;=N20)*$D$13:$D$32)-SUMPRODUCT(($O$13:$O19=O20)*$Q$13:$Q19),SUMPRODUCT(($F$13:$F$32&lt;=N20)*$D$13:$D$32)))</f>
        <v/>
      </c>
      <c r="R20" s="10" t="str">
        <f t="shared" si="5"/>
        <v/>
      </c>
      <c r="S20" s="17" t="str">
        <f>IF(O20="","",SUMPRODUCT(('Serie storica tassi'!$A$4:$A$40&lt;='Calcolo interessi'!N20)*('Serie storica tassi'!$B$4:$B$40&gt;='Calcolo interessi'!O20)*'Serie storica tassi'!$E$4:$E$40))</f>
        <v/>
      </c>
      <c r="T20" s="18" t="str">
        <f t="shared" si="6"/>
        <v/>
      </c>
    </row>
    <row r="21" spans="2:20" s="7" customFormat="1" ht="17.25" customHeight="1" thickBot="1" x14ac:dyDescent="0.25">
      <c r="B21" s="33"/>
      <c r="C21" s="34"/>
      <c r="D21" s="35"/>
      <c r="E21" s="34"/>
      <c r="F21" s="34" t="str">
        <f t="shared" si="0"/>
        <v/>
      </c>
      <c r="H21" s="13">
        <v>9</v>
      </c>
      <c r="I21" s="14" t="str">
        <f t="shared" si="1"/>
        <v/>
      </c>
      <c r="J21" s="13" t="str">
        <f>IF(I21="","",IF(ISERROR(VLOOKUP(I21,I$13:I20,1,0)),1,2))</f>
        <v/>
      </c>
      <c r="K21" s="14" t="str">
        <f t="shared" si="3"/>
        <v/>
      </c>
      <c r="L21" s="13"/>
      <c r="M21" s="43" t="str">
        <f>IF((MAX(M$13:M20)+1)&gt;$L$14,"",IF(N21=SMALL($K$13:$K$32,MAX(M$13:M20)+1),MAX(M$13:M20)+1,""))</f>
        <v/>
      </c>
      <c r="N21" s="12" t="str">
        <f>IF(MAX(M$13:M20)+1&gt;$L$14,IF(O20="","",IF($D$9=O20,"",O20+1)),IF(O20="","",IF((SMALL($K$13:$K$32,MAX(M$13:M20)+1))&lt;O20,SMALL($K$13:$K$32,MAX(M$13:M20)+1),IF($D$9=O20,"",O20+1))))</f>
        <v/>
      </c>
      <c r="O21" s="12" t="str">
        <f>IF(N21="","",IF(SUMPRODUCT(('Serie storica tassi'!$A$4:$A$40&lt;='Calcolo interessi'!N21)*('Serie storica tassi'!$B$4:$B$40&gt;='Calcolo interessi'!N21)*'Serie storica tassi'!$B$4:$B$40)&lt;$D$9,SUMPRODUCT(('Serie storica tassi'!$A$4:$A$40&lt;='Calcolo interessi'!N21)*('Serie storica tassi'!$B$4:$B$40&gt;='Calcolo interessi'!N21)*'Serie storica tassi'!$B$4:$B$40),$D$9))</f>
        <v/>
      </c>
      <c r="P21" s="11" t="str">
        <f t="shared" si="4"/>
        <v/>
      </c>
      <c r="Q21" s="10" t="str">
        <f>IF(N21="","",IF(O21=O20,SUMPRODUCT(($F$13:$F$32&lt;=N21)*$D$13:$D$32)-SUMPRODUCT(($O$13:$O20=O21)*$Q$13:$Q20),SUMPRODUCT(($F$13:$F$32&lt;=N21)*$D$13:$D$32)))</f>
        <v/>
      </c>
      <c r="R21" s="10" t="str">
        <f t="shared" si="5"/>
        <v/>
      </c>
      <c r="S21" s="17" t="str">
        <f>IF(O21="","",SUMPRODUCT(('Serie storica tassi'!$A$4:$A$40&lt;='Calcolo interessi'!N21)*('Serie storica tassi'!$B$4:$B$40&gt;='Calcolo interessi'!O21)*'Serie storica tassi'!$E$4:$E$40))</f>
        <v/>
      </c>
      <c r="T21" s="18" t="str">
        <f t="shared" si="6"/>
        <v/>
      </c>
    </row>
    <row r="22" spans="2:20" s="7" customFormat="1" ht="17.25" customHeight="1" thickBot="1" x14ac:dyDescent="0.25">
      <c r="B22" s="33"/>
      <c r="C22" s="34"/>
      <c r="D22" s="35"/>
      <c r="E22" s="34"/>
      <c r="F22" s="34" t="str">
        <f t="shared" si="0"/>
        <v/>
      </c>
      <c r="H22" s="13">
        <v>10</v>
      </c>
      <c r="I22" s="14" t="str">
        <f t="shared" si="1"/>
        <v/>
      </c>
      <c r="J22" s="13" t="str">
        <f>IF(I22="","",IF(ISERROR(VLOOKUP(I22,I$13:I21,1,0)),1,2))</f>
        <v/>
      </c>
      <c r="K22" s="14" t="str">
        <f t="shared" si="3"/>
        <v/>
      </c>
      <c r="L22" s="13"/>
      <c r="M22" s="43" t="str">
        <f>IF((MAX(M$13:M21)+1)&gt;$L$14,"",IF(N22=SMALL($K$13:$K$32,MAX(M$13:M21)+1),MAX(M$13:M21)+1,""))</f>
        <v/>
      </c>
      <c r="N22" s="12" t="str">
        <f>IF(MAX(M$13:M21)+1&gt;$L$14,IF(O21="","",IF($D$9=O21,"",O21+1)),IF(O21="","",IF((SMALL($K$13:$K$32,MAX(M$13:M21)+1))&lt;O21,SMALL($K$13:$K$32,MAX(M$13:M21)+1),IF($D$9=O21,"",O21+1))))</f>
        <v/>
      </c>
      <c r="O22" s="12" t="str">
        <f>IF(N22="","",IF(SUMPRODUCT(('Serie storica tassi'!$A$4:$A$40&lt;='Calcolo interessi'!N22)*('Serie storica tassi'!$B$4:$B$40&gt;='Calcolo interessi'!N22)*'Serie storica tassi'!$B$4:$B$40)&lt;$D$9,SUMPRODUCT(('Serie storica tassi'!$A$4:$A$40&lt;='Calcolo interessi'!N22)*('Serie storica tassi'!$B$4:$B$40&gt;='Calcolo interessi'!N22)*'Serie storica tassi'!$B$4:$B$40),$D$9))</f>
        <v/>
      </c>
      <c r="P22" s="11" t="str">
        <f t="shared" si="4"/>
        <v/>
      </c>
      <c r="Q22" s="10" t="str">
        <f>IF(N22="","",IF(O22=O21,SUMPRODUCT(($F$13:$F$32&lt;=N22)*$D$13:$D$32)-SUMPRODUCT(($O$13:$O21=O22)*$Q$13:$Q21),SUMPRODUCT(($F$13:$F$32&lt;=N22)*$D$13:$D$32)))</f>
        <v/>
      </c>
      <c r="R22" s="10" t="str">
        <f t="shared" si="5"/>
        <v/>
      </c>
      <c r="S22" s="17" t="str">
        <f>IF(O22="","",SUMPRODUCT(('Serie storica tassi'!$A$4:$A$40&lt;='Calcolo interessi'!N22)*('Serie storica tassi'!$B$4:$B$40&gt;='Calcolo interessi'!O22)*'Serie storica tassi'!$E$4:$E$40))</f>
        <v/>
      </c>
      <c r="T22" s="18" t="str">
        <f t="shared" si="6"/>
        <v/>
      </c>
    </row>
    <row r="23" spans="2:20" s="7" customFormat="1" ht="17.25" customHeight="1" thickBot="1" x14ac:dyDescent="0.25">
      <c r="B23" s="33"/>
      <c r="C23" s="34"/>
      <c r="D23" s="35"/>
      <c r="E23" s="34"/>
      <c r="F23" s="34" t="str">
        <f t="shared" si="0"/>
        <v/>
      </c>
      <c r="H23" s="13">
        <v>11</v>
      </c>
      <c r="I23" s="14" t="str">
        <f t="shared" si="1"/>
        <v/>
      </c>
      <c r="J23" s="13" t="str">
        <f>IF(I23="","",IF(ISERROR(VLOOKUP(I23,I$13:I22,1,0)),1,2))</f>
        <v/>
      </c>
      <c r="K23" s="14" t="str">
        <f t="shared" si="3"/>
        <v/>
      </c>
      <c r="L23" s="13"/>
      <c r="M23" s="43" t="str">
        <f>IF((MAX(M$13:M22)+1)&gt;$L$14,"",IF(N23=SMALL($K$13:$K$32,MAX(M$13:M22)+1),MAX(M$13:M22)+1,""))</f>
        <v/>
      </c>
      <c r="N23" s="12" t="str">
        <f>IF(MAX(M$13:M22)+1&gt;$L$14,IF(O22="","",IF($D$9=O22,"",O22+1)),IF(O22="","",IF((SMALL($K$13:$K$32,MAX(M$13:M22)+1))&lt;O22,SMALL($K$13:$K$32,MAX(M$13:M22)+1),IF($D$9=O22,"",O22+1))))</f>
        <v/>
      </c>
      <c r="O23" s="12" t="str">
        <f>IF(N23="","",IF(SUMPRODUCT(('Serie storica tassi'!$A$4:$A$40&lt;='Calcolo interessi'!N23)*('Serie storica tassi'!$B$4:$B$40&gt;='Calcolo interessi'!N23)*'Serie storica tassi'!$B$4:$B$40)&lt;$D$9,SUMPRODUCT(('Serie storica tassi'!$A$4:$A$40&lt;='Calcolo interessi'!N23)*('Serie storica tassi'!$B$4:$B$40&gt;='Calcolo interessi'!N23)*'Serie storica tassi'!$B$4:$B$40),$D$9))</f>
        <v/>
      </c>
      <c r="P23" s="11" t="str">
        <f t="shared" si="4"/>
        <v/>
      </c>
      <c r="Q23" s="10" t="str">
        <f>IF(N23="","",IF(O23=O22,SUMPRODUCT(($F$13:$F$32&lt;=N23)*$D$13:$D$32)-SUMPRODUCT(($O$13:$O22=O23)*$Q$13:$Q22),SUMPRODUCT(($F$13:$F$32&lt;=N23)*$D$13:$D$32)))</f>
        <v/>
      </c>
      <c r="R23" s="10" t="str">
        <f t="shared" si="5"/>
        <v/>
      </c>
      <c r="S23" s="17" t="str">
        <f>IF(O23="","",SUMPRODUCT(('Serie storica tassi'!$A$4:$A$40&lt;='Calcolo interessi'!N23)*('Serie storica tassi'!$B$4:$B$40&gt;='Calcolo interessi'!O23)*'Serie storica tassi'!$E$4:$E$40))</f>
        <v/>
      </c>
      <c r="T23" s="18" t="str">
        <f t="shared" si="6"/>
        <v/>
      </c>
    </row>
    <row r="24" spans="2:20" s="7" customFormat="1" ht="17.25" customHeight="1" thickBot="1" x14ac:dyDescent="0.25">
      <c r="B24" s="33"/>
      <c r="C24" s="34"/>
      <c r="D24" s="35"/>
      <c r="E24" s="34"/>
      <c r="F24" s="34" t="str">
        <f t="shared" si="0"/>
        <v/>
      </c>
      <c r="H24" s="13">
        <v>12</v>
      </c>
      <c r="I24" s="14" t="str">
        <f t="shared" si="1"/>
        <v/>
      </c>
      <c r="J24" s="13" t="str">
        <f>IF(I24="","",IF(ISERROR(VLOOKUP(I24,I$13:I23,1,0)),1,2))</f>
        <v/>
      </c>
      <c r="K24" s="14" t="str">
        <f t="shared" si="3"/>
        <v/>
      </c>
      <c r="L24" s="13"/>
      <c r="M24" s="43" t="str">
        <f>IF((MAX(M$13:M23)+1)&gt;$L$14,"",IF(N24=SMALL($K$13:$K$32,MAX(M$13:M23)+1),MAX(M$13:M23)+1,""))</f>
        <v/>
      </c>
      <c r="N24" s="12" t="str">
        <f>IF(MAX(M$13:M23)+1&gt;$L$14,IF(O23="","",IF($D$9=O23,"",O23+1)),IF(O23="","",IF((SMALL($K$13:$K$32,MAX(M$13:M23)+1))&lt;O23,SMALL($K$13:$K$32,MAX(M$13:M23)+1),IF($D$9=O23,"",O23+1))))</f>
        <v/>
      </c>
      <c r="O24" s="12" t="str">
        <f>IF(N24="","",IF(SUMPRODUCT(('Serie storica tassi'!$A$4:$A$40&lt;='Calcolo interessi'!N24)*('Serie storica tassi'!$B$4:$B$40&gt;='Calcolo interessi'!N24)*'Serie storica tassi'!$B$4:$B$40)&lt;$D$9,SUMPRODUCT(('Serie storica tassi'!$A$4:$A$40&lt;='Calcolo interessi'!N24)*('Serie storica tassi'!$B$4:$B$40&gt;='Calcolo interessi'!N24)*'Serie storica tassi'!$B$4:$B$40),$D$9))</f>
        <v/>
      </c>
      <c r="P24" s="11" t="str">
        <f t="shared" si="4"/>
        <v/>
      </c>
      <c r="Q24" s="10" t="str">
        <f>IF(N24="","",IF(O24=O23,SUMPRODUCT(($F$13:$F$32&lt;=N24)*$D$13:$D$32)-SUMPRODUCT(($O$13:$O23=O24)*$Q$13:$Q23),SUMPRODUCT(($F$13:$F$32&lt;=N24)*$D$13:$D$32)))</f>
        <v/>
      </c>
      <c r="R24" s="10" t="str">
        <f t="shared" si="5"/>
        <v/>
      </c>
      <c r="S24" s="17" t="str">
        <f>IF(O24="","",SUMPRODUCT(('Serie storica tassi'!$A$4:$A$40&lt;='Calcolo interessi'!N24)*('Serie storica tassi'!$B$4:$B$40&gt;='Calcolo interessi'!O24)*'Serie storica tassi'!$E$4:$E$40))</f>
        <v/>
      </c>
      <c r="T24" s="18" t="str">
        <f t="shared" si="6"/>
        <v/>
      </c>
    </row>
    <row r="25" spans="2:20" s="7" customFormat="1" ht="17.25" customHeight="1" thickBot="1" x14ac:dyDescent="0.25">
      <c r="B25" s="33"/>
      <c r="C25" s="34"/>
      <c r="D25" s="35"/>
      <c r="E25" s="34"/>
      <c r="F25" s="34" t="str">
        <f t="shared" si="0"/>
        <v/>
      </c>
      <c r="H25" s="13">
        <v>13</v>
      </c>
      <c r="I25" s="14" t="str">
        <f t="shared" si="1"/>
        <v/>
      </c>
      <c r="J25" s="13" t="str">
        <f>IF(I25="","",IF(ISERROR(VLOOKUP(I25,I$13:I24,1,0)),1,2))</f>
        <v/>
      </c>
      <c r="K25" s="14" t="str">
        <f t="shared" si="3"/>
        <v/>
      </c>
      <c r="L25" s="13"/>
      <c r="M25" s="43" t="str">
        <f>IF((MAX(M$13:M24)+1)&gt;$L$14,"",IF(N25=SMALL($K$13:$K$32,MAX(M$13:M24)+1),MAX(M$13:M24)+1,""))</f>
        <v/>
      </c>
      <c r="N25" s="12" t="str">
        <f>IF(MAX(M$13:M24)+1&gt;$L$14,IF(O24="","",IF($D$9=O24,"",O24+1)),IF(O24="","",IF((SMALL($K$13:$K$32,MAX(M$13:M24)+1))&lt;O24,SMALL($K$13:$K$32,MAX(M$13:M24)+1),IF($D$9=O24,"",O24+1))))</f>
        <v/>
      </c>
      <c r="O25" s="12" t="str">
        <f>IF(N25="","",IF(SUMPRODUCT(('Serie storica tassi'!$A$4:$A$40&lt;='Calcolo interessi'!N25)*('Serie storica tassi'!$B$4:$B$40&gt;='Calcolo interessi'!N25)*'Serie storica tassi'!$B$4:$B$40)&lt;$D$9,SUMPRODUCT(('Serie storica tassi'!$A$4:$A$40&lt;='Calcolo interessi'!N25)*('Serie storica tassi'!$B$4:$B$40&gt;='Calcolo interessi'!N25)*'Serie storica tassi'!$B$4:$B$40),$D$9))</f>
        <v/>
      </c>
      <c r="P25" s="11" t="str">
        <f t="shared" si="4"/>
        <v/>
      </c>
      <c r="Q25" s="10" t="str">
        <f>IF(N25="","",IF(O25=O24,SUMPRODUCT(($F$13:$F$32&lt;=N25)*$D$13:$D$32)-SUMPRODUCT(($O$13:$O24=O25)*$Q$13:$Q24),SUMPRODUCT(($F$13:$F$32&lt;=N25)*$D$13:$D$32)))</f>
        <v/>
      </c>
      <c r="R25" s="10" t="str">
        <f t="shared" si="5"/>
        <v/>
      </c>
      <c r="S25" s="17" t="str">
        <f>IF(O25="","",SUMPRODUCT(('Serie storica tassi'!$A$4:$A$40&lt;='Calcolo interessi'!N25)*('Serie storica tassi'!$B$4:$B$40&gt;='Calcolo interessi'!O25)*'Serie storica tassi'!$E$4:$E$40))</f>
        <v/>
      </c>
      <c r="T25" s="18" t="str">
        <f t="shared" si="6"/>
        <v/>
      </c>
    </row>
    <row r="26" spans="2:20" s="7" customFormat="1" ht="17.25" customHeight="1" thickBot="1" x14ac:dyDescent="0.25">
      <c r="B26" s="33"/>
      <c r="C26" s="34"/>
      <c r="D26" s="35"/>
      <c r="E26" s="34"/>
      <c r="F26" s="34" t="str">
        <f t="shared" si="0"/>
        <v/>
      </c>
      <c r="H26" s="13">
        <v>14</v>
      </c>
      <c r="I26" s="14" t="str">
        <f t="shared" si="1"/>
        <v/>
      </c>
      <c r="J26" s="13" t="str">
        <f>IF(I26="","",IF(ISERROR(VLOOKUP(I26,I$13:I25,1,0)),1,2))</f>
        <v/>
      </c>
      <c r="K26" s="14" t="str">
        <f t="shared" si="3"/>
        <v/>
      </c>
      <c r="L26" s="13"/>
      <c r="M26" s="43" t="str">
        <f>IF((MAX(M$13:M25)+1)&gt;$L$14,"",IF(N26=SMALL($K$13:$K$32,MAX(M$13:M25)+1),MAX(M$13:M25)+1,""))</f>
        <v/>
      </c>
      <c r="N26" s="12" t="str">
        <f>IF(MAX(M$13:M25)+1&gt;$L$14,IF(O25="","",IF($D$9=O25,"",O25+1)),IF(O25="","",IF((SMALL($K$13:$K$32,MAX(M$13:M25)+1))&lt;O25,SMALL($K$13:$K$32,MAX(M$13:M25)+1),IF($D$9=O25,"",O25+1))))</f>
        <v/>
      </c>
      <c r="O26" s="12" t="str">
        <f>IF(N26="","",IF(SUMPRODUCT(('Serie storica tassi'!$A$4:$A$40&lt;='Calcolo interessi'!N26)*('Serie storica tassi'!$B$4:$B$40&gt;='Calcolo interessi'!N26)*'Serie storica tassi'!$B$4:$B$40)&lt;$D$9,SUMPRODUCT(('Serie storica tassi'!$A$4:$A$40&lt;='Calcolo interessi'!N26)*('Serie storica tassi'!$B$4:$B$40&gt;='Calcolo interessi'!N26)*'Serie storica tassi'!$B$4:$B$40),$D$9))</f>
        <v/>
      </c>
      <c r="P26" s="11" t="str">
        <f t="shared" si="4"/>
        <v/>
      </c>
      <c r="Q26" s="10" t="str">
        <f>IF(N26="","",IF(O26=O25,SUMPRODUCT(($F$13:$F$32&lt;=N26)*$D$13:$D$32)-SUMPRODUCT(($O$13:$O25=O26)*$Q$13:$Q25),SUMPRODUCT(($F$13:$F$32&lt;=N26)*$D$13:$D$32)))</f>
        <v/>
      </c>
      <c r="R26" s="10" t="str">
        <f t="shared" si="5"/>
        <v/>
      </c>
      <c r="S26" s="17" t="str">
        <f>IF(O26="","",SUMPRODUCT(('Serie storica tassi'!$A$4:$A$40&lt;='Calcolo interessi'!N26)*('Serie storica tassi'!$B$4:$B$40&gt;='Calcolo interessi'!O26)*'Serie storica tassi'!$E$4:$E$40))</f>
        <v/>
      </c>
      <c r="T26" s="18" t="str">
        <f t="shared" si="6"/>
        <v/>
      </c>
    </row>
    <row r="27" spans="2:20" s="7" customFormat="1" ht="17.25" customHeight="1" thickBot="1" x14ac:dyDescent="0.25">
      <c r="B27" s="33"/>
      <c r="C27" s="34"/>
      <c r="D27" s="35"/>
      <c r="E27" s="34"/>
      <c r="F27" s="34" t="str">
        <f t="shared" si="0"/>
        <v/>
      </c>
      <c r="H27" s="13">
        <v>15</v>
      </c>
      <c r="I27" s="14" t="str">
        <f t="shared" si="1"/>
        <v/>
      </c>
      <c r="J27" s="13" t="str">
        <f>IF(I27="","",IF(ISERROR(VLOOKUP(I27,I$13:I26,1,0)),1,2))</f>
        <v/>
      </c>
      <c r="K27" s="14" t="str">
        <f t="shared" si="3"/>
        <v/>
      </c>
      <c r="L27" s="13"/>
      <c r="M27" s="43" t="str">
        <f>IF((MAX(M$13:M26)+1)&gt;$L$14,"",IF(N27=SMALL($K$13:$K$32,MAX(M$13:M26)+1),MAX(M$13:M26)+1,""))</f>
        <v/>
      </c>
      <c r="N27" s="12" t="str">
        <f>IF(MAX(M$13:M26)+1&gt;$L$14,IF(O26="","",IF($D$9=O26,"",O26+1)),IF(O26="","",IF((SMALL($K$13:$K$32,MAX(M$13:M26)+1))&lt;O26,SMALL($K$13:$K$32,MAX(M$13:M26)+1),IF($D$9=O26,"",O26+1))))</f>
        <v/>
      </c>
      <c r="O27" s="12" t="str">
        <f>IF(N27="","",IF(SUMPRODUCT(('Serie storica tassi'!$A$4:$A$40&lt;='Calcolo interessi'!N27)*('Serie storica tassi'!$B$4:$B$40&gt;='Calcolo interessi'!N27)*'Serie storica tassi'!$B$4:$B$40)&lt;$D$9,SUMPRODUCT(('Serie storica tassi'!$A$4:$A$40&lt;='Calcolo interessi'!N27)*('Serie storica tassi'!$B$4:$B$40&gt;='Calcolo interessi'!N27)*'Serie storica tassi'!$B$4:$B$40),$D$9))</f>
        <v/>
      </c>
      <c r="P27" s="11" t="str">
        <f t="shared" si="4"/>
        <v/>
      </c>
      <c r="Q27" s="10" t="str">
        <f>IF(N27="","",IF(O27=O26,SUMPRODUCT(($F$13:$F$32&lt;=N27)*$D$13:$D$32)-SUMPRODUCT(($O$13:$O26=O27)*$Q$13:$Q26),SUMPRODUCT(($F$13:$F$32&lt;=N27)*$D$13:$D$32)))</f>
        <v/>
      </c>
      <c r="R27" s="10" t="str">
        <f t="shared" si="5"/>
        <v/>
      </c>
      <c r="S27" s="17" t="str">
        <f>IF(O27="","",SUMPRODUCT(('Serie storica tassi'!$A$4:$A$40&lt;='Calcolo interessi'!N27)*('Serie storica tassi'!$B$4:$B$40&gt;='Calcolo interessi'!O27)*'Serie storica tassi'!$E$4:$E$40))</f>
        <v/>
      </c>
      <c r="T27" s="18" t="str">
        <f t="shared" si="6"/>
        <v/>
      </c>
    </row>
    <row r="28" spans="2:20" s="7" customFormat="1" ht="17.25" customHeight="1" thickBot="1" x14ac:dyDescent="0.25">
      <c r="B28" s="33"/>
      <c r="C28" s="34"/>
      <c r="D28" s="35"/>
      <c r="E28" s="34"/>
      <c r="F28" s="34" t="str">
        <f t="shared" si="0"/>
        <v/>
      </c>
      <c r="H28" s="13">
        <v>16</v>
      </c>
      <c r="I28" s="14" t="str">
        <f t="shared" si="1"/>
        <v/>
      </c>
      <c r="J28" s="13" t="str">
        <f>IF(I28="","",IF(ISERROR(VLOOKUP(I28,I$13:I27,1,0)),1,2))</f>
        <v/>
      </c>
      <c r="K28" s="14" t="str">
        <f t="shared" si="3"/>
        <v/>
      </c>
      <c r="L28" s="13"/>
      <c r="M28" s="43" t="str">
        <f>IF((MAX(M$13:M27)+1)&gt;$L$14,"",IF(N28=SMALL($K$13:$K$32,MAX(M$13:M27)+1),MAX(M$13:M27)+1,""))</f>
        <v/>
      </c>
      <c r="N28" s="12" t="str">
        <f>IF(MAX(M$13:M27)+1&gt;$L$14,IF(O27="","",IF($D$9=O27,"",O27+1)),IF(O27="","",IF((SMALL($K$13:$K$32,MAX(M$13:M27)+1))&lt;O27,SMALL($K$13:$K$32,MAX(M$13:M27)+1),IF($D$9=O27,"",O27+1))))</f>
        <v/>
      </c>
      <c r="O28" s="12" t="str">
        <f>IF(N28="","",IF(SUMPRODUCT(('Serie storica tassi'!$A$4:$A$40&lt;='Calcolo interessi'!N28)*('Serie storica tassi'!$B$4:$B$40&gt;='Calcolo interessi'!N28)*'Serie storica tassi'!$B$4:$B$40)&lt;$D$9,SUMPRODUCT(('Serie storica tassi'!$A$4:$A$40&lt;='Calcolo interessi'!N28)*('Serie storica tassi'!$B$4:$B$40&gt;='Calcolo interessi'!N28)*'Serie storica tassi'!$B$4:$B$40),$D$9))</f>
        <v/>
      </c>
      <c r="P28" s="11" t="str">
        <f t="shared" si="4"/>
        <v/>
      </c>
      <c r="Q28" s="10" t="str">
        <f>IF(N28="","",IF(O28=O27,SUMPRODUCT(($F$13:$F$32&lt;=N28)*$D$13:$D$32)-SUMPRODUCT(($O$13:$O27=O28)*$Q$13:$Q27),SUMPRODUCT(($F$13:$F$32&lt;=N28)*$D$13:$D$32)))</f>
        <v/>
      </c>
      <c r="R28" s="10" t="str">
        <f t="shared" si="5"/>
        <v/>
      </c>
      <c r="S28" s="17" t="str">
        <f>IF(O28="","",SUMPRODUCT(('Serie storica tassi'!$A$4:$A$40&lt;='Calcolo interessi'!N28)*('Serie storica tassi'!$B$4:$B$40&gt;='Calcolo interessi'!O28)*'Serie storica tassi'!$E$4:$E$40))</f>
        <v/>
      </c>
      <c r="T28" s="18" t="str">
        <f t="shared" si="6"/>
        <v/>
      </c>
    </row>
    <row r="29" spans="2:20" s="7" customFormat="1" ht="17.25" customHeight="1" thickBot="1" x14ac:dyDescent="0.25">
      <c r="B29" s="33"/>
      <c r="C29" s="34"/>
      <c r="D29" s="35"/>
      <c r="E29" s="34"/>
      <c r="F29" s="34" t="str">
        <f t="shared" si="0"/>
        <v/>
      </c>
      <c r="H29" s="13">
        <v>17</v>
      </c>
      <c r="I29" s="14" t="str">
        <f t="shared" si="1"/>
        <v/>
      </c>
      <c r="J29" s="13" t="str">
        <f>IF(I29="","",IF(ISERROR(VLOOKUP(I29,I$13:I28,1,0)),1,2))</f>
        <v/>
      </c>
      <c r="K29" s="14" t="str">
        <f t="shared" si="3"/>
        <v/>
      </c>
      <c r="L29" s="13"/>
      <c r="M29" s="43" t="str">
        <f>IF((MAX(M$13:M28)+1)&gt;$L$14,"",IF(N29=SMALL($K$13:$K$32,MAX(M$13:M28)+1),MAX(M$13:M28)+1,""))</f>
        <v/>
      </c>
      <c r="N29" s="12" t="str">
        <f>IF(MAX(M$13:M28)+1&gt;$L$14,IF(O28="","",IF($D$9=O28,"",O28+1)),IF(O28="","",IF((SMALL($K$13:$K$32,MAX(M$13:M28)+1))&lt;O28,SMALL($K$13:$K$32,MAX(M$13:M28)+1),IF($D$9=O28,"",O28+1))))</f>
        <v/>
      </c>
      <c r="O29" s="12" t="str">
        <f>IF(N29="","",IF(SUMPRODUCT(('Serie storica tassi'!$A$4:$A$40&lt;='Calcolo interessi'!N29)*('Serie storica tassi'!$B$4:$B$40&gt;='Calcolo interessi'!N29)*'Serie storica tassi'!$B$4:$B$40)&lt;$D$9,SUMPRODUCT(('Serie storica tassi'!$A$4:$A$40&lt;='Calcolo interessi'!N29)*('Serie storica tassi'!$B$4:$B$40&gt;='Calcolo interessi'!N29)*'Serie storica tassi'!$B$4:$B$40),$D$9))</f>
        <v/>
      </c>
      <c r="P29" s="11" t="str">
        <f t="shared" si="4"/>
        <v/>
      </c>
      <c r="Q29" s="10" t="str">
        <f>IF(N29="","",IF(O29=O28,SUMPRODUCT(($F$13:$F$32&lt;=N29)*$D$13:$D$32)-SUMPRODUCT(($O$13:$O28=O29)*$Q$13:$Q28),SUMPRODUCT(($F$13:$F$32&lt;=N29)*$D$13:$D$32)))</f>
        <v/>
      </c>
      <c r="R29" s="10" t="str">
        <f t="shared" si="5"/>
        <v/>
      </c>
      <c r="S29" s="17" t="str">
        <f>IF(O29="","",SUMPRODUCT(('Serie storica tassi'!$A$4:$A$40&lt;='Calcolo interessi'!N29)*('Serie storica tassi'!$B$4:$B$40&gt;='Calcolo interessi'!O29)*'Serie storica tassi'!$E$4:$E$40))</f>
        <v/>
      </c>
      <c r="T29" s="18" t="str">
        <f t="shared" si="6"/>
        <v/>
      </c>
    </row>
    <row r="30" spans="2:20" s="7" customFormat="1" ht="17.25" customHeight="1" thickBot="1" x14ac:dyDescent="0.25">
      <c r="B30" s="33"/>
      <c r="C30" s="34"/>
      <c r="D30" s="35"/>
      <c r="E30" s="34"/>
      <c r="F30" s="34" t="str">
        <f t="shared" si="0"/>
        <v/>
      </c>
      <c r="H30" s="13">
        <v>18</v>
      </c>
      <c r="I30" s="14" t="str">
        <f t="shared" si="1"/>
        <v/>
      </c>
      <c r="J30" s="13" t="str">
        <f>IF(I30="","",IF(ISERROR(VLOOKUP(I30,I$13:I29,1,0)),1,2))</f>
        <v/>
      </c>
      <c r="K30" s="14" t="str">
        <f t="shared" si="3"/>
        <v/>
      </c>
      <c r="L30" s="13"/>
      <c r="M30" s="43" t="str">
        <f>IF((MAX(M$13:M29)+1)&gt;$L$14,"",IF(N30=SMALL($K$13:$K$32,MAX(M$13:M29)+1),MAX(M$13:M29)+1,""))</f>
        <v/>
      </c>
      <c r="N30" s="12" t="str">
        <f>IF(MAX(M$13:M29)+1&gt;$L$14,IF(O29="","",IF($D$9=O29,"",O29+1)),IF(O29="","",IF((SMALL($K$13:$K$32,MAX(M$13:M29)+1))&lt;O29,SMALL($K$13:$K$32,MAX(M$13:M29)+1),IF($D$9=O29,"",O29+1))))</f>
        <v/>
      </c>
      <c r="O30" s="12" t="str">
        <f>IF(N30="","",IF(SUMPRODUCT(('Serie storica tassi'!$A$4:$A$40&lt;='Calcolo interessi'!N30)*('Serie storica tassi'!$B$4:$B$40&gt;='Calcolo interessi'!N30)*'Serie storica tassi'!$B$4:$B$40)&lt;$D$9,SUMPRODUCT(('Serie storica tassi'!$A$4:$A$40&lt;='Calcolo interessi'!N30)*('Serie storica tassi'!$B$4:$B$40&gt;='Calcolo interessi'!N30)*'Serie storica tassi'!$B$4:$B$40),$D$9))</f>
        <v/>
      </c>
      <c r="P30" s="11" t="str">
        <f t="shared" si="4"/>
        <v/>
      </c>
      <c r="Q30" s="10" t="str">
        <f>IF(N30="","",IF(O30=O29,SUMPRODUCT(($F$13:$F$32&lt;=N30)*$D$13:$D$32)-SUMPRODUCT(($O$13:$O29=O30)*$Q$13:$Q29),SUMPRODUCT(($F$13:$F$32&lt;=N30)*$D$13:$D$32)))</f>
        <v/>
      </c>
      <c r="R30" s="10" t="str">
        <f t="shared" si="5"/>
        <v/>
      </c>
      <c r="S30" s="17" t="str">
        <f>IF(O30="","",SUMPRODUCT(('Serie storica tassi'!$A$4:$A$40&lt;='Calcolo interessi'!N30)*('Serie storica tassi'!$B$4:$B$40&gt;='Calcolo interessi'!O30)*'Serie storica tassi'!$E$4:$E$40))</f>
        <v/>
      </c>
      <c r="T30" s="18" t="str">
        <f t="shared" si="6"/>
        <v/>
      </c>
    </row>
    <row r="31" spans="2:20" s="7" customFormat="1" ht="17.25" customHeight="1" thickBot="1" x14ac:dyDescent="0.25">
      <c r="B31" s="33"/>
      <c r="C31" s="34"/>
      <c r="D31" s="35"/>
      <c r="E31" s="34"/>
      <c r="F31" s="34" t="str">
        <f t="shared" si="0"/>
        <v/>
      </c>
      <c r="H31" s="13">
        <v>19</v>
      </c>
      <c r="I31" s="14" t="str">
        <f t="shared" si="1"/>
        <v/>
      </c>
      <c r="J31" s="13" t="str">
        <f>IF(I31="","",IF(ISERROR(VLOOKUP(I31,I$13:I30,1,0)),1,2))</f>
        <v/>
      </c>
      <c r="K31" s="14" t="str">
        <f t="shared" si="3"/>
        <v/>
      </c>
      <c r="L31" s="13"/>
      <c r="M31" s="43" t="str">
        <f>IF((MAX(M$13:M30)+1)&gt;$L$14,"",IF(N31=SMALL($K$13:$K$32,MAX(M$13:M30)+1),MAX(M$13:M30)+1,""))</f>
        <v/>
      </c>
      <c r="N31" s="12" t="str">
        <f>IF(MAX(M$13:M30)+1&gt;$L$14,IF(O30="","",IF($D$9=O30,"",O30+1)),IF(O30="","",IF((SMALL($K$13:$K$32,MAX(M$13:M30)+1))&lt;O30,SMALL($K$13:$K$32,MAX(M$13:M30)+1),IF($D$9=O30,"",O30+1))))</f>
        <v/>
      </c>
      <c r="O31" s="12" t="str">
        <f>IF(N31="","",IF(SUMPRODUCT(('Serie storica tassi'!$A$4:$A$40&lt;='Calcolo interessi'!N31)*('Serie storica tassi'!$B$4:$B$40&gt;='Calcolo interessi'!N31)*'Serie storica tassi'!$B$4:$B$40)&lt;$D$9,SUMPRODUCT(('Serie storica tassi'!$A$4:$A$40&lt;='Calcolo interessi'!N31)*('Serie storica tassi'!$B$4:$B$40&gt;='Calcolo interessi'!N31)*'Serie storica tassi'!$B$4:$B$40),$D$9))</f>
        <v/>
      </c>
      <c r="P31" s="11" t="str">
        <f t="shared" si="4"/>
        <v/>
      </c>
      <c r="Q31" s="10" t="str">
        <f>IF(N31="","",IF(O31=O30,SUMPRODUCT(($F$13:$F$32&lt;=N31)*$D$13:$D$32)-SUMPRODUCT(($O$13:$O30=O31)*$Q$13:$Q30),SUMPRODUCT(($F$13:$F$32&lt;=N31)*$D$13:$D$32)))</f>
        <v/>
      </c>
      <c r="R31" s="10" t="str">
        <f t="shared" si="5"/>
        <v/>
      </c>
      <c r="S31" s="17" t="str">
        <f>IF(O31="","",SUMPRODUCT(('Serie storica tassi'!$A$4:$A$40&lt;='Calcolo interessi'!N31)*('Serie storica tassi'!$B$4:$B$40&gt;='Calcolo interessi'!O31)*'Serie storica tassi'!$E$4:$E$40))</f>
        <v/>
      </c>
      <c r="T31" s="18" t="str">
        <f t="shared" si="6"/>
        <v/>
      </c>
    </row>
    <row r="32" spans="2:20" s="7" customFormat="1" ht="17.25" customHeight="1" thickBot="1" x14ac:dyDescent="0.25">
      <c r="B32" s="36"/>
      <c r="C32" s="37"/>
      <c r="D32" s="38"/>
      <c r="E32" s="37"/>
      <c r="F32" s="37" t="str">
        <f t="shared" si="0"/>
        <v/>
      </c>
      <c r="H32" s="13">
        <v>20</v>
      </c>
      <c r="I32" s="14" t="str">
        <f t="shared" si="1"/>
        <v/>
      </c>
      <c r="J32" s="13" t="str">
        <f>IF(I32="","",IF(ISERROR(VLOOKUP(I32,I$13:I31,1,0)),1,2))</f>
        <v/>
      </c>
      <c r="K32" s="14" t="str">
        <f t="shared" si="3"/>
        <v/>
      </c>
      <c r="L32" s="13"/>
      <c r="M32" s="43" t="str">
        <f>IF((MAX(M$13:M31)+1)&gt;$L$14,"",IF(N32=SMALL($K$13:$K$32,MAX(M$13:M31)+1),MAX(M$13:M31)+1,""))</f>
        <v/>
      </c>
      <c r="N32" s="20" t="str">
        <f>IF(MAX(M$13:M31)+1&gt;$L$14,IF(O31="","",IF($D$9=O31,"",O31+1)),IF(O31="","",IF((SMALL($K$13:$K$32,MAX(M$13:M31)+1))&lt;O31,SMALL($K$13:$K$32,MAX(M$13:M31)+1),IF($D$9=O31,"",O31+1))))</f>
        <v/>
      </c>
      <c r="O32" s="20" t="str">
        <f>IF(N32="","",IF(SUMPRODUCT(('Serie storica tassi'!$A$4:$A$40&lt;='Calcolo interessi'!N32)*('Serie storica tassi'!$B$4:$B$40&gt;='Calcolo interessi'!N32)*'Serie storica tassi'!$B$4:$B$40)&lt;$D$9,SUMPRODUCT(('Serie storica tassi'!$A$4:$A$40&lt;='Calcolo interessi'!N32)*('Serie storica tassi'!$B$4:$B$40&gt;='Calcolo interessi'!N32)*'Serie storica tassi'!$B$4:$B$40),$D$9))</f>
        <v/>
      </c>
      <c r="P32" s="19" t="str">
        <f t="shared" si="4"/>
        <v/>
      </c>
      <c r="Q32" s="21" t="str">
        <f>IF(N32="","",IF(O32=O31,SUMPRODUCT(($F$13:$F$32&lt;=N32)*$D$13:$D$32)-SUMPRODUCT(($O$13:$O31=O32)*$Q$13:$Q31),SUMPRODUCT(($F$13:$F$32&lt;=N32)*$D$13:$D$32)))</f>
        <v/>
      </c>
      <c r="R32" s="21" t="str">
        <f t="shared" si="5"/>
        <v/>
      </c>
      <c r="S32" s="22" t="str">
        <f>IF(O32="","",SUMPRODUCT(('Serie storica tassi'!$A$4:$A$40&lt;='Calcolo interessi'!N32)*('Serie storica tassi'!$B$4:$B$40&gt;='Calcolo interessi'!O32)*'Serie storica tassi'!$E$4:$E$40))</f>
        <v/>
      </c>
      <c r="T32" s="23" t="str">
        <f t="shared" si="6"/>
        <v/>
      </c>
    </row>
    <row r="33" spans="2:20" ht="19.5" customHeight="1" x14ac:dyDescent="0.25">
      <c r="B33" s="50"/>
      <c r="C33" s="51" t="s">
        <v>26</v>
      </c>
      <c r="D33" s="52">
        <f>SUM(D13:D32)</f>
        <v>19000</v>
      </c>
      <c r="E33" s="50"/>
      <c r="F33" s="50"/>
      <c r="N33" s="24"/>
      <c r="O33" s="24"/>
      <c r="P33" s="24"/>
      <c r="Q33" s="24"/>
      <c r="R33" s="24"/>
      <c r="S33" s="48" t="s">
        <v>26</v>
      </c>
      <c r="T33" s="56">
        <f>SUM(T13:T32)</f>
        <v>585.97</v>
      </c>
    </row>
  </sheetData>
  <sheetProtection password="D566" sheet="1" objects="1" scenarios="1" selectLockedCells="1"/>
  <mergeCells count="5">
    <mergeCell ref="P4:P9"/>
    <mergeCell ref="Q2:T3"/>
    <mergeCell ref="C7:F7"/>
    <mergeCell ref="G2:H2"/>
    <mergeCell ref="B2:F4"/>
  </mergeCells>
  <hyperlinks>
    <hyperlink ref="F5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showGridLines="0" showRowColHeaders="0" workbookViewId="0">
      <selection activeCell="C33" sqref="C33"/>
    </sheetView>
  </sheetViews>
  <sheetFormatPr defaultRowHeight="15" x14ac:dyDescent="0.25"/>
  <cols>
    <col min="1" max="5" width="17" customWidth="1"/>
  </cols>
  <sheetData>
    <row r="1" spans="1:6" ht="34.5" customHeight="1" x14ac:dyDescent="0.25">
      <c r="A1" s="73" t="s">
        <v>0</v>
      </c>
      <c r="B1" s="73"/>
      <c r="C1" s="73"/>
      <c r="D1" s="73"/>
      <c r="E1" s="73"/>
    </row>
    <row r="2" spans="1:6" ht="15.75" thickBot="1" x14ac:dyDescent="0.3"/>
    <row r="3" spans="1:6" ht="30" customHeight="1" thickBot="1" x14ac:dyDescent="0.3">
      <c r="A3" s="4" t="s">
        <v>4</v>
      </c>
      <c r="B3" s="5" t="s">
        <v>5</v>
      </c>
      <c r="C3" s="5" t="s">
        <v>2</v>
      </c>
      <c r="D3" s="5" t="s">
        <v>1</v>
      </c>
      <c r="E3" s="6" t="s">
        <v>3</v>
      </c>
    </row>
    <row r="4" spans="1:6" s="2" customFormat="1" ht="17.25" customHeight="1" thickBot="1" x14ac:dyDescent="0.25">
      <c r="A4" s="29">
        <v>37438</v>
      </c>
      <c r="B4" s="29">
        <v>37621</v>
      </c>
      <c r="C4" s="26">
        <v>3.3500000000000002E-2</v>
      </c>
      <c r="D4" s="26">
        <v>7.0000000000000007E-2</v>
      </c>
      <c r="E4" s="28">
        <f>C4+D4</f>
        <v>0.10350000000000001</v>
      </c>
      <c r="F4" s="1"/>
    </row>
    <row r="5" spans="1:6" s="2" customFormat="1" ht="17.25" customHeight="1" thickBot="1" x14ac:dyDescent="0.25">
      <c r="A5" s="29">
        <v>37622</v>
      </c>
      <c r="B5" s="29">
        <v>37802</v>
      </c>
      <c r="C5" s="26">
        <v>2.8500000000000001E-2</v>
      </c>
      <c r="D5" s="26">
        <v>7.0000000000000007E-2</v>
      </c>
      <c r="E5" s="28">
        <f t="shared" ref="E5:E40" si="0">C5+D5</f>
        <v>9.8500000000000004E-2</v>
      </c>
      <c r="F5" s="1"/>
    </row>
    <row r="6" spans="1:6" s="2" customFormat="1" ht="17.25" customHeight="1" thickBot="1" x14ac:dyDescent="0.25">
      <c r="A6" s="29">
        <v>37803</v>
      </c>
      <c r="B6" s="29">
        <v>37986</v>
      </c>
      <c r="C6" s="26">
        <v>2.1000000000000001E-2</v>
      </c>
      <c r="D6" s="26">
        <v>7.0000000000000007E-2</v>
      </c>
      <c r="E6" s="28">
        <f t="shared" si="0"/>
        <v>9.1000000000000011E-2</v>
      </c>
      <c r="F6" s="1"/>
    </row>
    <row r="7" spans="1:6" s="2" customFormat="1" ht="17.25" customHeight="1" thickBot="1" x14ac:dyDescent="0.25">
      <c r="A7" s="29">
        <v>37987</v>
      </c>
      <c r="B7" s="29">
        <v>38168</v>
      </c>
      <c r="C7" s="26">
        <v>2.0199999999999999E-2</v>
      </c>
      <c r="D7" s="26">
        <v>7.0000000000000007E-2</v>
      </c>
      <c r="E7" s="28">
        <f t="shared" si="0"/>
        <v>9.0200000000000002E-2</v>
      </c>
      <c r="F7" s="1"/>
    </row>
    <row r="8" spans="1:6" s="2" customFormat="1" ht="17.25" customHeight="1" thickBot="1" x14ac:dyDescent="0.25">
      <c r="A8" s="29">
        <v>38169</v>
      </c>
      <c r="B8" s="29">
        <v>38352</v>
      </c>
      <c r="C8" s="26">
        <v>2.01E-2</v>
      </c>
      <c r="D8" s="26">
        <v>7.0000000000000007E-2</v>
      </c>
      <c r="E8" s="28">
        <f t="shared" si="0"/>
        <v>9.0100000000000013E-2</v>
      </c>
      <c r="F8" s="1"/>
    </row>
    <row r="9" spans="1:6" s="2" customFormat="1" ht="17.25" customHeight="1" thickBot="1" x14ac:dyDescent="0.25">
      <c r="A9" s="29">
        <v>38353</v>
      </c>
      <c r="B9" s="29">
        <v>38533</v>
      </c>
      <c r="C9" s="26">
        <v>2.0899999999999998E-2</v>
      </c>
      <c r="D9" s="26">
        <v>7.0000000000000007E-2</v>
      </c>
      <c r="E9" s="28">
        <f t="shared" si="0"/>
        <v>9.0900000000000009E-2</v>
      </c>
      <c r="F9" s="1"/>
    </row>
    <row r="10" spans="1:6" s="2" customFormat="1" ht="17.25" customHeight="1" thickBot="1" x14ac:dyDescent="0.25">
      <c r="A10" s="29">
        <v>38534</v>
      </c>
      <c r="B10" s="29">
        <v>38717</v>
      </c>
      <c r="C10" s="26">
        <v>2.0500000000000001E-2</v>
      </c>
      <c r="D10" s="26">
        <v>7.0000000000000007E-2</v>
      </c>
      <c r="E10" s="28">
        <f t="shared" si="0"/>
        <v>9.0500000000000011E-2</v>
      </c>
      <c r="F10" s="1"/>
    </row>
    <row r="11" spans="1:6" s="2" customFormat="1" ht="17.25" customHeight="1" thickBot="1" x14ac:dyDescent="0.25">
      <c r="A11" s="29">
        <v>38718</v>
      </c>
      <c r="B11" s="29">
        <v>38898</v>
      </c>
      <c r="C11" s="26">
        <v>2.2499999999999999E-2</v>
      </c>
      <c r="D11" s="26">
        <v>7.0000000000000007E-2</v>
      </c>
      <c r="E11" s="28">
        <f t="shared" si="0"/>
        <v>9.2499999999999999E-2</v>
      </c>
      <c r="F11" s="1"/>
    </row>
    <row r="12" spans="1:6" s="2" customFormat="1" ht="17.25" customHeight="1" thickBot="1" x14ac:dyDescent="0.25">
      <c r="A12" s="29">
        <v>38899</v>
      </c>
      <c r="B12" s="29">
        <v>39082</v>
      </c>
      <c r="C12" s="26">
        <v>2.8299999999999999E-2</v>
      </c>
      <c r="D12" s="26">
        <v>7.0000000000000007E-2</v>
      </c>
      <c r="E12" s="28">
        <f t="shared" si="0"/>
        <v>9.8299999999999998E-2</v>
      </c>
      <c r="F12" s="1"/>
    </row>
    <row r="13" spans="1:6" s="2" customFormat="1" ht="17.25" customHeight="1" thickBot="1" x14ac:dyDescent="0.25">
      <c r="A13" s="29">
        <v>39083</v>
      </c>
      <c r="B13" s="29">
        <v>39263</v>
      </c>
      <c r="C13" s="26">
        <v>3.5799999999999998E-2</v>
      </c>
      <c r="D13" s="26">
        <v>7.0000000000000007E-2</v>
      </c>
      <c r="E13" s="28">
        <f t="shared" si="0"/>
        <v>0.10580000000000001</v>
      </c>
      <c r="F13" s="1"/>
    </row>
    <row r="14" spans="1:6" s="2" customFormat="1" ht="17.25" customHeight="1" thickBot="1" x14ac:dyDescent="0.25">
      <c r="A14" s="29">
        <v>39264</v>
      </c>
      <c r="B14" s="29">
        <v>39447</v>
      </c>
      <c r="C14" s="26">
        <v>4.07E-2</v>
      </c>
      <c r="D14" s="26">
        <v>7.0000000000000007E-2</v>
      </c>
      <c r="E14" s="28">
        <f t="shared" si="0"/>
        <v>0.11070000000000001</v>
      </c>
      <c r="F14" s="1"/>
    </row>
    <row r="15" spans="1:6" s="2" customFormat="1" ht="17.25" customHeight="1" thickBot="1" x14ac:dyDescent="0.25">
      <c r="A15" s="29">
        <v>39448</v>
      </c>
      <c r="B15" s="29">
        <v>39629</v>
      </c>
      <c r="C15" s="26">
        <v>4.2000000000000003E-2</v>
      </c>
      <c r="D15" s="26">
        <v>7.0000000000000007E-2</v>
      </c>
      <c r="E15" s="28">
        <f t="shared" si="0"/>
        <v>0.11200000000000002</v>
      </c>
      <c r="F15" s="1"/>
    </row>
    <row r="16" spans="1:6" s="2" customFormat="1" ht="17.25" customHeight="1" thickBot="1" x14ac:dyDescent="0.25">
      <c r="A16" s="29">
        <v>39630</v>
      </c>
      <c r="B16" s="29">
        <v>39813</v>
      </c>
      <c r="C16" s="26">
        <v>4.1000000000000002E-2</v>
      </c>
      <c r="D16" s="26">
        <v>7.0000000000000007E-2</v>
      </c>
      <c r="E16" s="28">
        <f t="shared" si="0"/>
        <v>0.11100000000000002</v>
      </c>
      <c r="F16" s="1"/>
    </row>
    <row r="17" spans="1:6" s="2" customFormat="1" ht="17.25" customHeight="1" thickBot="1" x14ac:dyDescent="0.25">
      <c r="A17" s="29">
        <v>39814</v>
      </c>
      <c r="B17" s="29">
        <v>39994</v>
      </c>
      <c r="C17" s="26">
        <v>2.5000000000000001E-2</v>
      </c>
      <c r="D17" s="26">
        <v>7.0000000000000007E-2</v>
      </c>
      <c r="E17" s="28">
        <f t="shared" si="0"/>
        <v>9.5000000000000001E-2</v>
      </c>
      <c r="F17" s="1"/>
    </row>
    <row r="18" spans="1:6" s="2" customFormat="1" ht="17.25" customHeight="1" thickBot="1" x14ac:dyDescent="0.25">
      <c r="A18" s="29">
        <v>39995</v>
      </c>
      <c r="B18" s="29">
        <v>40178</v>
      </c>
      <c r="C18" s="26">
        <v>0.01</v>
      </c>
      <c r="D18" s="26">
        <v>7.0000000000000007E-2</v>
      </c>
      <c r="E18" s="28">
        <f t="shared" si="0"/>
        <v>0.08</v>
      </c>
      <c r="F18" s="1"/>
    </row>
    <row r="19" spans="1:6" s="2" customFormat="1" ht="17.25" customHeight="1" thickBot="1" x14ac:dyDescent="0.25">
      <c r="A19" s="29">
        <v>40179</v>
      </c>
      <c r="B19" s="29">
        <v>40359</v>
      </c>
      <c r="C19" s="26">
        <v>0.01</v>
      </c>
      <c r="D19" s="26">
        <v>7.0000000000000007E-2</v>
      </c>
      <c r="E19" s="28">
        <f t="shared" si="0"/>
        <v>0.08</v>
      </c>
      <c r="F19" s="1"/>
    </row>
    <row r="20" spans="1:6" s="2" customFormat="1" ht="17.25" customHeight="1" thickBot="1" x14ac:dyDescent="0.25">
      <c r="A20" s="29">
        <v>40360</v>
      </c>
      <c r="B20" s="29">
        <v>40543</v>
      </c>
      <c r="C20" s="26">
        <v>0.01</v>
      </c>
      <c r="D20" s="26">
        <v>7.0000000000000007E-2</v>
      </c>
      <c r="E20" s="28">
        <f t="shared" si="0"/>
        <v>0.08</v>
      </c>
      <c r="F20" s="1"/>
    </row>
    <row r="21" spans="1:6" s="2" customFormat="1" ht="17.25" customHeight="1" thickBot="1" x14ac:dyDescent="0.25">
      <c r="A21" s="29">
        <v>40544</v>
      </c>
      <c r="B21" s="29">
        <v>40724</v>
      </c>
      <c r="C21" s="26">
        <v>0.01</v>
      </c>
      <c r="D21" s="26">
        <v>7.0000000000000007E-2</v>
      </c>
      <c r="E21" s="28">
        <f t="shared" si="0"/>
        <v>0.08</v>
      </c>
      <c r="F21" s="1"/>
    </row>
    <row r="22" spans="1:6" s="2" customFormat="1" ht="17.25" customHeight="1" thickBot="1" x14ac:dyDescent="0.25">
      <c r="A22" s="29">
        <v>40725</v>
      </c>
      <c r="B22" s="29">
        <v>40908</v>
      </c>
      <c r="C22" s="26">
        <v>1.2500000000000001E-2</v>
      </c>
      <c r="D22" s="26">
        <v>7.0000000000000007E-2</v>
      </c>
      <c r="E22" s="28">
        <f t="shared" si="0"/>
        <v>8.2500000000000004E-2</v>
      </c>
      <c r="F22" s="1"/>
    </row>
    <row r="23" spans="1:6" s="2" customFormat="1" ht="17.25" customHeight="1" thickBot="1" x14ac:dyDescent="0.25">
      <c r="A23" s="29">
        <v>40909</v>
      </c>
      <c r="B23" s="29">
        <v>41090</v>
      </c>
      <c r="C23" s="26">
        <v>0.01</v>
      </c>
      <c r="D23" s="26">
        <v>7.0000000000000007E-2</v>
      </c>
      <c r="E23" s="28">
        <f t="shared" si="0"/>
        <v>0.08</v>
      </c>
      <c r="F23" s="1"/>
    </row>
    <row r="24" spans="1:6" s="2" customFormat="1" ht="17.25" customHeight="1" thickBot="1" x14ac:dyDescent="0.25">
      <c r="A24" s="29">
        <v>41091</v>
      </c>
      <c r="B24" s="29">
        <v>41274</v>
      </c>
      <c r="C24" s="26">
        <v>0.01</v>
      </c>
      <c r="D24" s="26">
        <v>7.0000000000000007E-2</v>
      </c>
      <c r="E24" s="28">
        <f t="shared" si="0"/>
        <v>0.08</v>
      </c>
      <c r="F24" s="1"/>
    </row>
    <row r="25" spans="1:6" s="2" customFormat="1" ht="17.25" customHeight="1" thickBot="1" x14ac:dyDescent="0.25">
      <c r="A25" s="29">
        <v>41275</v>
      </c>
      <c r="B25" s="29">
        <v>41455</v>
      </c>
      <c r="C25" s="26">
        <v>7.4999999999999997E-3</v>
      </c>
      <c r="D25" s="26">
        <v>0.08</v>
      </c>
      <c r="E25" s="28">
        <f t="shared" si="0"/>
        <v>8.7499999999999994E-2</v>
      </c>
      <c r="F25" s="1"/>
    </row>
    <row r="26" spans="1:6" s="2" customFormat="1" ht="17.25" customHeight="1" thickBot="1" x14ac:dyDescent="0.25">
      <c r="A26" s="29">
        <v>41456</v>
      </c>
      <c r="B26" s="29">
        <v>41639</v>
      </c>
      <c r="C26" s="26">
        <v>5.0000000000000001E-3</v>
      </c>
      <c r="D26" s="26">
        <v>0.08</v>
      </c>
      <c r="E26" s="28">
        <f t="shared" si="0"/>
        <v>8.5000000000000006E-2</v>
      </c>
      <c r="F26" s="1"/>
    </row>
    <row r="27" spans="1:6" s="2" customFormat="1" ht="17.25" customHeight="1" thickBot="1" x14ac:dyDescent="0.25">
      <c r="A27" s="29">
        <v>41640</v>
      </c>
      <c r="B27" s="29">
        <v>41820</v>
      </c>
      <c r="C27" s="26">
        <v>2.5000000000000001E-3</v>
      </c>
      <c r="D27" s="26">
        <v>0.08</v>
      </c>
      <c r="E27" s="28">
        <f t="shared" si="0"/>
        <v>8.2500000000000004E-2</v>
      </c>
      <c r="F27" s="1"/>
    </row>
    <row r="28" spans="1:6" s="2" customFormat="1" ht="17.25" customHeight="1" thickBot="1" x14ac:dyDescent="0.25">
      <c r="A28" s="29">
        <v>41821</v>
      </c>
      <c r="B28" s="29">
        <v>42004</v>
      </c>
      <c r="C28" s="26">
        <v>1.5E-3</v>
      </c>
      <c r="D28" s="26">
        <v>0.08</v>
      </c>
      <c r="E28" s="28">
        <f t="shared" si="0"/>
        <v>8.1500000000000003E-2</v>
      </c>
      <c r="F28" s="1"/>
    </row>
    <row r="29" spans="1:6" s="2" customFormat="1" ht="17.25" customHeight="1" thickBot="1" x14ac:dyDescent="0.25">
      <c r="A29" s="29">
        <v>42005</v>
      </c>
      <c r="B29" s="29">
        <v>42185</v>
      </c>
      <c r="C29" s="26">
        <v>5.0000000000000001E-4</v>
      </c>
      <c r="D29" s="26">
        <v>0.08</v>
      </c>
      <c r="E29" s="28">
        <f t="shared" si="0"/>
        <v>8.0500000000000002E-2</v>
      </c>
      <c r="F29" s="1"/>
    </row>
    <row r="30" spans="1:6" s="2" customFormat="1" ht="17.25" customHeight="1" thickBot="1" x14ac:dyDescent="0.25">
      <c r="A30" s="29">
        <v>42186</v>
      </c>
      <c r="B30" s="29">
        <v>42369</v>
      </c>
      <c r="C30" s="26">
        <v>5.0000000000000001E-4</v>
      </c>
      <c r="D30" s="26">
        <v>0.08</v>
      </c>
      <c r="E30" s="28">
        <f t="shared" si="0"/>
        <v>8.0500000000000002E-2</v>
      </c>
      <c r="F30" s="1"/>
    </row>
    <row r="31" spans="1:6" s="2" customFormat="1" ht="17.25" customHeight="1" thickBot="1" x14ac:dyDescent="0.25">
      <c r="A31" s="29">
        <v>42370</v>
      </c>
      <c r="B31" s="29">
        <v>42551</v>
      </c>
      <c r="C31" s="26">
        <v>5.0000000000000001E-4</v>
      </c>
      <c r="D31" s="26">
        <v>0.08</v>
      </c>
      <c r="E31" s="28">
        <f t="shared" si="0"/>
        <v>8.0500000000000002E-2</v>
      </c>
      <c r="F31" s="1"/>
    </row>
    <row r="32" spans="1:6" s="2" customFormat="1" ht="17.25" customHeight="1" thickBot="1" x14ac:dyDescent="0.25">
      <c r="A32" s="29">
        <v>42552</v>
      </c>
      <c r="B32" s="29">
        <v>42735</v>
      </c>
      <c r="C32" s="26">
        <v>0</v>
      </c>
      <c r="D32" s="26">
        <v>0.08</v>
      </c>
      <c r="E32" s="28">
        <f t="shared" si="0"/>
        <v>0.08</v>
      </c>
      <c r="F32" s="1"/>
    </row>
    <row r="33" spans="1:6" s="2" customFormat="1" ht="17.25" customHeight="1" thickBot="1" x14ac:dyDescent="0.25">
      <c r="A33" s="29">
        <v>42736</v>
      </c>
      <c r="B33" s="29">
        <v>42916</v>
      </c>
      <c r="C33" s="27"/>
      <c r="D33" s="27"/>
      <c r="E33" s="28">
        <f t="shared" si="0"/>
        <v>0</v>
      </c>
      <c r="F33" s="1"/>
    </row>
    <row r="34" spans="1:6" s="2" customFormat="1" ht="17.25" customHeight="1" thickBot="1" x14ac:dyDescent="0.25">
      <c r="A34" s="29">
        <v>42917</v>
      </c>
      <c r="B34" s="29">
        <v>43100</v>
      </c>
      <c r="C34" s="27"/>
      <c r="D34" s="27"/>
      <c r="E34" s="28">
        <f t="shared" si="0"/>
        <v>0</v>
      </c>
    </row>
    <row r="35" spans="1:6" s="2" customFormat="1" ht="17.25" customHeight="1" thickBot="1" x14ac:dyDescent="0.25">
      <c r="A35" s="29">
        <v>43101</v>
      </c>
      <c r="B35" s="29">
        <v>43281</v>
      </c>
      <c r="C35" s="27"/>
      <c r="D35" s="27"/>
      <c r="E35" s="28">
        <f t="shared" si="0"/>
        <v>0</v>
      </c>
    </row>
    <row r="36" spans="1:6" s="2" customFormat="1" ht="17.25" customHeight="1" thickBot="1" x14ac:dyDescent="0.25">
      <c r="A36" s="29">
        <v>43282</v>
      </c>
      <c r="B36" s="29">
        <v>43465</v>
      </c>
      <c r="C36" s="27"/>
      <c r="D36" s="27"/>
      <c r="E36" s="28">
        <f t="shared" si="0"/>
        <v>0</v>
      </c>
    </row>
    <row r="37" spans="1:6" s="2" customFormat="1" ht="17.25" customHeight="1" thickBot="1" x14ac:dyDescent="0.25">
      <c r="A37" s="29">
        <v>43466</v>
      </c>
      <c r="B37" s="29">
        <v>43646</v>
      </c>
      <c r="C37" s="27"/>
      <c r="D37" s="27"/>
      <c r="E37" s="28">
        <f t="shared" si="0"/>
        <v>0</v>
      </c>
    </row>
    <row r="38" spans="1:6" s="2" customFormat="1" ht="17.25" customHeight="1" thickBot="1" x14ac:dyDescent="0.25">
      <c r="A38" s="29">
        <v>43647</v>
      </c>
      <c r="B38" s="29">
        <v>43830</v>
      </c>
      <c r="C38" s="27"/>
      <c r="D38" s="27"/>
      <c r="E38" s="28">
        <f t="shared" si="0"/>
        <v>0</v>
      </c>
    </row>
    <row r="39" spans="1:6" s="2" customFormat="1" ht="17.25" customHeight="1" thickBot="1" x14ac:dyDescent="0.25">
      <c r="A39" s="29">
        <v>43831</v>
      </c>
      <c r="B39" s="29">
        <v>44012</v>
      </c>
      <c r="C39" s="27"/>
      <c r="D39" s="27"/>
      <c r="E39" s="28">
        <f t="shared" si="0"/>
        <v>0</v>
      </c>
    </row>
    <row r="40" spans="1:6" s="2" customFormat="1" ht="17.25" customHeight="1" thickBot="1" x14ac:dyDescent="0.25">
      <c r="A40" s="29">
        <v>44013</v>
      </c>
      <c r="B40" s="29">
        <v>44196</v>
      </c>
      <c r="C40" s="27"/>
      <c r="D40" s="27"/>
      <c r="E40" s="28">
        <f t="shared" si="0"/>
        <v>0</v>
      </c>
    </row>
  </sheetData>
  <sheetProtection password="D566" sheet="1" objects="1" scenarios="1" selectLockedCells="1"/>
  <mergeCells count="1"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Calcolo interessi</vt:lpstr>
      <vt:lpstr>Serie storica tassi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 Pastorelli</dc:creator>
  <cp:lastModifiedBy>Carlo Pastorelli</cp:lastModifiedBy>
  <dcterms:created xsi:type="dcterms:W3CDTF">2016-09-01T09:26:07Z</dcterms:created>
  <dcterms:modified xsi:type="dcterms:W3CDTF">2016-11-21T13:54:54Z</dcterms:modified>
</cp:coreProperties>
</file>