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luca.imperiale\Documents\Gianluca\Progetto Blog\Valutazione d'Azienda\"/>
    </mc:Choice>
  </mc:AlternateContent>
  <bookViews>
    <workbookView xWindow="0" yWindow="0" windowWidth="24000" windowHeight="8835"/>
  </bookViews>
  <sheets>
    <sheet name="View" sheetId="2" r:id="rId1"/>
    <sheet name="Composizione Fonti" sheetId="4" r:id="rId2"/>
    <sheet name="Variabili Finanziarie" sheetId="5" r:id="rId3"/>
    <sheet name="Economico" sheetId="1" r:id="rId4"/>
    <sheet name="SP Previsionale" sheetId="8" r:id="rId5"/>
    <sheet name="Banca" sheetId="7" r:id="rId6"/>
    <sheet name="Circolante" sheetId="6" r:id="rId7"/>
    <sheet name="Wacc" sheetId="9" r:id="rId8"/>
    <sheet name="Eva" sheetId="11" r:id="rId9"/>
    <sheet name="Valutazione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G4" i="11"/>
  <c r="C4" i="11"/>
  <c r="D4" i="11"/>
  <c r="E4" i="11"/>
  <c r="F4" i="11"/>
  <c r="B4" i="11"/>
  <c r="C3" i="11"/>
  <c r="D3" i="11"/>
  <c r="E3" i="11"/>
  <c r="F3" i="11"/>
  <c r="B3" i="11"/>
  <c r="D13" i="6" l="1"/>
  <c r="E13" i="6"/>
  <c r="F13" i="6"/>
  <c r="G13" i="6"/>
  <c r="C13" i="6"/>
  <c r="D6" i="6"/>
  <c r="E6" i="6"/>
  <c r="F6" i="6"/>
  <c r="G6" i="6"/>
  <c r="C6" i="6"/>
  <c r="C39" i="1"/>
  <c r="D39" i="1"/>
  <c r="E39" i="1"/>
  <c r="F39" i="1"/>
  <c r="B39" i="1"/>
  <c r="E15" i="10" l="1"/>
  <c r="F15" i="10"/>
  <c r="G15" i="10"/>
  <c r="H15" i="10"/>
  <c r="D15" i="10"/>
  <c r="F12" i="10"/>
  <c r="G12" i="10"/>
  <c r="H12" i="10"/>
  <c r="E12" i="10"/>
  <c r="D12" i="10"/>
  <c r="E6" i="10"/>
  <c r="F6" i="10"/>
  <c r="G6" i="10"/>
  <c r="H6" i="10"/>
  <c r="D6" i="10"/>
  <c r="E5" i="10" l="1"/>
  <c r="F5" i="10"/>
  <c r="G5" i="10"/>
  <c r="H5" i="10"/>
  <c r="D5" i="10"/>
  <c r="D10" i="9"/>
  <c r="E10" i="9"/>
  <c r="F10" i="9"/>
  <c r="G10" i="9"/>
  <c r="C10" i="9"/>
  <c r="D7" i="9"/>
  <c r="E7" i="9"/>
  <c r="F7" i="9"/>
  <c r="G7" i="9"/>
  <c r="D8" i="9"/>
  <c r="E8" i="9"/>
  <c r="F8" i="9"/>
  <c r="G8" i="9"/>
  <c r="C8" i="9"/>
  <c r="C7" i="9"/>
  <c r="D4" i="9" l="1"/>
  <c r="D19" i="9" s="1"/>
  <c r="E4" i="9"/>
  <c r="E19" i="9" s="1"/>
  <c r="F4" i="9"/>
  <c r="F19" i="9" s="1"/>
  <c r="G4" i="9"/>
  <c r="G19" i="9" s="1"/>
  <c r="C4" i="9"/>
  <c r="C19" i="9" s="1"/>
  <c r="E5" i="8"/>
  <c r="F5" i="8"/>
  <c r="D5" i="8"/>
  <c r="G10" i="10" s="1"/>
  <c r="C5" i="8"/>
  <c r="F10" i="10" s="1"/>
  <c r="B31" i="1"/>
  <c r="C9" i="7"/>
  <c r="D9" i="7"/>
  <c r="E9" i="7"/>
  <c r="F9" i="7"/>
  <c r="B9" i="7"/>
  <c r="B6" i="8"/>
  <c r="C6" i="8" s="1"/>
  <c r="D6" i="8" s="1"/>
  <c r="E6" i="8" s="1"/>
  <c r="F6" i="8" s="1"/>
  <c r="B5" i="8"/>
  <c r="B16" i="8"/>
  <c r="C16" i="8" s="1"/>
  <c r="D16" i="8" s="1"/>
  <c r="E16" i="8" s="1"/>
  <c r="F16" i="8" s="1"/>
  <c r="B15" i="8"/>
  <c r="C15" i="8" s="1"/>
  <c r="D15" i="8" s="1"/>
  <c r="E15" i="8" s="1"/>
  <c r="F15" i="8" s="1"/>
  <c r="B14" i="8"/>
  <c r="C14" i="8" s="1"/>
  <c r="D14" i="8" s="1"/>
  <c r="E14" i="8" s="1"/>
  <c r="F14" i="8" s="1"/>
  <c r="C13" i="8"/>
  <c r="D12" i="9" s="1"/>
  <c r="D13" i="8"/>
  <c r="E13" i="8"/>
  <c r="F13" i="8"/>
  <c r="B13" i="8"/>
  <c r="B8" i="7"/>
  <c r="B41" i="1"/>
  <c r="D4" i="10" s="1"/>
  <c r="D8" i="10" s="1"/>
  <c r="D10" i="6"/>
  <c r="D11" i="6" s="1"/>
  <c r="D19" i="6" s="1"/>
  <c r="E10" i="6"/>
  <c r="E11" i="6" s="1"/>
  <c r="E19" i="6" s="1"/>
  <c r="F10" i="6"/>
  <c r="G10" i="6"/>
  <c r="G11" i="6" s="1"/>
  <c r="G19" i="6" s="1"/>
  <c r="C10" i="6"/>
  <c r="C11" i="6" s="1"/>
  <c r="C19" i="6" s="1"/>
  <c r="D12" i="6"/>
  <c r="E12" i="6"/>
  <c r="F12" i="6"/>
  <c r="G12" i="6"/>
  <c r="C12" i="6"/>
  <c r="F11" i="6"/>
  <c r="F19" i="6" s="1"/>
  <c r="F6" i="11" l="1"/>
  <c r="E6" i="11"/>
  <c r="D6" i="11"/>
  <c r="C6" i="11"/>
  <c r="B6" i="11"/>
  <c r="G11" i="10"/>
  <c r="F12" i="9"/>
  <c r="F11" i="10"/>
  <c r="F13" i="10" s="1"/>
  <c r="E12" i="9"/>
  <c r="H11" i="10"/>
  <c r="G12" i="9"/>
  <c r="G13" i="10"/>
  <c r="E11" i="10"/>
  <c r="D11" i="10"/>
  <c r="C12" i="9"/>
  <c r="H10" i="10"/>
  <c r="H13" i="10" s="1"/>
  <c r="E10" i="10"/>
  <c r="E13" i="10" s="1"/>
  <c r="D10" i="10"/>
  <c r="D13" i="10" s="1"/>
  <c r="D17" i="10" s="1"/>
  <c r="B10" i="7"/>
  <c r="B17" i="8" s="1"/>
  <c r="C5" i="9" s="1"/>
  <c r="G14" i="6"/>
  <c r="F6" i="7" s="1"/>
  <c r="F14" i="6"/>
  <c r="E6" i="7" s="1"/>
  <c r="E14" i="6" l="1"/>
  <c r="D6" i="7" s="1"/>
  <c r="D14" i="6"/>
  <c r="C6" i="7" s="1"/>
  <c r="C14" i="6"/>
  <c r="B6" i="7" s="1"/>
  <c r="D5" i="6" l="1"/>
  <c r="E5" i="6"/>
  <c r="F5" i="6"/>
  <c r="G5" i="6"/>
  <c r="C5" i="6"/>
  <c r="D3" i="6"/>
  <c r="D4" i="6" s="1"/>
  <c r="D18" i="6" s="1"/>
  <c r="D20" i="6" s="1"/>
  <c r="D21" i="6" s="1"/>
  <c r="E3" i="6"/>
  <c r="E4" i="6" s="1"/>
  <c r="E18" i="6" s="1"/>
  <c r="E20" i="6" s="1"/>
  <c r="E21" i="6" s="1"/>
  <c r="F3" i="6"/>
  <c r="F4" i="6" s="1"/>
  <c r="F18" i="6" s="1"/>
  <c r="F20" i="6" s="1"/>
  <c r="F21" i="6" s="1"/>
  <c r="G3" i="6"/>
  <c r="G4" i="6" s="1"/>
  <c r="G18" i="6" s="1"/>
  <c r="G20" i="6" s="1"/>
  <c r="G21" i="6" s="1"/>
  <c r="C3" i="6"/>
  <c r="C4" i="6" s="1"/>
  <c r="C18" i="6" s="1"/>
  <c r="C20" i="6" s="1"/>
  <c r="C21" i="6" s="1"/>
  <c r="D7" i="6" l="1"/>
  <c r="C3" i="7" s="1"/>
  <c r="G7" i="6"/>
  <c r="F3" i="7" s="1"/>
  <c r="F7" i="6"/>
  <c r="E3" i="7" s="1"/>
  <c r="C7" i="6"/>
  <c r="B3" i="7" s="1"/>
  <c r="E7" i="6" l="1"/>
  <c r="D3" i="7" s="1"/>
  <c r="E7" i="4"/>
  <c r="F7" i="4" s="1"/>
  <c r="G7" i="4" s="1"/>
  <c r="H7" i="4" s="1"/>
  <c r="I7" i="4" s="1"/>
  <c r="C18" i="1"/>
  <c r="D18" i="1"/>
  <c r="D15" i="1" s="1"/>
  <c r="E18" i="1"/>
  <c r="E15" i="1" s="1"/>
  <c r="E7" i="7" s="1"/>
  <c r="F18" i="1"/>
  <c r="F15" i="1" s="1"/>
  <c r="F7" i="7" s="1"/>
  <c r="B18" i="1"/>
  <c r="B3" i="1"/>
  <c r="D2" i="4"/>
  <c r="E2" i="4" s="1"/>
  <c r="F2" i="4" s="1"/>
  <c r="G2" i="4" s="1"/>
  <c r="H2" i="4" s="1"/>
  <c r="I2" i="4" s="1"/>
  <c r="C15" i="1"/>
  <c r="C7" i="7" s="1"/>
  <c r="C21" i="1"/>
  <c r="D21" i="1"/>
  <c r="E21" i="1"/>
  <c r="F21" i="1"/>
  <c r="C9" i="1"/>
  <c r="D9" i="1"/>
  <c r="E9" i="1"/>
  <c r="F9" i="1"/>
  <c r="C2" i="6" l="1"/>
  <c r="B2" i="7" s="1"/>
  <c r="B3" i="8" s="1"/>
  <c r="D3" i="10"/>
  <c r="C2" i="9"/>
  <c r="D7" i="7"/>
  <c r="D31" i="1"/>
  <c r="D33" i="1" s="1"/>
  <c r="C31" i="1"/>
  <c r="C33" i="1" s="1"/>
  <c r="F31" i="1"/>
  <c r="F33" i="1" s="1"/>
  <c r="E31" i="1"/>
  <c r="E33" i="1" s="1"/>
  <c r="C2" i="5"/>
  <c r="D2" i="5" s="1"/>
  <c r="E2" i="5" s="1"/>
  <c r="F2" i="5" s="1"/>
  <c r="G2" i="5" s="1"/>
  <c r="B21" i="1"/>
  <c r="B15" i="1"/>
  <c r="B9" i="1"/>
  <c r="E38" i="1" l="1"/>
  <c r="F38" i="1"/>
  <c r="F41" i="1"/>
  <c r="H4" i="10" s="1"/>
  <c r="H8" i="10" s="1"/>
  <c r="H17" i="10" s="1"/>
  <c r="I17" i="10" s="1"/>
  <c r="C41" i="1"/>
  <c r="E4" i="10" s="1"/>
  <c r="E8" i="10" s="1"/>
  <c r="E17" i="10" s="1"/>
  <c r="C38" i="1"/>
  <c r="D38" i="1"/>
  <c r="D8" i="7" s="1"/>
  <c r="B7" i="7"/>
  <c r="B33" i="1"/>
  <c r="C3" i="1"/>
  <c r="D2" i="6" l="1"/>
  <c r="C2" i="7" s="1"/>
  <c r="C3" i="8" s="1"/>
  <c r="E3" i="10"/>
  <c r="D2" i="9"/>
  <c r="C10" i="7"/>
  <c r="C17" i="8"/>
  <c r="D5" i="9" s="1"/>
  <c r="D41" i="1"/>
  <c r="F10" i="7"/>
  <c r="E8" i="7"/>
  <c r="C8" i="7"/>
  <c r="C12" i="7" s="1"/>
  <c r="F8" i="7"/>
  <c r="E41" i="1"/>
  <c r="B12" i="7"/>
  <c r="B13" i="7" s="1"/>
  <c r="B38" i="1"/>
  <c r="D3" i="1"/>
  <c r="E2" i="6" l="1"/>
  <c r="D2" i="7" s="1"/>
  <c r="D3" i="8" s="1"/>
  <c r="F3" i="10"/>
  <c r="E2" i="9"/>
  <c r="E10" i="7"/>
  <c r="G4" i="10"/>
  <c r="G8" i="10" s="1"/>
  <c r="G17" i="10" s="1"/>
  <c r="D10" i="7"/>
  <c r="D12" i="7" s="1"/>
  <c r="F4" i="10"/>
  <c r="F8" i="10" s="1"/>
  <c r="F17" i="10" s="1"/>
  <c r="F12" i="7"/>
  <c r="E12" i="7"/>
  <c r="D17" i="8"/>
  <c r="C13" i="7"/>
  <c r="B4" i="8"/>
  <c r="B8" i="8" s="1"/>
  <c r="B12" i="8"/>
  <c r="E3" i="1"/>
  <c r="F2" i="6" l="1"/>
  <c r="E2" i="7" s="1"/>
  <c r="E3" i="8" s="1"/>
  <c r="G3" i="10"/>
  <c r="F2" i="9"/>
  <c r="B19" i="8"/>
  <c r="C14" i="9"/>
  <c r="C17" i="9" s="1"/>
  <c r="E17" i="8"/>
  <c r="E5" i="9"/>
  <c r="D13" i="7"/>
  <c r="C4" i="8"/>
  <c r="C8" i="8" s="1"/>
  <c r="C12" i="8"/>
  <c r="F3" i="1"/>
  <c r="D19" i="10" l="1"/>
  <c r="D21" i="10" s="1"/>
  <c r="B7" i="11"/>
  <c r="C20" i="9"/>
  <c r="G2" i="6"/>
  <c r="F2" i="7" s="1"/>
  <c r="F3" i="8" s="1"/>
  <c r="H3" i="10"/>
  <c r="G2" i="9"/>
  <c r="C19" i="8"/>
  <c r="D14" i="9"/>
  <c r="D17" i="9" s="1"/>
  <c r="F17" i="8"/>
  <c r="G5" i="9" s="1"/>
  <c r="F5" i="9"/>
  <c r="E13" i="7"/>
  <c r="D12" i="8"/>
  <c r="D4" i="8"/>
  <c r="D8" i="8" s="1"/>
  <c r="E19" i="10" l="1"/>
  <c r="E21" i="10" s="1"/>
  <c r="C7" i="11"/>
  <c r="D20" i="9"/>
  <c r="B8" i="11"/>
  <c r="B10" i="11" s="1"/>
  <c r="B13" i="11"/>
  <c r="D19" i="8"/>
  <c r="E14" i="9"/>
  <c r="E17" i="9" s="1"/>
  <c r="F13" i="7"/>
  <c r="E4" i="8"/>
  <c r="E8" i="8" s="1"/>
  <c r="E12" i="8"/>
  <c r="F19" i="10" l="1"/>
  <c r="F21" i="10" s="1"/>
  <c r="D7" i="11"/>
  <c r="E20" i="9"/>
  <c r="C8" i="11"/>
  <c r="C10" i="11" s="1"/>
  <c r="C13" i="11"/>
  <c r="B14" i="11"/>
  <c r="E19" i="8"/>
  <c r="F14" i="9"/>
  <c r="F17" i="9" s="1"/>
  <c r="F12" i="8"/>
  <c r="F4" i="8"/>
  <c r="F8" i="8" s="1"/>
  <c r="C14" i="11" l="1"/>
  <c r="D8" i="11"/>
  <c r="D10" i="11" s="1"/>
  <c r="D13" i="11"/>
  <c r="G19" i="10"/>
  <c r="G21" i="10" s="1"/>
  <c r="E7" i="11"/>
  <c r="F20" i="9"/>
  <c r="F19" i="8"/>
  <c r="G14" i="9"/>
  <c r="G17" i="9" s="1"/>
  <c r="D14" i="11" l="1"/>
  <c r="H19" i="10"/>
  <c r="F7" i="11"/>
  <c r="G20" i="9"/>
  <c r="E8" i="11"/>
  <c r="E10" i="11" s="1"/>
  <c r="E14" i="11" s="1"/>
  <c r="E13" i="11"/>
  <c r="H21" i="10"/>
  <c r="I19" i="10"/>
  <c r="I22" i="10" s="1"/>
  <c r="D24" i="10" s="1"/>
  <c r="F8" i="11" l="1"/>
  <c r="G7" i="11"/>
  <c r="G13" i="11" s="1"/>
  <c r="F13" i="11"/>
  <c r="G8" i="11" l="1"/>
  <c r="G11" i="11" s="1"/>
  <c r="G14" i="11" s="1"/>
  <c r="F10" i="11"/>
  <c r="F14" i="11" s="1"/>
  <c r="B16" i="11" s="1"/>
  <c r="B18" i="11" s="1"/>
</calcChain>
</file>

<file path=xl/sharedStrings.xml><?xml version="1.0" encoding="utf-8"?>
<sst xmlns="http://schemas.openxmlformats.org/spreadsheetml/2006/main" count="159" uniqueCount="122">
  <si>
    <t>CONTO ECONOMICO PREVISIONALE</t>
  </si>
  <si>
    <t>A) VALORE DELLA PRODUZIONE</t>
  </si>
  <si>
    <t xml:space="preserve">   1) Ricavi delle vendite e delle prestazioni</t>
  </si>
  <si>
    <t xml:space="preserve">   2) Variazioni delle rimanenze di prodotti in corso di lavorazione, semilavorati e finiti</t>
  </si>
  <si>
    <t xml:space="preserve">   3) Variazioni dei lavori in corso su ordinazione</t>
  </si>
  <si>
    <t xml:space="preserve">   4) Incrementi di immobilizzazioni per lavori interni</t>
  </si>
  <si>
    <t xml:space="preserve">   5) Altri ricavi e proventi (totale)</t>
  </si>
  <si>
    <t>TOTALE VALORE DELLA PRODUZIONE</t>
  </si>
  <si>
    <t>B) COSTI DELLA PRODUZIONE</t>
  </si>
  <si>
    <t xml:space="preserve">   6) Per materie prime,sussidiarie, di consumo e di merci</t>
  </si>
  <si>
    <t xml:space="preserve">   7) Per servizi</t>
  </si>
  <si>
    <t xml:space="preserve">   8) Per godimento beni di terzi</t>
  </si>
  <si>
    <t xml:space="preserve">   9) Per il personale (totale)</t>
  </si>
  <si>
    <t xml:space="preserve">        a) Salari e stipendi</t>
  </si>
  <si>
    <t xml:space="preserve">        b) Oneri sociali</t>
  </si>
  <si>
    <t xml:space="preserve">        c) Trattamento di fine rapporto</t>
  </si>
  <si>
    <t xml:space="preserve">        d) Trattamento di quiescenza e simili</t>
  </si>
  <si>
    <t xml:space="preserve">        e) Altri costi</t>
  </si>
  <si>
    <t>10) Ammortamenti e svalutazioni (totale)</t>
  </si>
  <si>
    <t xml:space="preserve">        a) Ammortamento delle immobilizzazioni immateriali</t>
  </si>
  <si>
    <t xml:space="preserve">        b) Ammortamento delle immobilizzazioni materiali</t>
  </si>
  <si>
    <t xml:space="preserve">        c) Altre svalutazioni delle immobilizzazioni</t>
  </si>
  <si>
    <t xml:space="preserve">        d) Svalutazione dei crediti compresi nell'attivo circolante </t>
  </si>
  <si>
    <t xml:space="preserve">            e delle disponibilità liquide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</si>
  <si>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</si>
  <si>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</si>
  <si>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</si>
  <si>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</si>
  <si>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</si>
  <si>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</t>
  </si>
  <si>
    <t>NOME AZIENDA</t>
  </si>
  <si>
    <t>gg dilazione</t>
  </si>
  <si>
    <t>% Distribuzione Utile</t>
  </si>
  <si>
    <t>Finanziamenti m/l Termine</t>
  </si>
  <si>
    <t>STEP 1</t>
  </si>
  <si>
    <t>STEP 2</t>
  </si>
  <si>
    <t>Inserire i dati mensili del Conto Economico Previsionale</t>
  </si>
  <si>
    <t>STEP 4</t>
  </si>
  <si>
    <t>STEP 5</t>
  </si>
  <si>
    <t>ANNO VALUTAZIONE</t>
  </si>
  <si>
    <t>VAI</t>
  </si>
  <si>
    <t>TORNA MENU</t>
  </si>
  <si>
    <t>STEP 3</t>
  </si>
  <si>
    <t>Capitale Sociale e Riserve</t>
  </si>
  <si>
    <t>Utili non distribuiti</t>
  </si>
  <si>
    <t>Inserire Composizione Fonti Finanziamento</t>
  </si>
  <si>
    <t>Inserire variabili Finanziarie</t>
  </si>
  <si>
    <t>Aliquota Iva Vendite</t>
  </si>
  <si>
    <t>Aliquota Iva Acquisti</t>
  </si>
  <si>
    <t>GG dilazione Crediti</t>
  </si>
  <si>
    <t>CELLE INPUT</t>
  </si>
  <si>
    <t>Fondi</t>
  </si>
  <si>
    <t>Altri finanziamenti</t>
  </si>
  <si>
    <t>Debiti v/Fornitori</t>
  </si>
  <si>
    <t>Debiti breve Banca</t>
  </si>
  <si>
    <t>Vendite Merci/Altri Ricavi</t>
  </si>
  <si>
    <t>Iva a Debito</t>
  </si>
  <si>
    <t>Crediti Commerciali</t>
  </si>
  <si>
    <t>Incassi</t>
  </si>
  <si>
    <t>Acquisti</t>
  </si>
  <si>
    <t>Iva a Credito</t>
  </si>
  <si>
    <t>Debiti Commerciali</t>
  </si>
  <si>
    <t>Pagamenti</t>
  </si>
  <si>
    <t>GG dilazione Debiti</t>
  </si>
  <si>
    <t>Liquidazione Iva</t>
  </si>
  <si>
    <t>SALDO IVA</t>
  </si>
  <si>
    <t>Pagamenti Fornitori</t>
  </si>
  <si>
    <t>Dipendenti</t>
  </si>
  <si>
    <t>Banca</t>
  </si>
  <si>
    <t>IRES</t>
  </si>
  <si>
    <t>IRAP</t>
  </si>
  <si>
    <t>IRES -&gt; inserire aliquota Ires</t>
  </si>
  <si>
    <t>IRAP -&gt; inserire aliquota Irap</t>
  </si>
  <si>
    <t>REDDITO OPERATIVO DOPO IMPOSTE</t>
  </si>
  <si>
    <t>Imposte</t>
  </si>
  <si>
    <t>TOTALE ATTIVO</t>
  </si>
  <si>
    <t>Fondo TFR</t>
  </si>
  <si>
    <t>Fondo Amm.to</t>
  </si>
  <si>
    <t>Altri Fondi</t>
  </si>
  <si>
    <t>Saldo Finanziario</t>
  </si>
  <si>
    <t xml:space="preserve">Banca </t>
  </si>
  <si>
    <t>Distribuzione Utili</t>
  </si>
  <si>
    <t>Utile Non Distribuito</t>
  </si>
  <si>
    <t>Rimanenze</t>
  </si>
  <si>
    <t>TOTALE PASSIVO</t>
  </si>
  <si>
    <t>Totale Attivo</t>
  </si>
  <si>
    <t>Iva</t>
  </si>
  <si>
    <t xml:space="preserve">Inserire costo capitale medio </t>
  </si>
  <si>
    <t>WACC</t>
  </si>
  <si>
    <t xml:space="preserve">I N P U T </t>
  </si>
  <si>
    <t>REPORT</t>
  </si>
  <si>
    <t>VALORE AZIENDA</t>
  </si>
  <si>
    <t>COSTO MEDIO PONDERATO CAPITALE</t>
  </si>
  <si>
    <t>STATO PATRIMONIALE PREVISIONALE</t>
  </si>
  <si>
    <t>CALCOLO CIRCOLANTE</t>
  </si>
  <si>
    <t>CALCOLO BANCA</t>
  </si>
  <si>
    <t xml:space="preserve">REDDITO OPERATIVO </t>
  </si>
  <si>
    <t>AMMORTAMENTI</t>
  </si>
  <si>
    <t>ACCANTONAMENTI</t>
  </si>
  <si>
    <t>MARGINE OPERATIVO LORDO</t>
  </si>
  <si>
    <t>Variazione Crediti</t>
  </si>
  <si>
    <t>Variazione Debiti</t>
  </si>
  <si>
    <t>Variazione Magazzino</t>
  </si>
  <si>
    <t>Variazione Circolante Netto</t>
  </si>
  <si>
    <t>Flusso Cassa Rettificato</t>
  </si>
  <si>
    <t>Wacc</t>
  </si>
  <si>
    <t>dal 6 anno</t>
  </si>
  <si>
    <t>Rendita Perperua dal 6° anno</t>
  </si>
  <si>
    <t>Flussi attualizzati</t>
  </si>
  <si>
    <t>XXXXXX</t>
  </si>
  <si>
    <t>WWW.BPEXCEL.IT</t>
  </si>
  <si>
    <t xml:space="preserve">TOTALE CAPITALE </t>
  </si>
  <si>
    <t>VALORE AZIENDA - METODO FINANZIARIO</t>
  </si>
  <si>
    <t>VALORE AZIENDA - METODO EVA</t>
  </si>
  <si>
    <t>Capitale Investito</t>
  </si>
  <si>
    <t>Wacc * Capitale Investito</t>
  </si>
  <si>
    <t>EVA</t>
  </si>
  <si>
    <t>DAL 6° anno</t>
  </si>
  <si>
    <t>EVA perpetua dal 6° anno</t>
  </si>
  <si>
    <t>EVA ATTUALIZZATI</t>
  </si>
  <si>
    <t>Valore Attuale Eva</t>
  </si>
  <si>
    <t>Capitale Netto Rettificato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</si>
</sst>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19"/>
      </left>
      <right style="dashed">
        <color indexed="19"/>
      </right>
      <top style="thin">
        <color indexed="19"/>
      </top>
      <bottom style="dashed">
        <color indexed="1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" fontId="4" fillId="3" borderId="3" xfId="2" applyNumberFormat="1" applyFont="1" applyFill="1" applyBorder="1"/>
    <xf numFmtId="0" fontId="0" fillId="2" borderId="0" xfId="0" applyFill="1" applyBorder="1"/>
    <xf numFmtId="0" fontId="2" fillId="2" borderId="4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0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10" xfId="0" applyFont="1" applyFill="1" applyBorder="1"/>
    <xf numFmtId="3" fontId="2" fillId="2" borderId="5" xfId="0" applyNumberFormat="1" applyFont="1" applyFill="1" applyBorder="1" applyAlignment="1">
      <alignment horizontal="center"/>
    </xf>
    <xf numFmtId="9" fontId="4" fillId="3" borderId="3" xfId="1" applyFont="1" applyFill="1" applyBorder="1"/>
    <xf numFmtId="0" fontId="0" fillId="0" borderId="0" xfId="0" quotePrefix="1"/>
    <xf numFmtId="3" fontId="0" fillId="0" borderId="0" xfId="0" applyNumberFormat="1"/>
    <xf numFmtId="0" fontId="5" fillId="0" borderId="0" xfId="3"/>
    <xf numFmtId="4" fontId="6" fillId="3" borderId="3" xfId="2" applyNumberFormat="1" applyFont="1" applyFill="1" applyBorder="1"/>
    <xf numFmtId="9" fontId="6" fillId="3" borderId="3" xfId="1" applyFont="1" applyFill="1" applyBorder="1"/>
    <xf numFmtId="164" fontId="6" fillId="3" borderId="3" xfId="2" applyNumberFormat="1" applyFont="1" applyFill="1" applyBorder="1"/>
    <xf numFmtId="164" fontId="0" fillId="0" borderId="0" xfId="0" applyNumberFormat="1"/>
    <xf numFmtId="0" fontId="7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2" fillId="2" borderId="8" xfId="0" applyNumberFormat="1" applyFont="1" applyFill="1" applyBorder="1"/>
    <xf numFmtId="164" fontId="0" fillId="2" borderId="8" xfId="0" applyNumberFormat="1" applyFont="1" applyFill="1" applyBorder="1"/>
    <xf numFmtId="3" fontId="0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9" fontId="6" fillId="3" borderId="3" xfId="1" applyFont="1" applyFill="1" applyBorder="1" applyAlignment="1">
      <alignment horizontal="center"/>
    </xf>
    <xf numFmtId="165" fontId="6" fillId="3" borderId="3" xfId="1" applyNumberFormat="1" applyFont="1" applyFill="1" applyBorder="1" applyAlignment="1">
      <alignment horizontal="center"/>
    </xf>
    <xf numFmtId="164" fontId="2" fillId="2" borderId="7" xfId="0" applyNumberFormat="1" applyFont="1" applyFill="1" applyBorder="1"/>
    <xf numFmtId="164" fontId="2" fillId="2" borderId="11" xfId="0" applyNumberFormat="1" applyFont="1" applyFill="1" applyBorder="1"/>
    <xf numFmtId="164" fontId="2" fillId="0" borderId="0" xfId="0" applyNumberFormat="1" applyFont="1"/>
    <xf numFmtId="164" fontId="0" fillId="2" borderId="0" xfId="0" applyNumberFormat="1" applyFont="1" applyFill="1" applyBorder="1"/>
    <xf numFmtId="10" fontId="2" fillId="0" borderId="0" xfId="1" applyNumberFormat="1" applyFont="1"/>
    <xf numFmtId="0" fontId="0" fillId="0" borderId="0" xfId="0" applyAlignment="1">
      <alignment horizontal="center"/>
    </xf>
    <xf numFmtId="0" fontId="0" fillId="3" borderId="18" xfId="0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0" fillId="3" borderId="19" xfId="0" applyFill="1" applyBorder="1" applyAlignment="1">
      <alignment horizontal="center" wrapText="1"/>
    </xf>
    <xf numFmtId="0" fontId="5" fillId="5" borderId="15" xfId="3" applyFill="1" applyBorder="1" applyAlignment="1">
      <alignment horizontal="center"/>
    </xf>
    <xf numFmtId="0" fontId="0" fillId="3" borderId="20" xfId="0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7" xfId="3" applyFill="1" applyBorder="1" applyAlignment="1">
      <alignment horizontal="center"/>
    </xf>
    <xf numFmtId="10" fontId="0" fillId="0" borderId="0" xfId="0" applyNumberFormat="1"/>
    <xf numFmtId="3" fontId="0" fillId="0" borderId="0" xfId="0" applyNumberFormat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21" xfId="0" applyFont="1" applyBorder="1"/>
    <xf numFmtId="164" fontId="2" fillId="0" borderId="22" xfId="0" applyNumberFormat="1" applyFont="1" applyBorder="1"/>
    <xf numFmtId="0" fontId="0" fillId="4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0" fontId="0" fillId="2" borderId="8" xfId="1" applyNumberFormat="1" applyFont="1" applyFill="1" applyBorder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e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Economico!A1"/><Relationship Id="rId7" Type="http://schemas.openxmlformats.org/officeDocument/2006/relationships/hyperlink" Target="#Eva!A1"/><Relationship Id="rId2" Type="http://schemas.openxmlformats.org/officeDocument/2006/relationships/hyperlink" Target="#Wacc!A1"/><Relationship Id="rId1" Type="http://schemas.openxmlformats.org/officeDocument/2006/relationships/hyperlink" Target="#Valutazione!A1"/><Relationship Id="rId6" Type="http://schemas.openxmlformats.org/officeDocument/2006/relationships/hyperlink" Target="#Banca!A1"/><Relationship Id="rId5" Type="http://schemas.openxmlformats.org/officeDocument/2006/relationships/hyperlink" Target="#Circolante!A1"/><Relationship Id="rId4" Type="http://schemas.openxmlformats.org/officeDocument/2006/relationships/hyperlink" Target="#'SP Previsional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12</xdr:row>
      <xdr:rowOff>57150</xdr:rowOff>
    </xdr:from>
    <xdr:to>
      <xdr:col>4</xdr:col>
      <xdr:colOff>457200</xdr:colOff>
      <xdr:row>12</xdr:row>
      <xdr:rowOff>152400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6057900" y="2562225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14</xdr:row>
      <xdr:rowOff>66675</xdr:rowOff>
    </xdr:from>
    <xdr:to>
      <xdr:col>4</xdr:col>
      <xdr:colOff>466725</xdr:colOff>
      <xdr:row>14</xdr:row>
      <xdr:rowOff>161925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6067425" y="2762250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15</xdr:row>
      <xdr:rowOff>66675</xdr:rowOff>
    </xdr:from>
    <xdr:to>
      <xdr:col>4</xdr:col>
      <xdr:colOff>466725</xdr:colOff>
      <xdr:row>15</xdr:row>
      <xdr:rowOff>161925</xdr:rowOff>
    </xdr:to>
    <xdr:sp macro="" textlink="">
      <xdr:nvSpPr>
        <xdr:cNvPr id="5" name="Right Arrow 4">
          <a:hlinkClick xmlns:r="http://schemas.openxmlformats.org/officeDocument/2006/relationships" r:id="rId3"/>
        </xdr:cNvPr>
        <xdr:cNvSpPr/>
      </xdr:nvSpPr>
      <xdr:spPr>
        <a:xfrm>
          <a:off x="6067425" y="2952750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16</xdr:row>
      <xdr:rowOff>57150</xdr:rowOff>
    </xdr:from>
    <xdr:to>
      <xdr:col>4</xdr:col>
      <xdr:colOff>466725</xdr:colOff>
      <xdr:row>16</xdr:row>
      <xdr:rowOff>152400</xdr:rowOff>
    </xdr:to>
    <xdr:sp macro="" textlink="">
      <xdr:nvSpPr>
        <xdr:cNvPr id="6" name="Right Arrow 5">
          <a:hlinkClick xmlns:r="http://schemas.openxmlformats.org/officeDocument/2006/relationships" r:id="rId4"/>
        </xdr:cNvPr>
        <xdr:cNvSpPr/>
      </xdr:nvSpPr>
      <xdr:spPr>
        <a:xfrm>
          <a:off x="6067425" y="3133725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17</xdr:row>
      <xdr:rowOff>57150</xdr:rowOff>
    </xdr:from>
    <xdr:to>
      <xdr:col>4</xdr:col>
      <xdr:colOff>466725</xdr:colOff>
      <xdr:row>17</xdr:row>
      <xdr:rowOff>152400</xdr:rowOff>
    </xdr:to>
    <xdr:sp macro="" textlink="">
      <xdr:nvSpPr>
        <xdr:cNvPr id="7" name="Right Arrow 6">
          <a:hlinkClick xmlns:r="http://schemas.openxmlformats.org/officeDocument/2006/relationships" r:id="rId5"/>
        </xdr:cNvPr>
        <xdr:cNvSpPr/>
      </xdr:nvSpPr>
      <xdr:spPr>
        <a:xfrm>
          <a:off x="6067425" y="3324225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18</xdr:row>
      <xdr:rowOff>57150</xdr:rowOff>
    </xdr:from>
    <xdr:to>
      <xdr:col>4</xdr:col>
      <xdr:colOff>466725</xdr:colOff>
      <xdr:row>18</xdr:row>
      <xdr:rowOff>152400</xdr:rowOff>
    </xdr:to>
    <xdr:sp macro="" textlink="">
      <xdr:nvSpPr>
        <xdr:cNvPr id="8" name="Right Arrow 7">
          <a:hlinkClick xmlns:r="http://schemas.openxmlformats.org/officeDocument/2006/relationships" r:id="rId6"/>
        </xdr:cNvPr>
        <xdr:cNvSpPr/>
      </xdr:nvSpPr>
      <xdr:spPr>
        <a:xfrm>
          <a:off x="6067425" y="3514725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232264</xdr:colOff>
      <xdr:row>13</xdr:row>
      <xdr:rowOff>55684</xdr:rowOff>
    </xdr:from>
    <xdr:to>
      <xdr:col>4</xdr:col>
      <xdr:colOff>470389</xdr:colOff>
      <xdr:row>13</xdr:row>
      <xdr:rowOff>150934</xdr:rowOff>
    </xdr:to>
    <xdr:sp macro="" textlink="">
      <xdr:nvSpPr>
        <xdr:cNvPr id="9" name="Right Arrow 8">
          <a:hlinkClick xmlns:r="http://schemas.openxmlformats.org/officeDocument/2006/relationships" r:id="rId7"/>
        </xdr:cNvPr>
        <xdr:cNvSpPr/>
      </xdr:nvSpPr>
      <xdr:spPr>
        <a:xfrm>
          <a:off x="6071822" y="2759319"/>
          <a:ext cx="2381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pexcel.i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9"/>
  <sheetViews>
    <sheetView showGridLines="0" tabSelected="1" zoomScale="130" zoomScaleNormal="130" workbookViewId="0">
      <selection activeCell="G8" sqref="G8"/>
    </sheetView>
  </sheetViews>
  <sheetFormatPr defaultRowHeight="15" x14ac:dyDescent="0.25"/>
  <cols>
    <col min="3" max="3" width="22.140625" bestFit="1" customWidth="1"/>
    <col min="4" max="4" width="47.140625" customWidth="1"/>
    <col min="5" max="5" width="9.140625" style="34"/>
  </cols>
  <sheetData>
    <row r="1" spans="3:9" ht="15.75" thickBot="1" x14ac:dyDescent="0.3"/>
    <row r="2" spans="3:9" x14ac:dyDescent="0.25">
      <c r="C2" s="21" t="s">
        <v>30</v>
      </c>
      <c r="D2" s="35" t="s">
        <v>109</v>
      </c>
      <c r="I2" s="15" t="s">
        <v>110</v>
      </c>
    </row>
    <row r="4" spans="3:9" ht="15.75" thickBot="1" x14ac:dyDescent="0.3">
      <c r="C4" s="54" t="s">
        <v>89</v>
      </c>
      <c r="D4" s="54"/>
      <c r="E4" s="54"/>
    </row>
    <row r="5" spans="3:9" x14ac:dyDescent="0.25">
      <c r="C5" s="46" t="s">
        <v>34</v>
      </c>
      <c r="D5" s="35" t="s">
        <v>39</v>
      </c>
      <c r="E5" s="36">
        <v>2015</v>
      </c>
    </row>
    <row r="6" spans="3:9" ht="30" x14ac:dyDescent="0.25">
      <c r="C6" s="47" t="s">
        <v>35</v>
      </c>
      <c r="D6" s="37" t="s">
        <v>36</v>
      </c>
      <c r="E6" s="38" t="s">
        <v>40</v>
      </c>
    </row>
    <row r="7" spans="3:9" x14ac:dyDescent="0.25">
      <c r="C7" s="47" t="s">
        <v>42</v>
      </c>
      <c r="D7" s="37" t="s">
        <v>45</v>
      </c>
      <c r="E7" s="38" t="s">
        <v>40</v>
      </c>
    </row>
    <row r="8" spans="3:9" x14ac:dyDescent="0.25">
      <c r="C8" s="47" t="s">
        <v>37</v>
      </c>
      <c r="D8" s="37" t="s">
        <v>46</v>
      </c>
      <c r="E8" s="38" t="s">
        <v>40</v>
      </c>
    </row>
    <row r="9" spans="3:9" ht="15.75" thickBot="1" x14ac:dyDescent="0.3">
      <c r="C9" s="48" t="s">
        <v>38</v>
      </c>
      <c r="D9" s="39" t="s">
        <v>87</v>
      </c>
      <c r="E9" s="43" t="s">
        <v>40</v>
      </c>
    </row>
    <row r="12" spans="3:9" ht="15.75" thickBot="1" x14ac:dyDescent="0.3">
      <c r="C12" s="54" t="s">
        <v>90</v>
      </c>
      <c r="D12" s="54"/>
      <c r="E12" s="54"/>
    </row>
    <row r="13" spans="3:9" x14ac:dyDescent="0.25">
      <c r="C13" s="46">
        <v>1</v>
      </c>
      <c r="D13" s="35" t="s">
        <v>112</v>
      </c>
      <c r="E13" s="40"/>
    </row>
    <row r="14" spans="3:9" x14ac:dyDescent="0.25">
      <c r="C14" s="51">
        <v>2</v>
      </c>
      <c r="D14" s="37" t="s">
        <v>113</v>
      </c>
      <c r="E14" s="52"/>
    </row>
    <row r="15" spans="3:9" x14ac:dyDescent="0.25">
      <c r="C15" s="47">
        <v>3</v>
      </c>
      <c r="D15" s="37" t="s">
        <v>92</v>
      </c>
      <c r="E15" s="41"/>
    </row>
    <row r="16" spans="3:9" x14ac:dyDescent="0.25">
      <c r="C16" s="47">
        <v>4</v>
      </c>
      <c r="D16" s="37" t="s">
        <v>0</v>
      </c>
      <c r="E16" s="41"/>
    </row>
    <row r="17" spans="3:5" x14ac:dyDescent="0.25">
      <c r="C17" s="47">
        <v>5</v>
      </c>
      <c r="D17" s="37" t="s">
        <v>93</v>
      </c>
      <c r="E17" s="41"/>
    </row>
    <row r="18" spans="3:5" x14ac:dyDescent="0.25">
      <c r="C18" s="47">
        <v>6</v>
      </c>
      <c r="D18" s="37" t="s">
        <v>94</v>
      </c>
      <c r="E18" s="41"/>
    </row>
    <row r="19" spans="3:5" ht="15.75" thickBot="1" x14ac:dyDescent="0.3">
      <c r="C19" s="48">
        <v>7</v>
      </c>
      <c r="D19" s="39" t="s">
        <v>95</v>
      </c>
      <c r="E19" s="42"/>
    </row>
  </sheetData>
  <mergeCells count="2">
    <mergeCell ref="C4:E4"/>
    <mergeCell ref="C12:E12"/>
  </mergeCells>
  <hyperlinks>
    <hyperlink ref="E6" location="Economico!A1" display="VAI"/>
    <hyperlink ref="E7" location="'Composizione Fonti'!A1" display="VAI"/>
    <hyperlink ref="E8" location="'Variabili Finanziarie'!A1" display="VAI"/>
    <hyperlink ref="E9" location="Wacc!A1" display="VAI"/>
    <hyperlink ref="I2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defaultRowHeight="15" x14ac:dyDescent="0.25"/>
  <cols>
    <col min="3" max="3" width="27.5703125" bestFit="1" customWidth="1"/>
    <col min="4" max="4" width="10.5703125" bestFit="1" customWidth="1"/>
    <col min="9" max="9" width="10.5703125" bestFit="1" customWidth="1"/>
  </cols>
  <sheetData>
    <row r="1" spans="1:9" x14ac:dyDescent="0.25">
      <c r="A1" s="15" t="s">
        <v>41</v>
      </c>
    </row>
    <row r="2" spans="1:9" x14ac:dyDescent="0.25">
      <c r="D2" s="34">
        <v>1</v>
      </c>
      <c r="E2" s="34">
        <v>2</v>
      </c>
      <c r="F2" s="34">
        <v>3</v>
      </c>
      <c r="G2" s="34">
        <v>4</v>
      </c>
      <c r="H2" s="34">
        <v>5</v>
      </c>
      <c r="I2" s="34">
        <v>6</v>
      </c>
    </row>
    <row r="3" spans="1:9" x14ac:dyDescent="0.25">
      <c r="D3" s="45">
        <f>+Economico!B3</f>
        <v>2016</v>
      </c>
      <c r="E3" s="45">
        <f>+Economico!C3</f>
        <v>2017</v>
      </c>
      <c r="F3" s="45">
        <f>+Economico!D3</f>
        <v>2018</v>
      </c>
      <c r="G3" s="45">
        <f>+Economico!E3</f>
        <v>2019</v>
      </c>
      <c r="H3" s="45">
        <f>+Economico!F3</f>
        <v>2020</v>
      </c>
      <c r="I3" s="34" t="s">
        <v>106</v>
      </c>
    </row>
    <row r="4" spans="1:9" x14ac:dyDescent="0.25">
      <c r="C4" s="21" t="s">
        <v>96</v>
      </c>
      <c r="D4" s="23">
        <f>+Economico!B41+Economico!B39+Economico!B38</f>
        <v>238625</v>
      </c>
      <c r="E4" s="23">
        <f>+Economico!C41+Economico!C39+Economico!C38</f>
        <v>229475</v>
      </c>
      <c r="F4" s="23">
        <f>+Economico!D41+Economico!D39+Economico!D38</f>
        <v>224400</v>
      </c>
      <c r="G4" s="23">
        <f>+Economico!E41+Economico!E39+Economico!E38</f>
        <v>222250</v>
      </c>
      <c r="H4" s="23">
        <f>+Economico!F41+Economico!F39+Economico!F38</f>
        <v>220100</v>
      </c>
    </row>
    <row r="5" spans="1:9" x14ac:dyDescent="0.25">
      <c r="C5" t="s">
        <v>97</v>
      </c>
      <c r="D5" s="24">
        <f>+Economico!B21</f>
        <v>27500</v>
      </c>
      <c r="E5" s="24">
        <f>+Economico!C21</f>
        <v>27500</v>
      </c>
      <c r="F5" s="24">
        <f>+Economico!D21</f>
        <v>27500</v>
      </c>
      <c r="G5" s="24">
        <f>+Economico!E21</f>
        <v>27500</v>
      </c>
      <c r="H5" s="24">
        <f>+Economico!F21</f>
        <v>27500</v>
      </c>
    </row>
    <row r="6" spans="1:9" x14ac:dyDescent="0.25">
      <c r="C6" t="s">
        <v>98</v>
      </c>
      <c r="D6" s="24">
        <f>+Economico!B28+Economico!B29+Economico!B18</f>
        <v>10875</v>
      </c>
      <c r="E6" s="24">
        <f>+Economico!C28+Economico!C29+Economico!C18</f>
        <v>11025</v>
      </c>
      <c r="F6" s="24">
        <f>+Economico!D28+Economico!D29+Economico!D18</f>
        <v>11100</v>
      </c>
      <c r="G6" s="24">
        <f>+Economico!E28+Economico!E29+Economico!E18</f>
        <v>11250</v>
      </c>
      <c r="H6" s="24">
        <f>+Economico!F28+Economico!F29+Economico!F18</f>
        <v>11400</v>
      </c>
    </row>
    <row r="8" spans="1:9" x14ac:dyDescent="0.25">
      <c r="C8" s="21" t="s">
        <v>99</v>
      </c>
      <c r="D8" s="23">
        <f>+SUM(D4:D6)</f>
        <v>277000</v>
      </c>
      <c r="E8" s="23">
        <f t="shared" ref="E8:H8" si="0">+SUM(E4:E6)</f>
        <v>268000</v>
      </c>
      <c r="F8" s="23">
        <f t="shared" si="0"/>
        <v>263000</v>
      </c>
      <c r="G8" s="23">
        <f t="shared" si="0"/>
        <v>261000</v>
      </c>
      <c r="H8" s="23">
        <f t="shared" si="0"/>
        <v>259000</v>
      </c>
    </row>
    <row r="10" spans="1:9" x14ac:dyDescent="0.25">
      <c r="C10" t="s">
        <v>100</v>
      </c>
      <c r="D10" s="24">
        <f>-'SP Previsionale'!B5</f>
        <v>-81028.333333333328</v>
      </c>
      <c r="E10" s="24">
        <f>+'SP Previsionale'!B5-'SP Previsionale'!C5</f>
        <v>-4066.6666666666715</v>
      </c>
      <c r="F10" s="24">
        <f>+'SP Previsionale'!C5-'SP Previsionale'!D5</f>
        <v>-305</v>
      </c>
      <c r="G10" s="24">
        <f>+'SP Previsionale'!D5-'SP Previsionale'!E5</f>
        <v>0</v>
      </c>
      <c r="H10" s="24">
        <f>+'SP Previsionale'!E5-'SP Previsionale'!F5</f>
        <v>0</v>
      </c>
    </row>
    <row r="11" spans="1:9" x14ac:dyDescent="0.25">
      <c r="C11" t="s">
        <v>101</v>
      </c>
      <c r="D11" s="24">
        <f>+'SP Previsionale'!B13</f>
        <v>80316.666666666657</v>
      </c>
      <c r="E11" s="24">
        <f>+'SP Previsionale'!C13-'SP Previsionale'!B13</f>
        <v>5490</v>
      </c>
      <c r="F11" s="24">
        <f>+'SP Previsionale'!D13-'SP Previsionale'!C13</f>
        <v>406.66666666667152</v>
      </c>
      <c r="G11" s="24">
        <f>+'SP Previsionale'!E13-'SP Previsionale'!D13</f>
        <v>0</v>
      </c>
      <c r="H11" s="24">
        <f>+'SP Previsionale'!F13-'SP Previsionale'!E13</f>
        <v>0</v>
      </c>
    </row>
    <row r="12" spans="1:9" x14ac:dyDescent="0.25">
      <c r="C12" t="s">
        <v>102</v>
      </c>
      <c r="D12" s="24">
        <f>-'SP Previsionale'!B6</f>
        <v>-25000</v>
      </c>
      <c r="E12" s="24">
        <f>+'SP Previsionale'!B6-'SP Previsionale'!C6</f>
        <v>-5000</v>
      </c>
      <c r="F12" s="24">
        <f>+'SP Previsionale'!C6-'SP Previsionale'!D6</f>
        <v>0</v>
      </c>
      <c r="G12" s="24">
        <f>+'SP Previsionale'!D6-'SP Previsionale'!E6</f>
        <v>0</v>
      </c>
      <c r="H12" s="24">
        <f>+'SP Previsionale'!E6-'SP Previsionale'!F6</f>
        <v>0</v>
      </c>
    </row>
    <row r="13" spans="1:9" x14ac:dyDescent="0.25">
      <c r="C13" s="21" t="s">
        <v>103</v>
      </c>
      <c r="D13" s="23">
        <f>SUM(D10:D12)</f>
        <v>-25711.666666666672</v>
      </c>
      <c r="E13" s="23">
        <f t="shared" ref="E13:H13" si="1">SUM(E10:E12)</f>
        <v>-3576.6666666666715</v>
      </c>
      <c r="F13" s="23">
        <f t="shared" si="1"/>
        <v>101.66666666667152</v>
      </c>
      <c r="G13" s="23">
        <f t="shared" si="1"/>
        <v>0</v>
      </c>
      <c r="H13" s="23">
        <f t="shared" si="1"/>
        <v>0</v>
      </c>
    </row>
    <row r="14" spans="1:9" x14ac:dyDescent="0.25">
      <c r="C14" s="21"/>
    </row>
    <row r="15" spans="1:9" x14ac:dyDescent="0.25">
      <c r="C15" t="s">
        <v>74</v>
      </c>
      <c r="D15" s="24">
        <f>-(+Economico!B39+Economico!B38)</f>
        <v>-80009.25</v>
      </c>
      <c r="E15" s="24">
        <f>-(+Economico!C39+Economico!C38)</f>
        <v>-77265.75</v>
      </c>
      <c r="F15" s="24">
        <f>-(+Economico!D39+Economico!D38)</f>
        <v>-75739.5</v>
      </c>
      <c r="G15" s="24">
        <f>-(+Economico!E39+Economico!E38)</f>
        <v>-75159</v>
      </c>
      <c r="H15" s="24">
        <f>-(+Economico!F39+Economico!F38)</f>
        <v>-74578.5</v>
      </c>
    </row>
    <row r="17" spans="3:9" x14ac:dyDescent="0.25">
      <c r="C17" s="21" t="s">
        <v>104</v>
      </c>
      <c r="D17" s="23">
        <f>+D13+D15+D8</f>
        <v>171279.08333333331</v>
      </c>
      <c r="E17" s="23">
        <f t="shared" ref="E17:H17" si="2">+E13+E15+E8</f>
        <v>187157.58333333331</v>
      </c>
      <c r="F17" s="23">
        <f t="shared" si="2"/>
        <v>187362.16666666669</v>
      </c>
      <c r="G17" s="23">
        <f t="shared" si="2"/>
        <v>185841</v>
      </c>
      <c r="H17" s="23">
        <f t="shared" si="2"/>
        <v>184421.5</v>
      </c>
      <c r="I17" s="23">
        <f>+H17</f>
        <v>184421.5</v>
      </c>
    </row>
    <row r="19" spans="3:9" x14ac:dyDescent="0.25">
      <c r="C19" t="s">
        <v>105</v>
      </c>
      <c r="D19" s="44">
        <f>+Wacc!C17</f>
        <v>8.2057685064409483E-2</v>
      </c>
      <c r="E19" s="44">
        <f>+Wacc!D17</f>
        <v>8.8547338322811794E-2</v>
      </c>
      <c r="F19" s="44">
        <f>+Wacc!E17</f>
        <v>8.9520422364519306E-2</v>
      </c>
      <c r="G19" s="44">
        <f>+Wacc!F17</f>
        <v>9.0147709351660679E-2</v>
      </c>
      <c r="H19" s="44">
        <f>+Wacc!G17</f>
        <v>9.0563601782234132E-2</v>
      </c>
      <c r="I19" s="44">
        <f>+H19</f>
        <v>9.0563601782234132E-2</v>
      </c>
    </row>
    <row r="21" spans="3:9" x14ac:dyDescent="0.25">
      <c r="C21" t="s">
        <v>108</v>
      </c>
      <c r="D21" s="23">
        <f>+D17/(1+D19)^1</f>
        <v>158290.15929325239</v>
      </c>
      <c r="E21" s="23">
        <f>+E17/(1+E19)^2</f>
        <v>157947.51165412326</v>
      </c>
      <c r="F21" s="23">
        <f>+F17/(1+F19)^3</f>
        <v>144869.10406879606</v>
      </c>
      <c r="G21" s="23">
        <f>+G17/(1+G19)^4</f>
        <v>131583.11017429197</v>
      </c>
      <c r="H21" s="23">
        <f>+H17/(1+H19)^5</f>
        <v>119551.92028281657</v>
      </c>
    </row>
    <row r="22" spans="3:9" x14ac:dyDescent="0.25">
      <c r="C22" t="s">
        <v>107</v>
      </c>
      <c r="D22" s="23"/>
      <c r="E22" s="23"/>
      <c r="F22" s="23"/>
      <c r="G22" s="23"/>
      <c r="H22" s="23"/>
      <c r="I22" s="23">
        <f>(I17/(1+(I19))^I2)/I19</f>
        <v>1210463.9815185647</v>
      </c>
    </row>
    <row r="23" spans="3:9" ht="15.75" thickBot="1" x14ac:dyDescent="0.3"/>
    <row r="24" spans="3:9" ht="16.5" thickTop="1" thickBot="1" x14ac:dyDescent="0.3">
      <c r="C24" s="49" t="s">
        <v>91</v>
      </c>
      <c r="D24" s="50">
        <f>+SUM(D21:I22)</f>
        <v>1922705.7869918451</v>
      </c>
    </row>
    <row r="25" spans="3:9" ht="15.75" thickTop="1" x14ac:dyDescent="0.25"/>
  </sheetData>
  <hyperlinks>
    <hyperlink ref="A1" location="View!A1" display="TORNA MEN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activeCell="D4" sqref="D4"/>
    </sheetView>
  </sheetViews>
  <sheetFormatPr defaultRowHeight="15" x14ac:dyDescent="0.25"/>
  <cols>
    <col min="1" max="1" width="13.28515625" bestFit="1" customWidth="1"/>
    <col min="2" max="2" width="11.42578125" bestFit="1" customWidth="1"/>
    <col min="3" max="3" width="25" bestFit="1" customWidth="1"/>
    <col min="4" max="4" width="9.85546875" bestFit="1" customWidth="1"/>
  </cols>
  <sheetData>
    <row r="1" spans="1:9" x14ac:dyDescent="0.25">
      <c r="A1" s="15" t="s">
        <v>41</v>
      </c>
      <c r="B1" s="12" t="s">
        <v>50</v>
      </c>
    </row>
    <row r="2" spans="1:9" x14ac:dyDescent="0.25">
      <c r="D2">
        <f>+View!E5</f>
        <v>2015</v>
      </c>
      <c r="E2" s="14">
        <f>+D2+1</f>
        <v>2016</v>
      </c>
      <c r="F2" s="14">
        <f t="shared" ref="F2:I2" si="0">+E2+1</f>
        <v>2017</v>
      </c>
      <c r="G2" s="14">
        <f t="shared" si="0"/>
        <v>2018</v>
      </c>
      <c r="H2" s="14">
        <f t="shared" si="0"/>
        <v>2019</v>
      </c>
      <c r="I2" s="14">
        <f t="shared" si="0"/>
        <v>2020</v>
      </c>
    </row>
    <row r="4" spans="1:9" x14ac:dyDescent="0.25">
      <c r="C4" t="s">
        <v>43</v>
      </c>
      <c r="D4" s="18">
        <v>50000</v>
      </c>
      <c r="E4" s="18">
        <v>50000</v>
      </c>
      <c r="F4" s="18">
        <v>50000</v>
      </c>
      <c r="G4" s="18">
        <v>50000</v>
      </c>
      <c r="H4" s="18">
        <v>50000</v>
      </c>
      <c r="I4" s="18">
        <v>50000</v>
      </c>
    </row>
    <row r="5" spans="1:9" x14ac:dyDescent="0.25">
      <c r="C5" t="s">
        <v>44</v>
      </c>
      <c r="D5" s="1"/>
    </row>
    <row r="7" spans="1:9" x14ac:dyDescent="0.25">
      <c r="C7" t="s">
        <v>33</v>
      </c>
      <c r="D7" s="18">
        <v>55000</v>
      </c>
      <c r="E7" s="18">
        <f>+D7-5000</f>
        <v>50000</v>
      </c>
      <c r="F7" s="18">
        <f t="shared" ref="F7:I7" si="1">+E7-5000</f>
        <v>45000</v>
      </c>
      <c r="G7" s="18">
        <f t="shared" si="1"/>
        <v>40000</v>
      </c>
      <c r="H7" s="18">
        <f t="shared" si="1"/>
        <v>35000</v>
      </c>
      <c r="I7" s="18">
        <f t="shared" si="1"/>
        <v>30000</v>
      </c>
    </row>
    <row r="8" spans="1:9" x14ac:dyDescent="0.25">
      <c r="C8" t="s">
        <v>52</v>
      </c>
      <c r="D8" s="18"/>
      <c r="E8" s="18"/>
      <c r="F8" s="18"/>
      <c r="G8" s="18"/>
      <c r="H8" s="18"/>
      <c r="I8" s="18"/>
    </row>
    <row r="10" spans="1:9" x14ac:dyDescent="0.25">
      <c r="C10" t="s">
        <v>51</v>
      </c>
      <c r="D10" s="18">
        <v>45000</v>
      </c>
    </row>
    <row r="12" spans="1:9" x14ac:dyDescent="0.25">
      <c r="C12" t="s">
        <v>53</v>
      </c>
      <c r="D12" s="18">
        <v>125000</v>
      </c>
    </row>
    <row r="14" spans="1:9" x14ac:dyDescent="0.25">
      <c r="C14" t="s">
        <v>54</v>
      </c>
      <c r="D14" s="18">
        <v>125000</v>
      </c>
    </row>
  </sheetData>
  <hyperlinks>
    <hyperlink ref="A1" location="View!A1" display="TORNA MEN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/>
  </sheetViews>
  <sheetFormatPr defaultRowHeight="15" x14ac:dyDescent="0.25"/>
  <cols>
    <col min="1" max="1" width="13.28515625" bestFit="1" customWidth="1"/>
    <col min="2" max="2" width="25.5703125" bestFit="1" customWidth="1"/>
  </cols>
  <sheetData>
    <row r="1" spans="1:7" x14ac:dyDescent="0.25">
      <c r="A1" s="15" t="s">
        <v>41</v>
      </c>
      <c r="B1" s="12" t="s">
        <v>50</v>
      </c>
    </row>
    <row r="2" spans="1:7" x14ac:dyDescent="0.25">
      <c r="C2" s="14">
        <f>+'Composizione Fonti'!E2</f>
        <v>2016</v>
      </c>
      <c r="D2" s="14">
        <f>+C2+1</f>
        <v>2017</v>
      </c>
      <c r="E2" s="14">
        <f t="shared" ref="E2:G2" si="0">+D2+1</f>
        <v>2018</v>
      </c>
      <c r="F2" s="14">
        <f t="shared" si="0"/>
        <v>2019</v>
      </c>
      <c r="G2" s="14">
        <f t="shared" si="0"/>
        <v>2020</v>
      </c>
    </row>
    <row r="3" spans="1:7" x14ac:dyDescent="0.25">
      <c r="B3" t="s">
        <v>32</v>
      </c>
      <c r="C3" s="17">
        <v>0.6</v>
      </c>
      <c r="D3" s="17">
        <v>0.6</v>
      </c>
      <c r="E3" s="17">
        <v>0.6</v>
      </c>
      <c r="F3" s="17">
        <v>0.6</v>
      </c>
      <c r="G3" s="17">
        <v>0.6</v>
      </c>
    </row>
    <row r="5" spans="1:7" x14ac:dyDescent="0.25">
      <c r="B5" t="s">
        <v>47</v>
      </c>
      <c r="C5" s="17">
        <v>0.22</v>
      </c>
      <c r="D5" s="17">
        <v>0.22</v>
      </c>
      <c r="E5" s="17">
        <v>0.22</v>
      </c>
      <c r="F5" s="17">
        <v>0.22</v>
      </c>
      <c r="G5" s="17">
        <v>0.22</v>
      </c>
    </row>
    <row r="6" spans="1:7" x14ac:dyDescent="0.25">
      <c r="B6" t="s">
        <v>48</v>
      </c>
      <c r="C6" s="17">
        <v>0.22</v>
      </c>
      <c r="D6" s="17">
        <v>0.22</v>
      </c>
      <c r="E6" s="17">
        <v>0.22</v>
      </c>
      <c r="F6" s="17">
        <v>0.22</v>
      </c>
      <c r="G6" s="17">
        <v>0.22</v>
      </c>
    </row>
    <row r="8" spans="1:7" x14ac:dyDescent="0.25">
      <c r="B8" t="s">
        <v>49</v>
      </c>
      <c r="C8" s="16">
        <v>30</v>
      </c>
      <c r="D8" s="16">
        <v>30</v>
      </c>
      <c r="E8" s="16">
        <v>30</v>
      </c>
      <c r="F8" s="16">
        <v>30</v>
      </c>
      <c r="G8" s="16">
        <v>30</v>
      </c>
    </row>
    <row r="9" spans="1:7" x14ac:dyDescent="0.25">
      <c r="B9" t="s">
        <v>63</v>
      </c>
      <c r="C9" s="16">
        <v>60</v>
      </c>
      <c r="D9" s="16">
        <v>60</v>
      </c>
      <c r="E9" s="16">
        <v>60</v>
      </c>
      <c r="F9" s="16">
        <v>60</v>
      </c>
      <c r="G9" s="16">
        <v>60</v>
      </c>
    </row>
  </sheetData>
  <hyperlinks>
    <hyperlink ref="A1" location="View!A1" display="TORNA MEN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>
      <pane xSplit="2" ySplit="3" topLeftCell="C23" activePane="bottomRight" state="frozen"/>
      <selection pane="topRight" activeCell="C1" sqref="C1"/>
      <selection pane="bottomLeft" activeCell="A4" sqref="A4"/>
      <selection pane="bottomRight" activeCell="B41" sqref="B41"/>
    </sheetView>
  </sheetViews>
  <sheetFormatPr defaultRowHeight="15" x14ac:dyDescent="0.25"/>
  <cols>
    <col min="1" max="1" width="74.42578125" customWidth="1"/>
    <col min="2" max="6" width="11.28515625" bestFit="1" customWidth="1"/>
  </cols>
  <sheetData>
    <row r="1" spans="1:6" x14ac:dyDescent="0.25">
      <c r="A1" s="15" t="s">
        <v>41</v>
      </c>
      <c r="B1" s="12" t="s">
        <v>50</v>
      </c>
    </row>
    <row r="2" spans="1:6" x14ac:dyDescent="0.25">
      <c r="A2" s="55" t="s">
        <v>0</v>
      </c>
      <c r="B2" s="56"/>
      <c r="C2" s="13"/>
    </row>
    <row r="3" spans="1:6" ht="15.75" thickBot="1" x14ac:dyDescent="0.3">
      <c r="A3" s="3" t="s">
        <v>1</v>
      </c>
      <c r="B3" s="11">
        <f>+View!E5+1</f>
        <v>2016</v>
      </c>
      <c r="C3" s="11">
        <f>+B3+1</f>
        <v>2017</v>
      </c>
      <c r="D3" s="11">
        <f>+C3+1</f>
        <v>2018</v>
      </c>
      <c r="E3" s="11">
        <f t="shared" ref="E3:F3" si="0">+D3+1</f>
        <v>2019</v>
      </c>
      <c r="F3" s="11">
        <f t="shared" si="0"/>
        <v>2020</v>
      </c>
    </row>
    <row r="4" spans="1:6" ht="15.75" thickTop="1" x14ac:dyDescent="0.25">
      <c r="A4" s="4" t="s">
        <v>2</v>
      </c>
      <c r="B4" s="18">
        <v>785000</v>
      </c>
      <c r="C4" s="18">
        <v>825000</v>
      </c>
      <c r="D4" s="18">
        <v>835000</v>
      </c>
      <c r="E4" s="18">
        <v>835000</v>
      </c>
      <c r="F4" s="18">
        <v>835000</v>
      </c>
    </row>
    <row r="5" spans="1:6" ht="30" x14ac:dyDescent="0.25">
      <c r="A5" s="5" t="s">
        <v>3</v>
      </c>
      <c r="B5" s="18">
        <v>20000</v>
      </c>
      <c r="C5" s="18">
        <v>5000</v>
      </c>
      <c r="D5" s="18">
        <v>0</v>
      </c>
      <c r="E5" s="18">
        <v>0</v>
      </c>
      <c r="F5" s="18">
        <v>0</v>
      </c>
    </row>
    <row r="6" spans="1:6" x14ac:dyDescent="0.25">
      <c r="A6" s="4" t="s">
        <v>4</v>
      </c>
      <c r="B6" s="18"/>
      <c r="C6" s="18"/>
      <c r="D6" s="18"/>
      <c r="E6" s="18"/>
      <c r="F6" s="18"/>
    </row>
    <row r="7" spans="1:6" x14ac:dyDescent="0.25">
      <c r="A7" s="4" t="s">
        <v>5</v>
      </c>
      <c r="B7" s="18"/>
      <c r="C7" s="18"/>
      <c r="D7" s="18"/>
      <c r="E7" s="18"/>
      <c r="F7" s="18"/>
    </row>
    <row r="8" spans="1:6" ht="15.75" thickBot="1" x14ac:dyDescent="0.3">
      <c r="A8" s="4" t="s">
        <v>6</v>
      </c>
      <c r="B8" s="18">
        <v>12000</v>
      </c>
      <c r="C8" s="18">
        <v>12000</v>
      </c>
      <c r="D8" s="18">
        <v>5000</v>
      </c>
      <c r="E8" s="18">
        <v>5000</v>
      </c>
      <c r="F8" s="18">
        <v>5000</v>
      </c>
    </row>
    <row r="9" spans="1:6" ht="16.5" thickTop="1" thickBot="1" x14ac:dyDescent="0.3">
      <c r="A9" s="6" t="s">
        <v>7</v>
      </c>
      <c r="B9" s="29">
        <f>SUM(B4:B8)</f>
        <v>817000</v>
      </c>
      <c r="C9" s="29">
        <f t="shared" ref="C9:F9" si="1">SUM(C4:C8)</f>
        <v>842000</v>
      </c>
      <c r="D9" s="29">
        <f t="shared" si="1"/>
        <v>840000</v>
      </c>
      <c r="E9" s="29">
        <f t="shared" si="1"/>
        <v>840000</v>
      </c>
      <c r="F9" s="29">
        <f t="shared" si="1"/>
        <v>840000</v>
      </c>
    </row>
    <row r="10" spans="1:6" ht="15.75" thickTop="1" x14ac:dyDescent="0.25">
      <c r="A10" s="7"/>
      <c r="B10" s="8"/>
    </row>
    <row r="11" spans="1:6" ht="15.75" thickBot="1" x14ac:dyDescent="0.3">
      <c r="A11" s="3" t="s">
        <v>8</v>
      </c>
      <c r="B11" s="9"/>
      <c r="C11" s="9"/>
      <c r="D11" s="9"/>
      <c r="E11" s="9"/>
      <c r="F11" s="9"/>
    </row>
    <row r="12" spans="1:6" ht="15.75" thickTop="1" x14ac:dyDescent="0.25">
      <c r="A12" s="4" t="s">
        <v>9</v>
      </c>
      <c r="B12" s="18">
        <v>355000</v>
      </c>
      <c r="C12" s="18">
        <v>380000</v>
      </c>
      <c r="D12" s="18">
        <v>382000</v>
      </c>
      <c r="E12" s="18">
        <v>382000</v>
      </c>
      <c r="F12" s="18">
        <v>382000</v>
      </c>
    </row>
    <row r="13" spans="1:6" x14ac:dyDescent="0.25">
      <c r="A13" s="2" t="s">
        <v>10</v>
      </c>
      <c r="B13" s="18">
        <v>35000</v>
      </c>
      <c r="C13" s="18">
        <v>37000</v>
      </c>
      <c r="D13" s="18">
        <v>37000</v>
      </c>
      <c r="E13" s="18">
        <v>37000</v>
      </c>
      <c r="F13" s="18">
        <v>37000</v>
      </c>
    </row>
    <row r="14" spans="1:6" x14ac:dyDescent="0.25">
      <c r="A14" s="4" t="s">
        <v>11</v>
      </c>
      <c r="B14" s="18">
        <v>5000</v>
      </c>
      <c r="C14" s="18">
        <v>5000</v>
      </c>
      <c r="D14" s="18">
        <v>5000</v>
      </c>
      <c r="E14" s="18">
        <v>5000</v>
      </c>
      <c r="F14" s="18">
        <v>5000</v>
      </c>
    </row>
    <row r="15" spans="1:6" x14ac:dyDescent="0.25">
      <c r="A15" s="4" t="s">
        <v>12</v>
      </c>
      <c r="B15" s="23">
        <f>+SUM(B16:B20)</f>
        <v>160875</v>
      </c>
      <c r="C15" s="23">
        <f t="shared" ref="C15:F15" si="2">+SUM(C16:C20)</f>
        <v>163025</v>
      </c>
      <c r="D15" s="23">
        <f t="shared" si="2"/>
        <v>164100</v>
      </c>
      <c r="E15" s="23">
        <f t="shared" si="2"/>
        <v>166250</v>
      </c>
      <c r="F15" s="23">
        <f t="shared" si="2"/>
        <v>168400</v>
      </c>
    </row>
    <row r="16" spans="1:6" x14ac:dyDescent="0.25">
      <c r="A16" s="2" t="s">
        <v>13</v>
      </c>
      <c r="B16" s="18">
        <v>145000</v>
      </c>
      <c r="C16" s="18">
        <v>147000</v>
      </c>
      <c r="D16" s="18">
        <v>148000</v>
      </c>
      <c r="E16" s="18">
        <v>150000</v>
      </c>
      <c r="F16" s="18">
        <v>152000</v>
      </c>
    </row>
    <row r="17" spans="1:8" x14ac:dyDescent="0.25">
      <c r="A17" s="4" t="s">
        <v>14</v>
      </c>
      <c r="B17" s="18">
        <v>5000</v>
      </c>
      <c r="C17" s="18">
        <v>5000</v>
      </c>
      <c r="D17" s="18">
        <v>5000</v>
      </c>
      <c r="E17" s="18">
        <v>5000</v>
      </c>
      <c r="F17" s="18">
        <v>5000</v>
      </c>
    </row>
    <row r="18" spans="1:8" x14ac:dyDescent="0.25">
      <c r="A18" s="2" t="s">
        <v>15</v>
      </c>
      <c r="B18" s="18">
        <f>+B16*0.075</f>
        <v>10875</v>
      </c>
      <c r="C18" s="18">
        <f t="shared" ref="C18:F18" si="3">+C16*0.075</f>
        <v>11025</v>
      </c>
      <c r="D18" s="18">
        <f t="shared" si="3"/>
        <v>11100</v>
      </c>
      <c r="E18" s="18">
        <f t="shared" si="3"/>
        <v>11250</v>
      </c>
      <c r="F18" s="18">
        <f t="shared" si="3"/>
        <v>11400</v>
      </c>
      <c r="H18" s="19"/>
    </row>
    <row r="19" spans="1:8" x14ac:dyDescent="0.25">
      <c r="A19" s="4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</row>
    <row r="20" spans="1:8" x14ac:dyDescent="0.25">
      <c r="A20" s="2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</row>
    <row r="21" spans="1:8" x14ac:dyDescent="0.25">
      <c r="A21" s="2" t="s">
        <v>18</v>
      </c>
      <c r="B21" s="23">
        <f>+SUM(B22:B26)</f>
        <v>27500</v>
      </c>
      <c r="C21" s="23">
        <f t="shared" ref="C21:F21" si="4">+SUM(C22:C26)</f>
        <v>27500</v>
      </c>
      <c r="D21" s="23">
        <f t="shared" si="4"/>
        <v>27500</v>
      </c>
      <c r="E21" s="23">
        <f t="shared" si="4"/>
        <v>27500</v>
      </c>
      <c r="F21" s="23">
        <f t="shared" si="4"/>
        <v>27500</v>
      </c>
    </row>
    <row r="22" spans="1:8" x14ac:dyDescent="0.25">
      <c r="A22" s="4" t="s">
        <v>19</v>
      </c>
      <c r="B22" s="18">
        <v>22500</v>
      </c>
      <c r="C22" s="18">
        <v>22500</v>
      </c>
      <c r="D22" s="18">
        <v>22500</v>
      </c>
      <c r="E22" s="18">
        <v>22500</v>
      </c>
      <c r="F22" s="18">
        <v>22500</v>
      </c>
    </row>
    <row r="23" spans="1:8" x14ac:dyDescent="0.25">
      <c r="A23" s="2" t="s">
        <v>20</v>
      </c>
      <c r="B23" s="18">
        <v>5000</v>
      </c>
      <c r="C23" s="18">
        <v>5000</v>
      </c>
      <c r="D23" s="18">
        <v>5000</v>
      </c>
      <c r="E23" s="18">
        <v>5000</v>
      </c>
      <c r="F23" s="18">
        <v>5000</v>
      </c>
    </row>
    <row r="24" spans="1:8" x14ac:dyDescent="0.25">
      <c r="A24" s="4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</row>
    <row r="25" spans="1:8" x14ac:dyDescent="0.25">
      <c r="A25" s="4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</row>
    <row r="26" spans="1:8" x14ac:dyDescent="0.25">
      <c r="A26" s="4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</row>
    <row r="27" spans="1:8" x14ac:dyDescent="0.25">
      <c r="A27" s="4" t="s">
        <v>24</v>
      </c>
      <c r="B27" s="18">
        <v>5000</v>
      </c>
      <c r="C27" s="18">
        <v>0</v>
      </c>
      <c r="D27" s="18">
        <v>0</v>
      </c>
      <c r="E27" s="18">
        <v>0</v>
      </c>
      <c r="F27" s="18">
        <v>0</v>
      </c>
    </row>
    <row r="28" spans="1:8" x14ac:dyDescent="0.25">
      <c r="A28" s="2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</row>
    <row r="29" spans="1:8" x14ac:dyDescent="0.25">
      <c r="A29" s="2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</row>
    <row r="30" spans="1:8" ht="15.75" thickBot="1" x14ac:dyDescent="0.3">
      <c r="A30" s="2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</row>
    <row r="31" spans="1:8" ht="16.5" thickTop="1" thickBot="1" x14ac:dyDescent="0.3">
      <c r="A31" s="6" t="s">
        <v>28</v>
      </c>
      <c r="B31" s="29">
        <f>+B12+B13+B14+B15+B21-B27+B28+B29+B30</f>
        <v>578375</v>
      </c>
      <c r="C31" s="29">
        <f t="shared" ref="C31:F31" si="5">+C12+C13+C14+C15+C21-C27+C28+C29+C30</f>
        <v>612525</v>
      </c>
      <c r="D31" s="29">
        <f t="shared" si="5"/>
        <v>615600</v>
      </c>
      <c r="E31" s="29">
        <f t="shared" si="5"/>
        <v>617750</v>
      </c>
      <c r="F31" s="29">
        <f t="shared" si="5"/>
        <v>619900</v>
      </c>
    </row>
    <row r="32" spans="1:8" ht="16.5" thickTop="1" thickBot="1" x14ac:dyDescent="0.3">
      <c r="A32" s="2"/>
      <c r="B32" s="8"/>
      <c r="C32" s="8"/>
      <c r="D32" s="8"/>
      <c r="E32" s="8"/>
      <c r="F32" s="8"/>
    </row>
    <row r="33" spans="1:6" ht="15.75" thickBot="1" x14ac:dyDescent="0.3">
      <c r="A33" s="10" t="s">
        <v>29</v>
      </c>
      <c r="B33" s="30">
        <f>+B9-B31</f>
        <v>238625</v>
      </c>
      <c r="C33" s="30">
        <f t="shared" ref="C33:F33" si="6">+C9-C31</f>
        <v>229475</v>
      </c>
      <c r="D33" s="30">
        <f t="shared" si="6"/>
        <v>224400</v>
      </c>
      <c r="E33" s="30">
        <f t="shared" si="6"/>
        <v>222250</v>
      </c>
      <c r="F33" s="30">
        <f t="shared" si="6"/>
        <v>220100</v>
      </c>
    </row>
    <row r="34" spans="1:6" x14ac:dyDescent="0.25">
      <c r="A34" s="7"/>
      <c r="B34" s="8"/>
    </row>
    <row r="35" spans="1:6" x14ac:dyDescent="0.25">
      <c r="A35" s="2" t="s">
        <v>71</v>
      </c>
      <c r="B35" s="27">
        <v>0.27</v>
      </c>
      <c r="C35" s="27">
        <v>0.27</v>
      </c>
      <c r="D35" s="27">
        <v>0.27</v>
      </c>
      <c r="E35" s="27">
        <v>0.27</v>
      </c>
      <c r="F35" s="27">
        <v>0.27</v>
      </c>
    </row>
    <row r="36" spans="1:6" x14ac:dyDescent="0.25">
      <c r="A36" s="2" t="s">
        <v>72</v>
      </c>
      <c r="B36" s="28">
        <v>3.9E-2</v>
      </c>
      <c r="C36" s="28">
        <v>3.9E-2</v>
      </c>
      <c r="D36" s="28">
        <v>3.9E-2</v>
      </c>
      <c r="E36" s="28">
        <v>3.9E-2</v>
      </c>
      <c r="F36" s="28">
        <v>3.9E-2</v>
      </c>
    </row>
    <row r="38" spans="1:6" x14ac:dyDescent="0.25">
      <c r="A38" t="s">
        <v>69</v>
      </c>
      <c r="B38" s="24">
        <f>+B35*B33</f>
        <v>64428.750000000007</v>
      </c>
      <c r="C38" s="24">
        <f t="shared" ref="C38:F38" si="7">+C35*C33</f>
        <v>61958.250000000007</v>
      </c>
      <c r="D38" s="24">
        <f t="shared" si="7"/>
        <v>60588.000000000007</v>
      </c>
      <c r="E38" s="24">
        <f t="shared" si="7"/>
        <v>60007.500000000007</v>
      </c>
      <c r="F38" s="24">
        <f t="shared" si="7"/>
        <v>59427.000000000007</v>
      </c>
    </row>
    <row r="39" spans="1:6" x14ac:dyDescent="0.25">
      <c r="A39" t="s">
        <v>70</v>
      </c>
      <c r="B39" s="24">
        <f>+(B33+B15)*B36</f>
        <v>15580.5</v>
      </c>
      <c r="C39" s="24">
        <f t="shared" ref="C39:F39" si="8">+(C33+C15)*C36</f>
        <v>15307.5</v>
      </c>
      <c r="D39" s="24">
        <f t="shared" si="8"/>
        <v>15151.5</v>
      </c>
      <c r="E39" s="24">
        <f t="shared" si="8"/>
        <v>15151.5</v>
      </c>
      <c r="F39" s="24">
        <f t="shared" si="8"/>
        <v>15151.5</v>
      </c>
    </row>
    <row r="40" spans="1:6" ht="15.75" thickBot="1" x14ac:dyDescent="0.3"/>
    <row r="41" spans="1:6" ht="15.75" thickBot="1" x14ac:dyDescent="0.3">
      <c r="A41" s="10" t="s">
        <v>73</v>
      </c>
      <c r="B41" s="30">
        <f>+B33-B38-B39</f>
        <v>158615.75</v>
      </c>
      <c r="C41" s="30">
        <f t="shared" ref="C41:F41" si="9">+C33-C38-C39</f>
        <v>152209.25</v>
      </c>
      <c r="D41" s="30">
        <f t="shared" si="9"/>
        <v>148660.5</v>
      </c>
      <c r="E41" s="30">
        <f t="shared" si="9"/>
        <v>147091</v>
      </c>
      <c r="F41" s="30">
        <f t="shared" si="9"/>
        <v>145521.5</v>
      </c>
    </row>
  </sheetData>
  <mergeCells count="1">
    <mergeCell ref="A2:B2"/>
  </mergeCells>
  <hyperlinks>
    <hyperlink ref="A1" location="View!A1" display="TORNA MENU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H25" sqref="H25"/>
    </sheetView>
  </sheetViews>
  <sheetFormatPr defaultRowHeight="15" x14ac:dyDescent="0.25"/>
  <cols>
    <col min="1" max="1" width="20.42578125" customWidth="1"/>
    <col min="5" max="6" width="10.5703125" bestFit="1" customWidth="1"/>
  </cols>
  <sheetData>
    <row r="1" spans="1:8" x14ac:dyDescent="0.25">
      <c r="A1" s="12" t="s">
        <v>50</v>
      </c>
      <c r="C1" s="15" t="s">
        <v>41</v>
      </c>
    </row>
    <row r="3" spans="1:8" x14ac:dyDescent="0.25">
      <c r="B3" s="14">
        <f>+Banca!B2</f>
        <v>2016</v>
      </c>
      <c r="C3" s="14">
        <f>+Banca!C2</f>
        <v>2017</v>
      </c>
      <c r="D3" s="14">
        <f>+Banca!D2</f>
        <v>2018</v>
      </c>
      <c r="E3" s="14">
        <f>+Banca!E2</f>
        <v>2019</v>
      </c>
      <c r="F3" s="14">
        <f>+Banca!F2</f>
        <v>2020</v>
      </c>
      <c r="G3" s="14"/>
    </row>
    <row r="4" spans="1:8" x14ac:dyDescent="0.25">
      <c r="A4" t="s">
        <v>68</v>
      </c>
      <c r="B4" s="24">
        <f>+IF(Banca!B13&gt;0,Banca!B13,0)</f>
        <v>76109.633333333302</v>
      </c>
      <c r="C4" s="24">
        <f>+IF(Banca!C13&gt;0,Banca!C13,0)</f>
        <v>171941.66666666663</v>
      </c>
      <c r="D4" s="24">
        <f>+IF(Banca!D13&gt;0,Banca!D13,0)</f>
        <v>270107.53333333321</v>
      </c>
      <c r="E4" s="24">
        <f>+IF(Banca!E13&gt;0,Banca!E13,0)</f>
        <v>367693.93333333323</v>
      </c>
      <c r="F4" s="24">
        <f>+IF(Banca!F13&gt;0,Banca!F13,0)</f>
        <v>464802.53333333321</v>
      </c>
      <c r="H4" s="19"/>
    </row>
    <row r="5" spans="1:8" x14ac:dyDescent="0.25">
      <c r="A5" t="s">
        <v>57</v>
      </c>
      <c r="B5" s="24">
        <f>+Circolante!C6</f>
        <v>81028.333333333328</v>
      </c>
      <c r="C5" s="24">
        <f>+Circolante!D6</f>
        <v>85095</v>
      </c>
      <c r="D5" s="24">
        <f>+Circolante!E6</f>
        <v>85400</v>
      </c>
      <c r="E5" s="24">
        <f>+Circolante!F6</f>
        <v>85400</v>
      </c>
      <c r="F5" s="24">
        <f>+Circolante!G6</f>
        <v>85400</v>
      </c>
      <c r="H5" s="19"/>
    </row>
    <row r="6" spans="1:8" x14ac:dyDescent="0.25">
      <c r="A6" t="s">
        <v>83</v>
      </c>
      <c r="B6" s="24">
        <f>+Economico!B5+Economico!B27</f>
        <v>25000</v>
      </c>
      <c r="C6" s="24">
        <f>+Economico!C5+Economico!C27+B6</f>
        <v>30000</v>
      </c>
      <c r="D6" s="24">
        <f>+Economico!D5+Economico!D27+C6</f>
        <v>30000</v>
      </c>
      <c r="E6" s="24">
        <f>+Economico!E5+Economico!E27+D6</f>
        <v>30000</v>
      </c>
      <c r="F6" s="24">
        <f>+Economico!F5+Economico!F27+E6</f>
        <v>30000</v>
      </c>
      <c r="H6" s="19"/>
    </row>
    <row r="7" spans="1:8" x14ac:dyDescent="0.25">
      <c r="B7" s="32"/>
      <c r="C7" s="32"/>
      <c r="D7" s="32"/>
      <c r="E7" s="32"/>
      <c r="F7" s="32"/>
      <c r="H7" s="19"/>
    </row>
    <row r="8" spans="1:8" x14ac:dyDescent="0.25">
      <c r="A8" s="21" t="s">
        <v>85</v>
      </c>
      <c r="B8" s="31">
        <f>SUM(B4:B6)</f>
        <v>182137.96666666662</v>
      </c>
      <c r="C8" s="31">
        <f t="shared" ref="C8:F8" si="0">SUM(C4:C6)</f>
        <v>287036.66666666663</v>
      </c>
      <c r="D8" s="31">
        <f t="shared" si="0"/>
        <v>385507.53333333321</v>
      </c>
      <c r="E8" s="31">
        <f t="shared" si="0"/>
        <v>483093.93333333323</v>
      </c>
      <c r="F8" s="31">
        <f t="shared" si="0"/>
        <v>580202.53333333321</v>
      </c>
      <c r="H8" s="19"/>
    </row>
    <row r="9" spans="1:8" x14ac:dyDescent="0.25">
      <c r="H9" s="19"/>
    </row>
    <row r="10" spans="1:8" x14ac:dyDescent="0.25">
      <c r="A10" t="s">
        <v>75</v>
      </c>
      <c r="H10" s="19"/>
    </row>
    <row r="11" spans="1:8" x14ac:dyDescent="0.25">
      <c r="H11" s="19"/>
    </row>
    <row r="12" spans="1:8" x14ac:dyDescent="0.25">
      <c r="A12" t="s">
        <v>68</v>
      </c>
      <c r="B12" s="24">
        <f>+IF(Banca!B13&lt;0,-Banca!B13,0)</f>
        <v>0</v>
      </c>
      <c r="C12" s="24">
        <f>+IF(Banca!C13&lt;0,-Banca!C13,0)</f>
        <v>0</v>
      </c>
      <c r="D12" s="24">
        <f>+IF(Banca!D13&lt;0,-Banca!D13,0)</f>
        <v>0</v>
      </c>
      <c r="E12" s="24">
        <f>+IF(Banca!E13&lt;0,-Banca!E13,0)</f>
        <v>0</v>
      </c>
      <c r="F12" s="24">
        <f>+IF(Banca!F13&lt;0,-Banca!F13,0)</f>
        <v>0</v>
      </c>
      <c r="H12" s="19"/>
    </row>
    <row r="13" spans="1:8" x14ac:dyDescent="0.25">
      <c r="A13" t="s">
        <v>61</v>
      </c>
      <c r="B13" s="24">
        <f>+Circolante!C13</f>
        <v>80316.666666666657</v>
      </c>
      <c r="C13" s="24">
        <f>+Circolante!D13</f>
        <v>85806.666666666657</v>
      </c>
      <c r="D13" s="24">
        <f>+Circolante!E13</f>
        <v>86213.333333333328</v>
      </c>
      <c r="E13" s="24">
        <f>+Circolante!F13</f>
        <v>86213.333333333328</v>
      </c>
      <c r="F13" s="24">
        <f>+Circolante!G13</f>
        <v>86213.333333333328</v>
      </c>
      <c r="H13" s="19"/>
    </row>
    <row r="14" spans="1:8" x14ac:dyDescent="0.25">
      <c r="A14" t="s">
        <v>76</v>
      </c>
      <c r="B14" s="24">
        <f>+Economico!B18</f>
        <v>10875</v>
      </c>
      <c r="C14" s="24">
        <f>+B14+Economico!C18</f>
        <v>21900</v>
      </c>
      <c r="D14" s="24">
        <f>+C14+Economico!D18</f>
        <v>33000</v>
      </c>
      <c r="E14" s="24">
        <f>+D14+Economico!E18</f>
        <v>44250</v>
      </c>
      <c r="F14" s="24">
        <f>+E14+Economico!F18</f>
        <v>55650</v>
      </c>
      <c r="H14" s="19"/>
    </row>
    <row r="15" spans="1:8" x14ac:dyDescent="0.25">
      <c r="A15" t="s">
        <v>77</v>
      </c>
      <c r="B15" s="24">
        <f>+Economico!B21</f>
        <v>27500</v>
      </c>
      <c r="C15" s="24">
        <f>+B15+Economico!C21</f>
        <v>55000</v>
      </c>
      <c r="D15" s="24">
        <f>+C15+Economico!D21</f>
        <v>82500</v>
      </c>
      <c r="E15" s="24">
        <f>+D15+Economico!E21</f>
        <v>110000</v>
      </c>
      <c r="F15" s="24">
        <f>+E15+Economico!F21</f>
        <v>137500</v>
      </c>
      <c r="H15" s="19"/>
    </row>
    <row r="16" spans="1:8" x14ac:dyDescent="0.25">
      <c r="A16" t="s">
        <v>78</v>
      </c>
      <c r="B16" s="24">
        <f>+Economico!B28+Economico!B29+Economico!B19</f>
        <v>0</v>
      </c>
      <c r="C16" s="24">
        <f>+Economico!C28+Economico!C29+Economico!C19+B16</f>
        <v>0</v>
      </c>
      <c r="D16" s="24">
        <f>+Economico!D28+Economico!D29+Economico!D19+C16</f>
        <v>0</v>
      </c>
      <c r="E16" s="24">
        <f>+Economico!E28+Economico!E29+Economico!E19+D16</f>
        <v>0</v>
      </c>
      <c r="F16" s="24">
        <f>+Economico!F28+Economico!F29+Economico!F19+E16</f>
        <v>0</v>
      </c>
      <c r="H16" s="19"/>
    </row>
    <row r="17" spans="1:8" x14ac:dyDescent="0.25">
      <c r="A17" t="s">
        <v>82</v>
      </c>
      <c r="B17" s="24">
        <f>+Economico!B41-Banca!B10</f>
        <v>63446.3</v>
      </c>
      <c r="C17" s="24">
        <f>+Economico!C41-Banca!C10+B17</f>
        <v>124330</v>
      </c>
      <c r="D17" s="24">
        <f>+Economico!D41-Banca!D10+C17</f>
        <v>183794.2</v>
      </c>
      <c r="E17" s="24">
        <f>+Economico!E41-Banca!E10+D17</f>
        <v>242630.60000000003</v>
      </c>
      <c r="F17" s="24">
        <f>+Economico!F41-Banca!F10+E17</f>
        <v>300839.20000000007</v>
      </c>
      <c r="H17" s="19"/>
    </row>
    <row r="19" spans="1:8" x14ac:dyDescent="0.25">
      <c r="A19" s="21" t="s">
        <v>84</v>
      </c>
      <c r="B19" s="31">
        <f>SUM(B12:B18)</f>
        <v>182137.96666666667</v>
      </c>
      <c r="C19" s="31">
        <f t="shared" ref="C19:F19" si="1">SUM(C12:C18)</f>
        <v>287036.66666666663</v>
      </c>
      <c r="D19" s="31">
        <f t="shared" si="1"/>
        <v>385507.53333333333</v>
      </c>
      <c r="E19" s="31">
        <f t="shared" si="1"/>
        <v>483093.93333333335</v>
      </c>
      <c r="F19" s="31">
        <f t="shared" si="1"/>
        <v>580202.53333333344</v>
      </c>
    </row>
    <row r="21" spans="1:8" x14ac:dyDescent="0.25">
      <c r="C21" s="19"/>
      <c r="D21" s="19"/>
      <c r="E21" s="19"/>
      <c r="F21" s="19"/>
    </row>
    <row r="22" spans="1:8" x14ac:dyDescent="0.25">
      <c r="D22" s="19"/>
    </row>
  </sheetData>
  <hyperlinks>
    <hyperlink ref="C1" location="View!A1" display="TORNA MENU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C1" sqref="C1"/>
    </sheetView>
  </sheetViews>
  <sheetFormatPr defaultRowHeight="15" x14ac:dyDescent="0.25"/>
  <cols>
    <col min="1" max="1" width="18.85546875" bestFit="1" customWidth="1"/>
    <col min="2" max="2" width="9" bestFit="1" customWidth="1"/>
    <col min="3" max="6" width="10.5703125" bestFit="1" customWidth="1"/>
  </cols>
  <sheetData>
    <row r="1" spans="1:7" x14ac:dyDescent="0.25">
      <c r="A1" s="12" t="s">
        <v>50</v>
      </c>
      <c r="C1" s="15" t="s">
        <v>41</v>
      </c>
    </row>
    <row r="2" spans="1:7" x14ac:dyDescent="0.25">
      <c r="B2" s="14">
        <f>+Circolante!C2</f>
        <v>2016</v>
      </c>
      <c r="C2" s="14">
        <f>+Circolante!D2</f>
        <v>2017</v>
      </c>
      <c r="D2" s="14">
        <f>+Circolante!E2</f>
        <v>2018</v>
      </c>
      <c r="E2" s="14">
        <f>+Circolante!F2</f>
        <v>2019</v>
      </c>
      <c r="F2" s="14">
        <f>+Circolante!G2</f>
        <v>2020</v>
      </c>
      <c r="G2" s="14"/>
    </row>
    <row r="3" spans="1:7" x14ac:dyDescent="0.25">
      <c r="A3" t="s">
        <v>58</v>
      </c>
      <c r="B3" s="24">
        <f>+Circolante!C7</f>
        <v>891311.66666666663</v>
      </c>
      <c r="C3" s="24">
        <f>+Circolante!D7</f>
        <v>1017073.3333333334</v>
      </c>
      <c r="D3" s="24">
        <f>+Circolante!E7</f>
        <v>1024495</v>
      </c>
      <c r="E3" s="24">
        <f>+Circolante!F7</f>
        <v>1024800</v>
      </c>
      <c r="F3" s="24">
        <f>+Circolante!G7</f>
        <v>1024800</v>
      </c>
    </row>
    <row r="6" spans="1:7" x14ac:dyDescent="0.25">
      <c r="A6" t="s">
        <v>66</v>
      </c>
      <c r="B6" s="24">
        <f>+Circolante!C14</f>
        <v>401583.33333333337</v>
      </c>
      <c r="C6" s="24">
        <f>+Circolante!D14</f>
        <v>509350</v>
      </c>
      <c r="D6" s="24">
        <f>+Circolante!E14</f>
        <v>516873.33333333337</v>
      </c>
      <c r="E6" s="24">
        <f>+Circolante!F14</f>
        <v>517280</v>
      </c>
      <c r="F6" s="24">
        <f>+Circolante!G14</f>
        <v>517280</v>
      </c>
    </row>
    <row r="7" spans="1:7" x14ac:dyDescent="0.25">
      <c r="A7" t="s">
        <v>67</v>
      </c>
      <c r="B7" s="24">
        <f>+Economico!B15-Economico!B18</f>
        <v>150000</v>
      </c>
      <c r="C7" s="24">
        <f>+Economico!C15-Economico!C18</f>
        <v>152000</v>
      </c>
      <c r="D7" s="24">
        <f>+Economico!D15-Economico!D18</f>
        <v>153000</v>
      </c>
      <c r="E7" s="24">
        <f>+Economico!E15-Economico!E18</f>
        <v>155000</v>
      </c>
      <c r="F7" s="24">
        <f>+Economico!F15-Economico!F18</f>
        <v>157000</v>
      </c>
    </row>
    <row r="8" spans="1:7" x14ac:dyDescent="0.25">
      <c r="A8" t="s">
        <v>74</v>
      </c>
      <c r="B8" s="24">
        <f>+Economico!B38+Economico!B39</f>
        <v>80009.25</v>
      </c>
      <c r="C8" s="24">
        <f>+Economico!C38+Economico!C39</f>
        <v>77265.75</v>
      </c>
      <c r="D8" s="24">
        <f>+Economico!D38+Economico!D39</f>
        <v>75739.5</v>
      </c>
      <c r="E8" s="24">
        <f>+Economico!E38+Economico!E39</f>
        <v>75159</v>
      </c>
      <c r="F8" s="24">
        <f>+Economico!F38+Economico!F39</f>
        <v>74578.5</v>
      </c>
    </row>
    <row r="9" spans="1:7" x14ac:dyDescent="0.25">
      <c r="A9" t="s">
        <v>86</v>
      </c>
      <c r="B9" s="32">
        <f>-Circolante!C21</f>
        <v>88440</v>
      </c>
      <c r="C9" s="32">
        <f>-Circolante!D21</f>
        <v>91300</v>
      </c>
      <c r="D9" s="32">
        <f>-Circolante!E21</f>
        <v>91520</v>
      </c>
      <c r="E9" s="32">
        <f>-Circolante!F21</f>
        <v>91520</v>
      </c>
      <c r="F9" s="32">
        <f>-Circolante!G21</f>
        <v>91520</v>
      </c>
      <c r="G9" s="19"/>
    </row>
    <row r="10" spans="1:7" x14ac:dyDescent="0.25">
      <c r="A10" t="s">
        <v>81</v>
      </c>
      <c r="B10" s="32">
        <f>+Economico!B41*'Variabili Finanziarie'!C3</f>
        <v>95169.45</v>
      </c>
      <c r="C10" s="32">
        <f>+Economico!C41*'Variabili Finanziarie'!D3</f>
        <v>91325.55</v>
      </c>
      <c r="D10" s="32">
        <f>+Economico!D41*'Variabili Finanziarie'!E3</f>
        <v>89196.3</v>
      </c>
      <c r="E10" s="32">
        <f>+Economico!E41*'Variabili Finanziarie'!F3</f>
        <v>88254.599999999991</v>
      </c>
      <c r="F10" s="32">
        <f>+Economico!F41*'Variabili Finanziarie'!G3</f>
        <v>87312.9</v>
      </c>
    </row>
    <row r="11" spans="1:7" ht="15.75" thickBot="1" x14ac:dyDescent="0.3"/>
    <row r="12" spans="1:7" ht="15.75" thickBot="1" x14ac:dyDescent="0.3">
      <c r="A12" s="21" t="s">
        <v>79</v>
      </c>
      <c r="B12" s="30">
        <f>+B3-SUM(B6:B10)</f>
        <v>76109.633333333302</v>
      </c>
      <c r="C12" s="30">
        <f>+C3-SUM(C6:C10)</f>
        <v>95832.033333333326</v>
      </c>
      <c r="D12" s="30">
        <f>+D3-SUM(D6:D10)</f>
        <v>98165.866666666581</v>
      </c>
      <c r="E12" s="30">
        <f>+E3-SUM(E6:E10)</f>
        <v>97586.400000000023</v>
      </c>
      <c r="F12" s="30">
        <f>+F3-SUM(F6:F10)</f>
        <v>97108.599999999977</v>
      </c>
    </row>
    <row r="13" spans="1:7" ht="15.75" thickBot="1" x14ac:dyDescent="0.3">
      <c r="A13" s="21" t="s">
        <v>80</v>
      </c>
      <c r="B13" s="30">
        <f>+B12</f>
        <v>76109.633333333302</v>
      </c>
      <c r="C13" s="30">
        <f>+B13+C12</f>
        <v>171941.66666666663</v>
      </c>
      <c r="D13" s="30">
        <f t="shared" ref="D13:F13" si="0">+C13+D12</f>
        <v>270107.53333333321</v>
      </c>
      <c r="E13" s="30">
        <f t="shared" si="0"/>
        <v>367693.93333333323</v>
      </c>
      <c r="F13" s="30">
        <f t="shared" si="0"/>
        <v>464802.53333333321</v>
      </c>
    </row>
  </sheetData>
  <hyperlinks>
    <hyperlink ref="C1" location="View!A1" display="TORNA MENU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C13" sqref="C13:G13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7" width="11.140625" bestFit="1" customWidth="1"/>
  </cols>
  <sheetData>
    <row r="1" spans="1:7" x14ac:dyDescent="0.25">
      <c r="A1" s="15" t="s">
        <v>41</v>
      </c>
    </row>
    <row r="2" spans="1:7" x14ac:dyDescent="0.25">
      <c r="C2" s="22">
        <f>+Economico!B3</f>
        <v>2016</v>
      </c>
      <c r="D2" s="22">
        <f>+Economico!C3</f>
        <v>2017</v>
      </c>
      <c r="E2" s="22">
        <f>+Economico!D3</f>
        <v>2018</v>
      </c>
      <c r="F2" s="22">
        <f>+Economico!E3</f>
        <v>2019</v>
      </c>
      <c r="G2" s="22">
        <f>+Economico!F3</f>
        <v>2020</v>
      </c>
    </row>
    <row r="3" spans="1:7" x14ac:dyDescent="0.25">
      <c r="B3" s="4" t="s">
        <v>55</v>
      </c>
      <c r="C3" s="24">
        <f>+Economico!B4+Economico!B6+Economico!B7+Economico!B8</f>
        <v>797000</v>
      </c>
      <c r="D3" s="24">
        <f>+Economico!C4+Economico!C6+Economico!C7+Economico!C8</f>
        <v>837000</v>
      </c>
      <c r="E3" s="24">
        <f>+Economico!D4+Economico!D6+Economico!D7+Economico!D8</f>
        <v>840000</v>
      </c>
      <c r="F3" s="24">
        <f>+Economico!E4+Economico!E6+Economico!E7+Economico!E8</f>
        <v>840000</v>
      </c>
      <c r="G3" s="24">
        <f>+Economico!F4+Economico!F6+Economico!F7+Economico!F8</f>
        <v>840000</v>
      </c>
    </row>
    <row r="4" spans="1:7" x14ac:dyDescent="0.25">
      <c r="B4" s="4" t="s">
        <v>56</v>
      </c>
      <c r="C4" s="24">
        <f>+C3*'Variabili Finanziarie'!C5</f>
        <v>175340</v>
      </c>
      <c r="D4" s="24">
        <f>+D3*'Variabili Finanziarie'!D5</f>
        <v>184140</v>
      </c>
      <c r="E4" s="24">
        <f>+E3*'Variabili Finanziarie'!E5</f>
        <v>184800</v>
      </c>
      <c r="F4" s="24">
        <f>+F3*'Variabili Finanziarie'!F5</f>
        <v>184800</v>
      </c>
      <c r="G4" s="24">
        <f>+G3*'Variabili Finanziarie'!G5</f>
        <v>184800</v>
      </c>
    </row>
    <row r="5" spans="1:7" x14ac:dyDescent="0.25">
      <c r="B5" s="4" t="s">
        <v>31</v>
      </c>
      <c r="C5" s="25">
        <f>+'Variabili Finanziarie'!C8</f>
        <v>30</v>
      </c>
      <c r="D5" s="25">
        <f>+'Variabili Finanziarie'!D8</f>
        <v>30</v>
      </c>
      <c r="E5" s="25">
        <f>+'Variabili Finanziarie'!E8</f>
        <v>30</v>
      </c>
      <c r="F5" s="25">
        <f>+'Variabili Finanziarie'!F8</f>
        <v>30</v>
      </c>
      <c r="G5" s="25">
        <f>+'Variabili Finanziarie'!G8</f>
        <v>30</v>
      </c>
    </row>
    <row r="6" spans="1:7" x14ac:dyDescent="0.25">
      <c r="B6" s="7" t="s">
        <v>57</v>
      </c>
      <c r="C6" s="26">
        <f>+(C5/360)*(C3+C4)</f>
        <v>81028.333333333328</v>
      </c>
      <c r="D6" s="26">
        <f t="shared" ref="D6:G6" si="0">+(D5/360)*(D3+D4)</f>
        <v>85095</v>
      </c>
      <c r="E6" s="26">
        <f t="shared" si="0"/>
        <v>85400</v>
      </c>
      <c r="F6" s="26">
        <f t="shared" si="0"/>
        <v>85400</v>
      </c>
      <c r="G6" s="26">
        <f t="shared" si="0"/>
        <v>85400</v>
      </c>
    </row>
    <row r="7" spans="1:7" x14ac:dyDescent="0.25">
      <c r="B7" s="7" t="s">
        <v>58</v>
      </c>
      <c r="C7" s="26">
        <f>+C3+C4-C6</f>
        <v>891311.66666666663</v>
      </c>
      <c r="D7" s="26">
        <f>+D3+D4-D6+C6</f>
        <v>1017073.3333333334</v>
      </c>
      <c r="E7" s="26">
        <f>+E3+E4-E6+D6</f>
        <v>1024495</v>
      </c>
      <c r="F7" s="26">
        <f>+F3+F4-F6+E6</f>
        <v>1024800</v>
      </c>
      <c r="G7" s="26">
        <f>+G3+G4-G6+F6</f>
        <v>1024800</v>
      </c>
    </row>
    <row r="10" spans="1:7" x14ac:dyDescent="0.25">
      <c r="B10" t="s">
        <v>59</v>
      </c>
      <c r="C10" s="24">
        <f>+Economico!B12+Economico!B13+Economico!B14+Economico!B30</f>
        <v>395000</v>
      </c>
      <c r="D10" s="24">
        <f>+Economico!C12+Economico!C13+Economico!C14+Economico!C30</f>
        <v>422000</v>
      </c>
      <c r="E10" s="24">
        <f>+Economico!D12+Economico!D13+Economico!D14+Economico!D30</f>
        <v>424000</v>
      </c>
      <c r="F10" s="24">
        <f>+Economico!E12+Economico!E13+Economico!E14+Economico!E30</f>
        <v>424000</v>
      </c>
      <c r="G10" s="24">
        <f>+Economico!F12+Economico!F13+Economico!F14+Economico!F30</f>
        <v>424000</v>
      </c>
    </row>
    <row r="11" spans="1:7" x14ac:dyDescent="0.25">
      <c r="B11" t="s">
        <v>60</v>
      </c>
      <c r="C11" s="24">
        <f>+C10*'Variabili Finanziarie'!C6</f>
        <v>86900</v>
      </c>
      <c r="D11" s="24">
        <f>+D10*'Variabili Finanziarie'!D6</f>
        <v>92840</v>
      </c>
      <c r="E11" s="24">
        <f>+E10*'Variabili Finanziarie'!E6</f>
        <v>93280</v>
      </c>
      <c r="F11" s="24">
        <f>+F10*'Variabili Finanziarie'!F6</f>
        <v>93280</v>
      </c>
      <c r="G11" s="24">
        <f>+G10*'Variabili Finanziarie'!G6</f>
        <v>93280</v>
      </c>
    </row>
    <row r="12" spans="1:7" x14ac:dyDescent="0.25">
      <c r="B12" t="s">
        <v>31</v>
      </c>
      <c r="C12" s="25">
        <f>+'Variabili Finanziarie'!C9</f>
        <v>60</v>
      </c>
      <c r="D12" s="25">
        <f>+'Variabili Finanziarie'!D9</f>
        <v>60</v>
      </c>
      <c r="E12" s="25">
        <f>+'Variabili Finanziarie'!E9</f>
        <v>60</v>
      </c>
      <c r="F12" s="25">
        <f>+'Variabili Finanziarie'!F9</f>
        <v>60</v>
      </c>
      <c r="G12" s="25">
        <f>+'Variabili Finanziarie'!G9</f>
        <v>60</v>
      </c>
    </row>
    <row r="13" spans="1:7" x14ac:dyDescent="0.25">
      <c r="B13" s="20" t="s">
        <v>61</v>
      </c>
      <c r="C13" s="26">
        <f>+(C12/360)*(C10+C11)</f>
        <v>80316.666666666657</v>
      </c>
      <c r="D13" s="26">
        <f t="shared" ref="D13:G13" si="1">+(D12/360)*(D10+D11)</f>
        <v>85806.666666666657</v>
      </c>
      <c r="E13" s="26">
        <f t="shared" si="1"/>
        <v>86213.333333333328</v>
      </c>
      <c r="F13" s="26">
        <f t="shared" si="1"/>
        <v>86213.333333333328</v>
      </c>
      <c r="G13" s="26">
        <f t="shared" si="1"/>
        <v>86213.333333333328</v>
      </c>
    </row>
    <row r="14" spans="1:7" x14ac:dyDescent="0.25">
      <c r="B14" s="20" t="s">
        <v>62</v>
      </c>
      <c r="C14" s="26">
        <f>+C10+C11-C13</f>
        <v>401583.33333333337</v>
      </c>
      <c r="D14" s="26">
        <f>+D10+D11-D13+C13</f>
        <v>509350</v>
      </c>
      <c r="E14" s="26">
        <f>+E10+E11-E13+D13</f>
        <v>516873.33333333337</v>
      </c>
      <c r="F14" s="26">
        <f>+F10+F11-F13+E13</f>
        <v>517280</v>
      </c>
      <c r="G14" s="26">
        <f>+G10+G11-G13+F13</f>
        <v>517280</v>
      </c>
    </row>
    <row r="17" spans="2:7" x14ac:dyDescent="0.25">
      <c r="B17" t="s">
        <v>64</v>
      </c>
    </row>
    <row r="18" spans="2:7" x14ac:dyDescent="0.25">
      <c r="B18" t="s">
        <v>56</v>
      </c>
      <c r="C18" s="24">
        <f>+C4</f>
        <v>175340</v>
      </c>
      <c r="D18" s="24">
        <f t="shared" ref="D18:G18" si="2">+D4</f>
        <v>184140</v>
      </c>
      <c r="E18" s="24">
        <f t="shared" si="2"/>
        <v>184800</v>
      </c>
      <c r="F18" s="24">
        <f t="shared" si="2"/>
        <v>184800</v>
      </c>
      <c r="G18" s="24">
        <f t="shared" si="2"/>
        <v>184800</v>
      </c>
    </row>
    <row r="19" spans="2:7" x14ac:dyDescent="0.25">
      <c r="B19" t="s">
        <v>60</v>
      </c>
      <c r="C19" s="24">
        <f>+C11</f>
        <v>86900</v>
      </c>
      <c r="D19" s="24">
        <f t="shared" ref="D19:G19" si="3">+D11</f>
        <v>92840</v>
      </c>
      <c r="E19" s="24">
        <f t="shared" si="3"/>
        <v>93280</v>
      </c>
      <c r="F19" s="24">
        <f t="shared" si="3"/>
        <v>93280</v>
      </c>
      <c r="G19" s="24">
        <f t="shared" si="3"/>
        <v>93280</v>
      </c>
    </row>
    <row r="20" spans="2:7" x14ac:dyDescent="0.25">
      <c r="B20" t="s">
        <v>65</v>
      </c>
      <c r="C20" s="24">
        <f>-C18+C19</f>
        <v>-88440</v>
      </c>
      <c r="D20" s="24">
        <f t="shared" ref="D20:G20" si="4">-D18+D19</f>
        <v>-91300</v>
      </c>
      <c r="E20" s="24">
        <f t="shared" si="4"/>
        <v>-91520</v>
      </c>
      <c r="F20" s="24">
        <f t="shared" si="4"/>
        <v>-91520</v>
      </c>
      <c r="G20" s="24">
        <f t="shared" si="4"/>
        <v>-91520</v>
      </c>
    </row>
    <row r="21" spans="2:7" x14ac:dyDescent="0.25">
      <c r="B21" t="s">
        <v>64</v>
      </c>
      <c r="C21" s="24">
        <f>+C20</f>
        <v>-88440</v>
      </c>
      <c r="D21" s="24">
        <f t="shared" ref="D21:G21" si="5">+D20</f>
        <v>-91300</v>
      </c>
      <c r="E21" s="24">
        <f t="shared" si="5"/>
        <v>-91520</v>
      </c>
      <c r="F21" s="24">
        <f t="shared" si="5"/>
        <v>-91520</v>
      </c>
      <c r="G21" s="24">
        <f t="shared" si="5"/>
        <v>-91520</v>
      </c>
    </row>
  </sheetData>
  <hyperlinks>
    <hyperlink ref="A1" location="View!A1" display="TORNA MENU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C4" sqref="C4"/>
    </sheetView>
  </sheetViews>
  <sheetFormatPr defaultRowHeight="15" x14ac:dyDescent="0.25"/>
  <cols>
    <col min="1" max="1" width="25.5703125" bestFit="1" customWidth="1"/>
    <col min="2" max="3" width="11.42578125" bestFit="1" customWidth="1"/>
    <col min="4" max="7" width="10.140625" bestFit="1" customWidth="1"/>
  </cols>
  <sheetData>
    <row r="1" spans="1:8" x14ac:dyDescent="0.25">
      <c r="A1" s="15" t="s">
        <v>41</v>
      </c>
      <c r="B1" s="12" t="s">
        <v>50</v>
      </c>
    </row>
    <row r="2" spans="1:8" x14ac:dyDescent="0.25">
      <c r="C2" s="14">
        <f>+Economico!B3</f>
        <v>2016</v>
      </c>
      <c r="D2" s="14">
        <f>+Economico!C3</f>
        <v>2017</v>
      </c>
      <c r="E2" s="14">
        <f>+Economico!D3</f>
        <v>2018</v>
      </c>
      <c r="F2" s="14">
        <f>+Economico!E3</f>
        <v>2019</v>
      </c>
      <c r="G2" s="14">
        <f>+Economico!F3</f>
        <v>2020</v>
      </c>
      <c r="H2" s="14"/>
    </row>
    <row r="4" spans="1:8" x14ac:dyDescent="0.25">
      <c r="A4" t="s">
        <v>43</v>
      </c>
      <c r="B4" s="27">
        <v>0.12</v>
      </c>
      <c r="C4" s="24">
        <f>+'Composizione Fonti'!E4</f>
        <v>50000</v>
      </c>
      <c r="D4" s="24">
        <f>+'Composizione Fonti'!F4</f>
        <v>50000</v>
      </c>
      <c r="E4" s="24">
        <f>+'Composizione Fonti'!G4</f>
        <v>50000</v>
      </c>
      <c r="F4" s="24">
        <f>+'Composizione Fonti'!H4</f>
        <v>50000</v>
      </c>
      <c r="G4" s="24">
        <f>+'Composizione Fonti'!I4</f>
        <v>50000</v>
      </c>
    </row>
    <row r="5" spans="1:8" x14ac:dyDescent="0.25">
      <c r="A5" t="s">
        <v>44</v>
      </c>
      <c r="B5" s="27">
        <v>0.12</v>
      </c>
      <c r="C5" s="24">
        <f>+'Composizione Fonti'!D5+'SP Previsionale'!B17</f>
        <v>63446.3</v>
      </c>
      <c r="D5" s="24">
        <f>+'Composizione Fonti'!E5+'SP Previsionale'!C17</f>
        <v>124330</v>
      </c>
      <c r="E5" s="24">
        <f>+'Composizione Fonti'!F5+'SP Previsionale'!D17</f>
        <v>183794.2</v>
      </c>
      <c r="F5" s="24">
        <f>+'Composizione Fonti'!G5+'SP Previsionale'!E17</f>
        <v>242630.60000000003</v>
      </c>
      <c r="G5" s="24">
        <f>+'Composizione Fonti'!H5+'SP Previsionale'!F17</f>
        <v>300839.20000000007</v>
      </c>
    </row>
    <row r="7" spans="1:8" x14ac:dyDescent="0.25">
      <c r="A7" t="s">
        <v>33</v>
      </c>
      <c r="B7" s="27">
        <v>7.0000000000000007E-2</v>
      </c>
      <c r="C7" s="24">
        <f>+'Composizione Fonti'!D7</f>
        <v>55000</v>
      </c>
      <c r="D7" s="24">
        <f>+'Composizione Fonti'!E7</f>
        <v>50000</v>
      </c>
      <c r="E7" s="24">
        <f>+'Composizione Fonti'!F7</f>
        <v>45000</v>
      </c>
      <c r="F7" s="24">
        <f>+'Composizione Fonti'!G7</f>
        <v>40000</v>
      </c>
      <c r="G7" s="24">
        <f>+'Composizione Fonti'!H7</f>
        <v>35000</v>
      </c>
    </row>
    <row r="8" spans="1:8" x14ac:dyDescent="0.25">
      <c r="A8" t="s">
        <v>52</v>
      </c>
      <c r="B8" s="27">
        <v>7.0000000000000007E-2</v>
      </c>
      <c r="C8" s="24">
        <f>+'Composizione Fonti'!D8</f>
        <v>0</v>
      </c>
      <c r="D8" s="24">
        <f>+'Composizione Fonti'!E8</f>
        <v>0</v>
      </c>
      <c r="E8" s="24">
        <f>+'Composizione Fonti'!F8</f>
        <v>0</v>
      </c>
      <c r="F8" s="24">
        <f>+'Composizione Fonti'!G8</f>
        <v>0</v>
      </c>
      <c r="G8" s="24">
        <f>+'Composizione Fonti'!H8</f>
        <v>0</v>
      </c>
    </row>
    <row r="10" spans="1:8" x14ac:dyDescent="0.25">
      <c r="A10" t="s">
        <v>51</v>
      </c>
      <c r="B10" s="27">
        <v>0.05</v>
      </c>
      <c r="C10" s="24">
        <f>+'Composizione Fonti'!D10+'SP Previsionale'!B14+'SP Previsionale'!B15+'SP Previsionale'!B16</f>
        <v>83375</v>
      </c>
      <c r="D10" s="24">
        <f>+'Composizione Fonti'!E10+'SP Previsionale'!C14+'SP Previsionale'!C15+'SP Previsionale'!C16</f>
        <v>76900</v>
      </c>
      <c r="E10" s="24">
        <f>+'Composizione Fonti'!F10+'SP Previsionale'!D14+'SP Previsionale'!D15+'SP Previsionale'!D16</f>
        <v>115500</v>
      </c>
      <c r="F10" s="24">
        <f>+'Composizione Fonti'!G10+'SP Previsionale'!E14+'SP Previsionale'!E15+'SP Previsionale'!E16</f>
        <v>154250</v>
      </c>
      <c r="G10" s="24">
        <f>+'Composizione Fonti'!H10+'SP Previsionale'!F14+'SP Previsionale'!F15+'SP Previsionale'!F16</f>
        <v>193150</v>
      </c>
    </row>
    <row r="12" spans="1:8" x14ac:dyDescent="0.25">
      <c r="A12" t="s">
        <v>53</v>
      </c>
      <c r="B12" s="27">
        <v>7.0000000000000007E-2</v>
      </c>
      <c r="C12" s="24">
        <f>+'SP Previsionale'!B13</f>
        <v>80316.666666666657</v>
      </c>
      <c r="D12" s="24">
        <f>+'SP Previsionale'!C13</f>
        <v>85806.666666666657</v>
      </c>
      <c r="E12" s="24">
        <f>+'SP Previsionale'!D13</f>
        <v>86213.333333333328</v>
      </c>
      <c r="F12" s="24">
        <f>+'SP Previsionale'!E13</f>
        <v>86213.333333333328</v>
      </c>
      <c r="G12" s="24">
        <f>+'SP Previsionale'!F13</f>
        <v>86213.333333333328</v>
      </c>
    </row>
    <row r="14" spans="1:8" x14ac:dyDescent="0.25">
      <c r="A14" t="s">
        <v>54</v>
      </c>
      <c r="B14" s="27">
        <v>0.04</v>
      </c>
      <c r="C14" s="24">
        <f>+'SP Previsionale'!B12</f>
        <v>0</v>
      </c>
      <c r="D14" s="24">
        <f>+'SP Previsionale'!C12</f>
        <v>0</v>
      </c>
      <c r="E14" s="24">
        <f>+'SP Previsionale'!D12</f>
        <v>0</v>
      </c>
      <c r="F14" s="24">
        <f>+'SP Previsionale'!E12</f>
        <v>0</v>
      </c>
      <c r="G14" s="24">
        <f>+'SP Previsionale'!F12</f>
        <v>0</v>
      </c>
    </row>
    <row r="17" spans="1:7" x14ac:dyDescent="0.25">
      <c r="A17" s="21" t="s">
        <v>88</v>
      </c>
      <c r="B17" s="21"/>
      <c r="C17" s="33">
        <f>+(($B4*C4)+($B5*C5)+($B7*C7)+($B8*C8)+($B10*C10)+($B12*C12)+($B14*C14))/SUM(C4:C14)</f>
        <v>8.2057685064409483E-2</v>
      </c>
      <c r="D17" s="33">
        <f>+(($B4*D4)+($B5*D5)+($B7*D7)+($B8*D8)+($B10*D10)+($B12*D12)+($B14*D14))/SUM(D4:D14)</f>
        <v>8.8547338322811794E-2</v>
      </c>
      <c r="E17" s="33">
        <f t="shared" ref="E17:G17" si="0">+(($B4*E4)+($B5*E5)+($B7*E7)+($B8*E8)+($B10*E10)+($B12*E12)+($B14*E14))/SUM(E4:E14)</f>
        <v>8.9520422364519306E-2</v>
      </c>
      <c r="F17" s="33">
        <f t="shared" si="0"/>
        <v>9.0147709351660679E-2</v>
      </c>
      <c r="G17" s="33">
        <f t="shared" si="0"/>
        <v>9.0563601782234132E-2</v>
      </c>
    </row>
    <row r="19" spans="1:7" x14ac:dyDescent="0.25">
      <c r="A19" t="s">
        <v>111</v>
      </c>
      <c r="C19" s="19">
        <f>+SUM(C4:C14)</f>
        <v>332137.96666666667</v>
      </c>
      <c r="D19" s="19">
        <f t="shared" ref="D19:G19" si="1">+SUM(D4:D14)</f>
        <v>387036.66666666663</v>
      </c>
      <c r="E19" s="19">
        <f t="shared" si="1"/>
        <v>480507.53333333333</v>
      </c>
      <c r="F19" s="19">
        <f t="shared" si="1"/>
        <v>573093.93333333335</v>
      </c>
      <c r="G19" s="19">
        <f t="shared" si="1"/>
        <v>665202.53333333344</v>
      </c>
    </row>
    <row r="20" spans="1:7" x14ac:dyDescent="0.25">
      <c r="C20">
        <f>+C19*C17</f>
        <v>27254.472666666668</v>
      </c>
      <c r="D20">
        <f t="shared" ref="D20:G20" si="2">+D19*D17</f>
        <v>34271.066666666666</v>
      </c>
      <c r="E20">
        <f t="shared" si="2"/>
        <v>43015.237333333338</v>
      </c>
      <c r="F20">
        <f t="shared" si="2"/>
        <v>51663.105333333333</v>
      </c>
      <c r="G20">
        <f t="shared" si="2"/>
        <v>60243.137333333339</v>
      </c>
    </row>
  </sheetData>
  <hyperlinks>
    <hyperlink ref="A1" location="View!A1" display="TORNA MENU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/>
  </sheetViews>
  <sheetFormatPr defaultRowHeight="15" x14ac:dyDescent="0.25"/>
  <cols>
    <col min="1" max="1" width="34.42578125" bestFit="1" customWidth="1"/>
    <col min="7" max="7" width="11.42578125" bestFit="1" customWidth="1"/>
  </cols>
  <sheetData>
    <row r="1" spans="1:7" x14ac:dyDescent="0.25">
      <c r="A1" s="15" t="s">
        <v>41</v>
      </c>
    </row>
    <row r="2" spans="1:7" x14ac:dyDescent="0.25"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</row>
    <row r="3" spans="1:7" ht="15.75" thickBot="1" x14ac:dyDescent="0.3">
      <c r="B3" s="11">
        <f>+Economico!B3</f>
        <v>2016</v>
      </c>
      <c r="C3" s="11">
        <f>+Economico!C3</f>
        <v>2017</v>
      </c>
      <c r="D3" s="11">
        <f>+Economico!D3</f>
        <v>2018</v>
      </c>
      <c r="E3" s="11">
        <f>+Economico!E3</f>
        <v>2019</v>
      </c>
      <c r="F3" s="11">
        <f>+Economico!F3</f>
        <v>2020</v>
      </c>
      <c r="G3" s="11" t="s">
        <v>117</v>
      </c>
    </row>
    <row r="4" spans="1:7" ht="16.5" thickTop="1" thickBot="1" x14ac:dyDescent="0.3">
      <c r="A4" s="10" t="s">
        <v>73</v>
      </c>
      <c r="B4" s="30">
        <f>+Economico!B41</f>
        <v>158615.75</v>
      </c>
      <c r="C4" s="30">
        <f>+Economico!C41</f>
        <v>152209.25</v>
      </c>
      <c r="D4" s="30">
        <f>+Economico!D41</f>
        <v>148660.5</v>
      </c>
      <c r="E4" s="30">
        <f>+Economico!E41</f>
        <v>147091</v>
      </c>
      <c r="F4" s="30">
        <f>+Economico!F41</f>
        <v>145521.5</v>
      </c>
      <c r="G4" s="30">
        <f>+F4</f>
        <v>145521.5</v>
      </c>
    </row>
    <row r="6" spans="1:7" x14ac:dyDescent="0.25">
      <c r="A6" t="s">
        <v>114</v>
      </c>
      <c r="B6" s="24">
        <f>+Wacc!C19</f>
        <v>332137.96666666667</v>
      </c>
      <c r="C6" s="24">
        <f>+Wacc!D19</f>
        <v>387036.66666666663</v>
      </c>
      <c r="D6" s="24">
        <f>+Wacc!E19</f>
        <v>480507.53333333333</v>
      </c>
      <c r="E6" s="24">
        <f>+Wacc!F19</f>
        <v>573093.93333333335</v>
      </c>
      <c r="F6" s="24">
        <f>+Wacc!G19</f>
        <v>665202.53333333344</v>
      </c>
      <c r="G6" s="24"/>
    </row>
    <row r="7" spans="1:7" ht="15.75" thickBot="1" x14ac:dyDescent="0.3">
      <c r="A7" t="s">
        <v>105</v>
      </c>
      <c r="B7" s="53">
        <f>+Wacc!C17</f>
        <v>8.2057685064409483E-2</v>
      </c>
      <c r="C7" s="53">
        <f>+Wacc!D17</f>
        <v>8.8547338322811794E-2</v>
      </c>
      <c r="D7" s="53">
        <f>+Wacc!E17</f>
        <v>8.9520422364519306E-2</v>
      </c>
      <c r="E7" s="53">
        <f>+Wacc!F17</f>
        <v>9.0147709351660679E-2</v>
      </c>
      <c r="F7" s="53">
        <f>+Wacc!G17</f>
        <v>9.0563601782234132E-2</v>
      </c>
      <c r="G7" s="53">
        <f>+F7</f>
        <v>9.0563601782234132E-2</v>
      </c>
    </row>
    <row r="8" spans="1:7" ht="15.75" thickBot="1" x14ac:dyDescent="0.3">
      <c r="A8" s="10" t="s">
        <v>115</v>
      </c>
      <c r="B8" s="30">
        <f>+B7*B6</f>
        <v>27254.472666666668</v>
      </c>
      <c r="C8" s="30">
        <f t="shared" ref="C8:F8" si="0">+C7*C6</f>
        <v>34271.066666666666</v>
      </c>
      <c r="D8" s="30">
        <f t="shared" si="0"/>
        <v>43015.237333333338</v>
      </c>
      <c r="E8" s="30">
        <f t="shared" si="0"/>
        <v>51663.105333333333</v>
      </c>
      <c r="F8" s="30">
        <f t="shared" si="0"/>
        <v>60243.137333333339</v>
      </c>
      <c r="G8" s="30">
        <f>+F8</f>
        <v>60243.137333333339</v>
      </c>
    </row>
    <row r="10" spans="1:7" x14ac:dyDescent="0.25">
      <c r="A10" t="s">
        <v>116</v>
      </c>
      <c r="B10" s="19">
        <f>+B4-B8</f>
        <v>131361.27733333333</v>
      </c>
      <c r="C10" s="19">
        <f t="shared" ref="C10:F10" si="1">+C4-C8</f>
        <v>117938.18333333333</v>
      </c>
      <c r="D10" s="19">
        <f t="shared" si="1"/>
        <v>105645.26266666666</v>
      </c>
      <c r="E10" s="19">
        <f t="shared" si="1"/>
        <v>95427.89466666666</v>
      </c>
      <c r="F10" s="19">
        <f t="shared" si="1"/>
        <v>85278.362666666653</v>
      </c>
      <c r="G10" s="19"/>
    </row>
    <row r="11" spans="1:7" x14ac:dyDescent="0.25">
      <c r="A11" t="s">
        <v>118</v>
      </c>
      <c r="G11" s="23">
        <f>(G8/(1+(G13))^G2)/G13</f>
        <v>395410.23077936337</v>
      </c>
    </row>
    <row r="13" spans="1:7" ht="15.75" thickBot="1" x14ac:dyDescent="0.3">
      <c r="A13" t="s">
        <v>88</v>
      </c>
      <c r="B13" s="44">
        <f>+B7</f>
        <v>8.2057685064409483E-2</v>
      </c>
      <c r="C13" s="44">
        <f t="shared" ref="C13:G13" si="2">+C7</f>
        <v>8.8547338322811794E-2</v>
      </c>
      <c r="D13" s="44">
        <f t="shared" si="2"/>
        <v>8.9520422364519306E-2</v>
      </c>
      <c r="E13" s="44">
        <f t="shared" si="2"/>
        <v>9.0147709351660679E-2</v>
      </c>
      <c r="F13" s="44">
        <f t="shared" si="2"/>
        <v>9.0563601782234132E-2</v>
      </c>
      <c r="G13" s="44">
        <f t="shared" si="2"/>
        <v>9.0563601782234132E-2</v>
      </c>
    </row>
    <row r="14" spans="1:7" ht="15.75" thickBot="1" x14ac:dyDescent="0.3">
      <c r="A14" s="10" t="s">
        <v>119</v>
      </c>
      <c r="B14" s="30">
        <f>+B10/(1+B13)^B2</f>
        <v>121399.51422785196</v>
      </c>
      <c r="C14" s="30">
        <f t="shared" ref="C14:F14" si="3">+C10/(1+C13)^C2</f>
        <v>99531.326782151722</v>
      </c>
      <c r="D14" s="30">
        <f t="shared" si="3"/>
        <v>81685.298712738833</v>
      </c>
      <c r="E14" s="30">
        <f t="shared" si="3"/>
        <v>67566.894160194628</v>
      </c>
      <c r="F14" s="30">
        <f t="shared" si="3"/>
        <v>55282.014382132518</v>
      </c>
      <c r="G14" s="30">
        <f>+G11/(1+G13)^G2</f>
        <v>235040.07091121929</v>
      </c>
    </row>
    <row r="16" spans="1:7" x14ac:dyDescent="0.25">
      <c r="A16" t="s">
        <v>120</v>
      </c>
      <c r="B16" s="19">
        <f>+SUM(B14:G14)</f>
        <v>660505.11917628895</v>
      </c>
    </row>
    <row r="17" spans="1:2" ht="15.75" thickBot="1" x14ac:dyDescent="0.3">
      <c r="A17" t="s">
        <v>121</v>
      </c>
      <c r="B17" s="14">
        <f>+'Composizione Fonti'!D4+'Composizione Fonti'!D5</f>
        <v>50000</v>
      </c>
    </row>
    <row r="18" spans="1:2" ht="16.5" thickTop="1" thickBot="1" x14ac:dyDescent="0.3">
      <c r="A18" s="49" t="s">
        <v>91</v>
      </c>
      <c r="B18" s="50">
        <f>+B16+B17</f>
        <v>710505.11917628895</v>
      </c>
    </row>
    <row r="19" spans="1:2" ht="15.75" thickTop="1" x14ac:dyDescent="0.25"/>
  </sheetData>
  <hyperlinks>
    <hyperlink ref="A1" location="View!A1" display="TORNA MEN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View</vt:lpstr>
      <vt:lpstr>Composizione Fonti</vt:lpstr>
      <vt:lpstr>Variabili Finanziarie</vt:lpstr>
      <vt:lpstr>Economico</vt:lpstr>
      <vt:lpstr>SP Previsionale</vt:lpstr>
      <vt:lpstr>Banca</vt:lpstr>
      <vt:lpstr>Circolante</vt:lpstr>
      <vt:lpstr>Wacc</vt:lpstr>
      <vt:lpstr>Eva</vt:lpstr>
      <vt:lpstr>Valutazione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Imperiale, Gianluca</dc:creator>
  <cp:lastModifiedBy>Imperiale, Gianluca</cp:lastModifiedBy>
  <dcterms:created xsi:type="dcterms:W3CDTF">2015-05-07T15:35:18Z</dcterms:created>
  <dcterms:modified xsi:type="dcterms:W3CDTF">2015-05-16T22:07:44Z</dcterms:modified>
</cp:coreProperties>
</file>