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finanziamento" sheetId="10" r:id="rId10"/>
    <sheet name="Altri costi" sheetId="11" r:id="rId11"/>
    <sheet name="Iva" sheetId="12" r:id="rId12"/>
    <sheet name="Irap" sheetId="13" r:id="rId13"/>
    <sheet name="Irpef socio" sheetId="14" r:id="rId14"/>
    <sheet name="Inps socio" sheetId="15" r:id="rId15"/>
    <sheet name="Banca" sheetId="16" r:id="rId16"/>
    <sheet name="Sheet5" sheetId="17" r:id="rId1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<sst xmlns="http://schemas.openxmlformats.org/spreadsheetml/2006/main" count="586" uniqueCount="412">
  <si>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</si>
  <si>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</si>
  <si>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</si>
  <si>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</si>
  <si>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</si>
  <si>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</si>
  <si>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</si>
  <si>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</si>
  <si>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</si>
  <si>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</si>
  <si>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</si>
  <si>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</si>
  <si>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</si>
  <si>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</si>
  <si>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</si>
  <si>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</si>
  <si>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</si>
  <si>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</si>
  <si>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</si>
  <si>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</si>
  <si>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</si>
  <si>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</si>
  <si>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</si>
  <si>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</si>
  <si>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</si>
  <si>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</si>
  <si>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</si>
  <si>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</si>
  <si>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</si>
  <si>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</si>
  <si>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</si>
  <si>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</si>
  <si>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</si>
  <si>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</si>
  <si>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</si>
  <si>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</si>
  <si>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</si>
  <si>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</si>
  <si>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</si>
  <si>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</si>
  <si>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</si>
  <si>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</si>
  <si>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</si>
  <si>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</si>
  <si>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</si>
  <si>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</si>
  <si>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</si>
  <si>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</si>
  <si>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</si>
  <si>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</si>
  <si>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</si>
  <si>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</si>
  <si>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</si>
  <si>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</si>
  <si>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</si>
  <si>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</si>
  <si>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</si>
  <si>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</si>
  <si>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</si>
  <si>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</si>
  <si>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</si>
  <si>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</si>
  <si>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</si>
  <si>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</si>
  <si>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</si>
  <si>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</si>
  <si>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</si>
  <si>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</si>
  <si>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</si>
  <si>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</si>
  <si>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</si>
  <si>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</si>
  <si>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</si>
  <si>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</si>
  <si>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</si>
  <si>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</si>
  <si>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</si>
  <si>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</si>
  <si>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</si>
  <si>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</si>
  <si>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</si>
  <si>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</si>
  <si>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</si>
  <si>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</si>
  <si>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</si>
  <si>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</si>
  <si>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</si>
  <si>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</si>
  <si>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</si>
  <si>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</si>
  <si>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</si>
  <si>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</si>
  <si>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</si>
  <si>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</si>
  <si>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</si>
  <si>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</si>
  <si>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</si>
  <si>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</si>
  <si>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</si>
  <si>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</si>
  <si>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</si>
  <si>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</si>
  <si>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</si>
  <si>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</si>
  <si>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</si>
  <si>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</si>
  <si>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</si>
  <si>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</si>
  <si>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</si>
  <si>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</si>
  <si>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</si>
  <si>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</si>
  <si>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</si>
  <si>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</si>
  <si>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</si>
  <si>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</si>
  <si>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</si>
  <si>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</si>
  <si>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</si>
  <si>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</si>
  <si>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</si>
  <si>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</si>
  <si>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</si>
  <si>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</si>
  <si>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</si>
  <si>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</si>
  <si>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</si>
  <si>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</si>
  <si>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</si>
  <si>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</si>
  <si>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</si>
  <si>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</si>
  <si>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</si>
  <si>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</si>
  <si>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</si>
  <si>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</si>
  <si>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</si>
  <si>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</si>
  <si>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</si>
  <si>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</si>
  <si>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</si>
  <si>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</si>
  <si>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</si>
  <si>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</si>
  <si>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</si>
  <si>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</si>
  <si>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</si>
  <si>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</si>
  <si>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</si>
  <si>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</si>
  <si>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</si>
  <si>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</si>
  <si>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</si>
  <si>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</si>
  <si>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</si>
  <si>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</si>
  <si>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</si>
  <si>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</si>
  <si>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</si>
  <si>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</si>
  <si>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</si>
  <si>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</si>
  <si>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</si>
  <si>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</si>
  <si>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</si>
  <si>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</si>
  <si>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</si>
  <si>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</si>
  <si>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</si>
  <si>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</si>
  <si>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</si>
  <si>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</si>
  <si>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</si>
  <si>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</si>
  <si>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</si>
  <si>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</si>
  <si>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</si>
  <si>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</si>
  <si>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</si>
  <si>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</si>
  <si>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</si>
  <si>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</si>
  <si>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</si>
  <si>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</si>
  <si>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</si>
  <si>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</si>
  <si>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</si>
  <si>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</si>
  <si>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</si>
  <si>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</si>
  <si>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</si>
  <si>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</si>
  <si>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</si>
  <si>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</si>
  <si>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</si>
  <si>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</si>
  <si>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</si>
  <si>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</si>
  <si>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</si>
  <si>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</si>
  <si>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</si>
  <si>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</si>
  <si>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</si>
  <si>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</si>
  <si>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</si>
  <si>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</si>
  <si>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</si>
  <si>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</si>
  <si>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</si>
  <si>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</si>
  <si>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</si>
  <si>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</si>
  <si>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</si>
  <si>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</si>
  <si>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</si>
  <si>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</si>
  <si>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</si>
  <si>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</si>
  <si>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</si>
  <si>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</si>
  <si>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</si>
  <si>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</si>
  <si>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</si>
  <si>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</si>
  <si>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</si>
  <si>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</si>
  <si>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</si>
  <si>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</si>
  <si>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</si>
  <si>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</si>
  <si>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</si>
  <si>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</si>
  <si>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</si>
  <si>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</si>
  <si>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</si>
  <si>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</si>
  <si>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</si>
  <si>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</si>
  <si>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</si>
  <si>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</si>
  <si>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</si>
  <si>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</si>
  <si>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</si>
  <si>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</si>
  <si>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</si>
  <si>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</si>
  <si>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</si>
  <si>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</si>
  <si>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</si>
  <si>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</si>
  <si>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</si>
  <si>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</si>
  <si>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</si>
  <si>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</si>
  <si>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</si>
  <si>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</si>
  <si>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</si>
  <si>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</si>
  <si>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</si>
  <si>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</si>
  <si>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</si>
  <si>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</si>
  <si>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</si>
  <si>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</si>
  <si>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</si>
  <si>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</si>
  <si>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</si>
  <si>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</si>
  <si>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</si>
  <si>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</si>
  <si>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</si>
  <si>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</si>
  <si>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</si>
  <si>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</si>
  <si>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</si>
  <si>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</si>
  <si>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</si>
  <si>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</si>
  <si>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</si>
  <si>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</si>
  <si>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</si>
  <si>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</si>
  <si>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</si>
  <si>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</si>
  <si>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</si>
  <si>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</si>
  <si>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</si>
  <si>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</si>
  <si>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</si>
  <si>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</si>
  <si>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</si>
  <si>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</si>
  <si>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</si>
  <si>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</si>
  <si>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</si>
  <si>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</si>
  <si>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</si>
  <si>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</si>
  <si>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</si>
  <si>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</si>
  <si>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</si>
  <si>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</si>
  <si>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</si>
  <si>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</si>
  <si>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</si>
  <si>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</si>
  <si>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</si>
  <si>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</si>
  <si>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</si>
  <si>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</si>
  <si>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</si>
  <si>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</si>
  <si>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</si>
  <si>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</si>
  <si>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</si>
  <si>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</si>
  <si>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</si>
  <si>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</si>
  <si>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</si>
  <si>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</si>
  <si>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</si>
  <si>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</si>
  <si>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</si>
  <si>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</si>
  <si>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</si>
  <si>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</si>
  <si>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</si>
  <si>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</si>
  <si>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</si>
  <si>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</si>
  <si>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</si>
  <si>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</si>
  <si>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</si>
  <si>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</si>
  <si>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</si>
  <si>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</si>
  <si>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</si>
  <si>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</si>
  <si>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</si>
  <si>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</si>
  <si>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</si>
  <si>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</si>
  <si>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</si>
  <si>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</si>
  <si>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</si>
  <si>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</si>
  <si>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</si>
  <si>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</si>
  <si>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</si>
  <si>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</si>
  <si>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</si>
  <si>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</si>
  <si>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</si>
  <si>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</si>
  <si>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</si>
  <si>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</si>
  <si>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</si>
  <si>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</si>
  <si>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</si>
  <si>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</si>
  <si>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</si>
  <si>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</si>
  <si>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</si>
  <si>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</si>
  <si>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TOTALE Iva a Debito Mese</t>
  </si>
  <si>
    <t>TOTALE Iva a Credito mese</t>
  </si>
  <si>
    <t>Attività:</t>
  </si>
  <si>
    <t>Royalties Fatturato</t>
  </si>
  <si>
    <t xml:space="preserve">Royalties </t>
  </si>
  <si>
    <t>Acquisti</t>
  </si>
  <si>
    <t>Debito v/Franchisor</t>
  </si>
  <si>
    <t>Uscite Franchisor</t>
  </si>
  <si>
    <t>Importo Fidejussione</t>
  </si>
  <si>
    <t>Fidejussione</t>
  </si>
  <si>
    <t xml:space="preserve">      -Fidejussione</t>
  </si>
  <si>
    <t xml:space="preserve">     - Mutuo Invitalia</t>
  </si>
  <si>
    <t>Contributo f/perduto</t>
  </si>
  <si>
    <t xml:space="preserve">     - Contributo fondo Perduto</t>
  </si>
  <si>
    <t>Consumi MP</t>
  </si>
  <si>
    <t>Giacenza magazzino</t>
  </si>
  <si>
    <t>Prezzo medio</t>
  </si>
  <si>
    <t>Quantità</t>
  </si>
  <si>
    <t>Mp iniziali</t>
  </si>
  <si>
    <t>Mp Finali</t>
  </si>
  <si>
    <t>% Margine di contribuzione</t>
  </si>
  <si>
    <t>Fee d'ingresso</t>
  </si>
  <si>
    <t>Fondo ammortamento</t>
  </si>
  <si>
    <t>Ammortamento</t>
  </si>
  <si>
    <t xml:space="preserve">          2)Feee d'ingresso</t>
  </si>
  <si>
    <t>Alimentare</t>
  </si>
  <si>
    <t>Altri costi 1</t>
  </si>
  <si>
    <t>Altri costi 2</t>
  </si>
  <si>
    <t>SALDO INIZIALE BANCA</t>
  </si>
  <si>
    <t>SALDO FINALE BANCA</t>
  </si>
  <si>
    <t>Tassazione in testa Socio</t>
  </si>
  <si>
    <t>Cash Flow Finale Socio</t>
  </si>
  <si>
    <t>mese</t>
  </si>
  <si>
    <t>Iva a Credito dicembre</t>
  </si>
  <si>
    <t>CONTO ECONOMICO</t>
  </si>
  <si>
    <t>Margine contribuzione da 0 a 100%</t>
  </si>
  <si>
    <t>FINANZIAMENTO</t>
  </si>
  <si>
    <t>DEBITI/CREDITI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</si>
  <si>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</si>
  <si>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</si>
  <si>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</si>
  <si>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</si>
  <si>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</si>
  <si>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</si>
  <si>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</si>
  <si>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</si>
  <si>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</si>
  <si>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www.bpexcel.it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</si>
</sst>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9" fontId="45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5" fillId="8" borderId="0" xfId="0" applyFont="1" applyFill="1" applyBorder="1" applyAlignment="1">
      <alignment/>
    </xf>
    <xf numFmtId="0" fontId="45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5" fillId="0" borderId="26" xfId="0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5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9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/>
    </xf>
    <xf numFmtId="0" fontId="29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6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5" fillId="2" borderId="0" xfId="0" applyNumberFormat="1" applyFont="1" applyFill="1" applyBorder="1" applyAlignment="1" applyProtection="1">
      <alignment horizontal="center"/>
      <protection hidden="1"/>
    </xf>
    <xf numFmtId="0" fontId="45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 applyProtection="1">
      <alignment horizontal="left"/>
      <protection hidden="1"/>
    </xf>
    <xf numFmtId="164" fontId="45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5" fillId="0" borderId="0" xfId="0" applyFont="1" applyFill="1" applyAlignment="1" quotePrefix="1">
      <alignment/>
    </xf>
    <xf numFmtId="9" fontId="45" fillId="0" borderId="0" xfId="59" applyNumberFormat="1" applyFont="1" applyFill="1" applyAlignment="1">
      <alignment/>
    </xf>
    <xf numFmtId="3" fontId="45" fillId="0" borderId="0" xfId="0" applyNumberFormat="1" applyFont="1" applyFill="1" applyAlignment="1">
      <alignment horizontal="center"/>
    </xf>
    <xf numFmtId="165" fontId="45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39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7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10" fontId="48" fillId="0" borderId="36" xfId="0" applyNumberFormat="1" applyFont="1" applyBorder="1" applyAlignment="1">
      <alignment horizontal="center" vertical="center" wrapText="1"/>
    </xf>
    <xf numFmtId="165" fontId="48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5" fillId="0" borderId="0" xfId="0" applyNumberFormat="1" applyFont="1" applyAlignment="1">
      <alignment/>
    </xf>
    <xf numFmtId="0" fontId="47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5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5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9" fillId="16" borderId="0" xfId="53" applyFont="1" applyFill="1" applyAlignment="1">
      <alignment horizontal="center"/>
    </xf>
    <xf numFmtId="0" fontId="45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5" fillId="0" borderId="18" xfId="0" applyFont="1" applyBorder="1" applyAlignment="1">
      <alignment/>
    </xf>
    <xf numFmtId="164" fontId="45" fillId="8" borderId="10" xfId="59" applyNumberFormat="1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45" fillId="0" borderId="0" xfId="0" applyNumberFormat="1" applyFont="1" applyBorder="1" applyAlignment="1">
      <alignment/>
    </xf>
    <xf numFmtId="166" fontId="0" fillId="33" borderId="32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9" fontId="0" fillId="33" borderId="22" xfId="59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0" fontId="2" fillId="36" borderId="11" xfId="59" applyNumberFormat="1" applyFont="1" applyFill="1" applyBorder="1" applyAlignment="1" applyProtection="1">
      <alignment horizontal="center" vertical="center" wrapText="1"/>
      <protection locked="0"/>
    </xf>
    <xf numFmtId="0" fontId="45" fillId="8" borderId="0" xfId="0" applyFont="1" applyFill="1" applyBorder="1" applyAlignment="1">
      <alignment wrapText="1"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3" fillId="35" borderId="31" xfId="0" applyFont="1" applyFill="1" applyBorder="1" applyAlignment="1" applyProtection="1">
      <alignment horizontal="center" vertical="center"/>
      <protection hidden="1"/>
    </xf>
    <xf numFmtId="10" fontId="0" fillId="33" borderId="35" xfId="59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48"/>
  <sheetViews>
    <sheetView showGridLines="0" tabSelected="1" zoomScale="130" zoomScaleNormal="13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customWidth="1"/>
    <col min="5" max="5" width="15.140625" style="0" customWidth="1"/>
    <col min="6" max="6" width="20.8515625" style="0" customWidth="1"/>
    <col min="7" max="7" width="11.421875" style="0" customWidth="1"/>
    <col min="8" max="8" width="19.421875" style="0" customWidth="1"/>
    <col min="9" max="9" width="20.57421875" style="0" customWidth="1"/>
    <col min="10" max="10" width="13.140625" style="0" customWidth="1"/>
    <col min="11" max="11" width="17.8515625" style="0" customWidth="1"/>
    <col min="12" max="12" width="9.140625" style="0" customWidth="1"/>
    <col min="13" max="13" width="11.421875" style="0" customWidth="1"/>
    <col min="14" max="14" width="9.140625" style="0" customWidth="1"/>
    <col min="15" max="15" width="9.7109375" style="0" bestFit="1" customWidth="1"/>
    <col min="16" max="16" width="10.8515625" style="0" bestFit="1" customWidth="1"/>
    <col min="17" max="17" width="11.140625" style="0" bestFit="1" customWidth="1"/>
    <col min="18" max="19" width="9.421875" style="0" bestFit="1" customWidth="1"/>
    <col min="29" max="29" width="11.00390625" style="0" bestFit="1" customWidth="1"/>
    <col min="30" max="30" width="15.57421875" style="0" bestFit="1" customWidth="1"/>
  </cols>
  <sheetData>
    <row r="1" ht="15">
      <c r="C1" s="104" t="s">
        <v>411</v>
      </c>
    </row>
    <row r="2" spans="5:9" ht="15">
      <c r="E2" s="6"/>
      <c r="F2" s="135"/>
      <c r="H2" s="6"/>
      <c r="I2" s="135"/>
    </row>
    <row r="3" spans="3:13" ht="46.5">
      <c r="C3" s="134"/>
      <c r="E3" s="6" t="s">
        <v>343</v>
      </c>
      <c r="F3" t="s">
        <v>346</v>
      </c>
      <c r="H3" t="s">
        <v>366</v>
      </c>
      <c r="I3" s="125" t="s">
        <v>389</v>
      </c>
      <c r="J3" s="6" t="s">
        <v>344</v>
      </c>
      <c r="K3" s="125" t="s">
        <v>347</v>
      </c>
      <c r="M3" s="2" t="s">
        <v>362</v>
      </c>
    </row>
    <row r="4" ht="15.75" thickBot="1"/>
    <row r="5" spans="2:11" ht="15">
      <c r="B5" s="8"/>
      <c r="C5" s="21" t="s">
        <v>249</v>
      </c>
      <c r="D5" s="9"/>
      <c r="E5" s="9"/>
      <c r="F5" s="9"/>
      <c r="G5" s="9"/>
      <c r="H5" s="9"/>
      <c r="I5" s="10"/>
      <c r="K5" s="6" t="s">
        <v>342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4" t="s">
        <v>339</v>
      </c>
    </row>
    <row r="7" spans="2:11" ht="15">
      <c r="B7" s="16"/>
      <c r="C7" s="17" t="s">
        <v>345</v>
      </c>
      <c r="D7" s="50">
        <f>+'CE'!D55</f>
        <v>3742.5681115341195</v>
      </c>
      <c r="E7" s="50">
        <f>+'CE'!E55</f>
        <v>28217.324766247206</v>
      </c>
      <c r="F7" s="50">
        <f>+'CE'!F55</f>
        <v>54757.680160871794</v>
      </c>
      <c r="G7" s="50">
        <f>+'CE'!G55</f>
        <v>65437.45612317204</v>
      </c>
      <c r="H7" s="50">
        <f>+'CE'!H55</f>
        <v>65962.54193337528</v>
      </c>
      <c r="I7" s="15"/>
      <c r="K7" s="104" t="s">
        <v>340</v>
      </c>
    </row>
    <row r="8" spans="2:11" ht="15">
      <c r="B8" s="16"/>
      <c r="C8" s="17" t="s">
        <v>361</v>
      </c>
      <c r="D8" s="50">
        <f>+'CE'!D63</f>
        <v>-604.5983355552121</v>
      </c>
      <c r="E8" s="50">
        <f>+'CE'!E63</f>
        <v>13792.184726501926</v>
      </c>
      <c r="F8" s="50">
        <f>+'CE'!F63</f>
        <v>23698.425986242626</v>
      </c>
      <c r="G8" s="50">
        <f>+'CE'!G63</f>
        <v>27333.550561964184</v>
      </c>
      <c r="H8" s="50">
        <f>+'CE'!H63</f>
        <v>27512.276439713896</v>
      </c>
      <c r="I8" s="15"/>
      <c r="K8" s="104" t="s">
        <v>296</v>
      </c>
    </row>
    <row r="9" spans="2:9" ht="15">
      <c r="B9" s="16"/>
      <c r="C9" s="17"/>
      <c r="D9" s="123"/>
      <c r="E9" s="123"/>
      <c r="F9" s="123"/>
      <c r="G9" s="123"/>
      <c r="H9" s="123"/>
      <c r="I9" s="15"/>
    </row>
    <row r="10" spans="2:9" ht="15">
      <c r="B10" s="16"/>
      <c r="C10" s="17" t="s">
        <v>280</v>
      </c>
      <c r="D10" s="50">
        <f>+IF(SP!C4&gt;0,SP!C4,-SP!C27)</f>
        <v>-2549.541787495793</v>
      </c>
      <c r="E10" s="50">
        <f>+IF(SP!D4&gt;0,SP!D4,-SP!D27)</f>
        <v>-21428.480274430796</v>
      </c>
      <c r="F10" s="50">
        <f>+IF(SP!E4&gt;0,SP!E4,-SP!E27)</f>
        <v>-40508.554273318965</v>
      </c>
      <c r="G10" s="50">
        <f>+IF(SP!F4&gt;0,SP!F4,-SP!F27)</f>
        <v>-61379.23112836573</v>
      </c>
      <c r="H10" s="50">
        <f>+IF(SP!G4&gt;0,SP!G4,-SP!G27)</f>
        <v>-83324.38278180372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265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254</v>
      </c>
      <c r="D15" s="103" t="s">
        <v>263</v>
      </c>
      <c r="E15" s="17"/>
      <c r="F15" s="17"/>
      <c r="G15" s="17"/>
      <c r="H15" s="17"/>
      <c r="I15" s="15"/>
      <c r="AH15" t="s">
        <v>263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264</v>
      </c>
    </row>
    <row r="17" spans="2:9" ht="15">
      <c r="B17" s="16"/>
      <c r="C17" s="17"/>
      <c r="D17" s="13"/>
      <c r="E17" s="126"/>
      <c r="F17" s="126"/>
      <c r="G17" s="17"/>
      <c r="H17" s="17"/>
      <c r="I17" s="15"/>
    </row>
    <row r="18" spans="2:9" ht="15" hidden="1">
      <c r="B18" s="16"/>
      <c r="C18" s="17"/>
      <c r="D18" s="143"/>
      <c r="E18" s="24"/>
      <c r="F18" s="23"/>
      <c r="G18" s="17"/>
      <c r="H18" s="17"/>
      <c r="I18" s="15"/>
    </row>
    <row r="19" spans="2:9" ht="15" hidden="1">
      <c r="B19" s="16"/>
      <c r="C19" s="17"/>
      <c r="D19" s="17"/>
      <c r="E19" s="17"/>
      <c r="F19" s="17"/>
      <c r="G19" s="17"/>
      <c r="H19" s="17"/>
      <c r="I19" s="15"/>
    </row>
    <row r="20" spans="2:9" ht="15" hidden="1">
      <c r="B20" s="16"/>
      <c r="C20" s="17"/>
      <c r="D20" s="17"/>
      <c r="E20" s="126"/>
      <c r="F20" s="126"/>
      <c r="G20" s="17"/>
      <c r="H20" s="17"/>
      <c r="I20" s="15"/>
    </row>
    <row r="21" spans="2:9" ht="15" hidden="1">
      <c r="B21" s="16"/>
      <c r="C21" s="17"/>
      <c r="D21" s="2"/>
      <c r="E21" s="23"/>
      <c r="F21" s="140"/>
      <c r="G21" s="17"/>
      <c r="H21" s="17"/>
      <c r="I21" s="15"/>
    </row>
    <row r="22" spans="2:10" ht="15" hidden="1">
      <c r="B22" s="16"/>
      <c r="C22" s="17"/>
      <c r="D22" s="13"/>
      <c r="E22" s="13"/>
      <c r="F22" s="13"/>
      <c r="G22" s="13"/>
      <c r="H22" s="13"/>
      <c r="I22" s="142"/>
      <c r="J22" s="17"/>
    </row>
    <row r="23" spans="2:9" ht="15" hidden="1">
      <c r="B23" s="16"/>
      <c r="C23" s="17"/>
      <c r="D23" s="2"/>
      <c r="E23" s="2"/>
      <c r="F23" s="2"/>
      <c r="G23" s="2"/>
      <c r="H23" s="2"/>
      <c r="I23" s="141"/>
    </row>
    <row r="24" spans="2:9" ht="15" hidden="1">
      <c r="B24" s="16"/>
      <c r="C24" s="17"/>
      <c r="D24" s="17"/>
      <c r="E24" s="17"/>
      <c r="F24" s="17"/>
      <c r="G24" s="17"/>
      <c r="H24" s="17"/>
      <c r="I24" s="15"/>
    </row>
    <row r="25" spans="2:9" ht="15" hidden="1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279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332</v>
      </c>
      <c r="D29" s="2">
        <v>5000</v>
      </c>
      <c r="E29" s="2"/>
      <c r="F29" s="2"/>
      <c r="G29" s="2"/>
      <c r="H29" s="2"/>
      <c r="I29" s="15"/>
    </row>
    <row r="30" spans="2:9" ht="15">
      <c r="B30" s="16"/>
      <c r="C30" s="17" t="s">
        <v>333</v>
      </c>
      <c r="E30" s="2">
        <v>13300</v>
      </c>
      <c r="F30" s="2">
        <v>23600</v>
      </c>
      <c r="G30" s="2">
        <v>27600</v>
      </c>
      <c r="H30" s="2">
        <v>28000</v>
      </c>
      <c r="I30" s="15"/>
    </row>
    <row r="31" spans="2:9" ht="15.75" thickBot="1">
      <c r="B31" s="18"/>
      <c r="C31" s="19"/>
      <c r="D31" s="102"/>
      <c r="E31" s="102"/>
      <c r="F31" s="102"/>
      <c r="G31" s="102"/>
      <c r="H31" s="102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380</v>
      </c>
      <c r="J33" s="21"/>
      <c r="K33" s="21"/>
      <c r="L33" s="21"/>
      <c r="M33" s="21"/>
      <c r="N33" s="9"/>
      <c r="O33" s="21" t="s">
        <v>381</v>
      </c>
      <c r="P33" s="21"/>
      <c r="Q33" s="21"/>
      <c r="R33" s="21"/>
      <c r="S33" s="21"/>
      <c r="T33" s="10"/>
    </row>
    <row r="34" spans="1:30" ht="45">
      <c r="A34" s="6"/>
      <c r="B34" s="11"/>
      <c r="C34" s="12" t="s">
        <v>9</v>
      </c>
      <c r="D34" s="145"/>
      <c r="E34" s="22" t="s">
        <v>399</v>
      </c>
      <c r="F34" s="22" t="s">
        <v>1</v>
      </c>
      <c r="G34" s="22" t="s">
        <v>2</v>
      </c>
      <c r="H34" s="14"/>
      <c r="I34" s="13">
        <v>2015</v>
      </c>
      <c r="J34" s="13">
        <f>+I34+1</f>
        <v>2016</v>
      </c>
      <c r="K34" s="13">
        <f>+J34+1</f>
        <v>2017</v>
      </c>
      <c r="L34" s="13">
        <f>+K34+1</f>
        <v>2018</v>
      </c>
      <c r="M34" s="13">
        <f>+L34+1</f>
        <v>2019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152" t="s">
        <v>402</v>
      </c>
      <c r="D35" s="12"/>
      <c r="E35" s="23">
        <v>0.6</v>
      </c>
      <c r="F35" s="23">
        <v>0.22</v>
      </c>
      <c r="G35" s="24">
        <v>60</v>
      </c>
      <c r="H35" s="17"/>
      <c r="I35" s="146">
        <v>2</v>
      </c>
      <c r="J35" s="146">
        <f>+I35*1.01</f>
        <v>2.02</v>
      </c>
      <c r="K35" s="146">
        <f>+J35*1.01</f>
        <v>2.0402</v>
      </c>
      <c r="L35" s="146">
        <f>+K35*1.01</f>
        <v>2.060602</v>
      </c>
      <c r="M35" s="146">
        <f>+L35*1.01</f>
        <v>2.08120802</v>
      </c>
      <c r="N35" s="17"/>
      <c r="O35" s="147">
        <v>1200</v>
      </c>
      <c r="P35" s="147">
        <f>+O35*1.45</f>
        <v>1740</v>
      </c>
      <c r="Q35" s="147">
        <f>+P35*1.35</f>
        <v>2349</v>
      </c>
      <c r="R35" s="147">
        <f>+Q35*1.1</f>
        <v>2583.9</v>
      </c>
      <c r="S35" s="147">
        <f>+R35</f>
        <v>2583.9</v>
      </c>
      <c r="T35" s="15"/>
      <c r="AC35" s="1">
        <v>0</v>
      </c>
      <c r="AD35" s="1">
        <v>0</v>
      </c>
    </row>
    <row r="36" spans="2:30" ht="15">
      <c r="B36" s="16"/>
      <c r="C36" s="152" t="s">
        <v>403</v>
      </c>
      <c r="D36" s="12"/>
      <c r="E36" s="23">
        <v>0.45</v>
      </c>
      <c r="F36" s="23">
        <v>0.22</v>
      </c>
      <c r="G36" s="24">
        <v>60</v>
      </c>
      <c r="H36" s="17"/>
      <c r="I36" s="146">
        <v>3</v>
      </c>
      <c r="J36" s="146">
        <f aca="true" t="shared" si="0" ref="J36:M37">+I36*1.01</f>
        <v>3.0300000000000002</v>
      </c>
      <c r="K36" s="146">
        <f t="shared" si="0"/>
        <v>3.0603000000000002</v>
      </c>
      <c r="L36" s="146">
        <f t="shared" si="0"/>
        <v>3.0909030000000004</v>
      </c>
      <c r="M36" s="146">
        <f t="shared" si="0"/>
        <v>3.1218120300000005</v>
      </c>
      <c r="N36" s="17"/>
      <c r="O36" s="147">
        <v>1000</v>
      </c>
      <c r="P36" s="147">
        <f aca="true" t="shared" si="1" ref="P36:P43">+O36*1.45</f>
        <v>1450</v>
      </c>
      <c r="Q36" s="147">
        <f aca="true" t="shared" si="2" ref="Q36:Q43">+P36*1.35</f>
        <v>1957.5000000000002</v>
      </c>
      <c r="R36" s="147">
        <f aca="true" t="shared" si="3" ref="R36:R43">+Q36*1.1</f>
        <v>2153.2500000000005</v>
      </c>
      <c r="S36" s="147">
        <f aca="true" t="shared" si="4" ref="S36:S43">+R36</f>
        <v>2153.2500000000005</v>
      </c>
      <c r="T36" s="15"/>
      <c r="AC36" s="1">
        <v>30</v>
      </c>
      <c r="AD36" s="1">
        <v>30</v>
      </c>
    </row>
    <row r="37" spans="2:30" ht="13.5" customHeight="1">
      <c r="B37" s="16"/>
      <c r="C37" s="152" t="s">
        <v>404</v>
      </c>
      <c r="D37" s="12"/>
      <c r="E37" s="23">
        <v>0.45</v>
      </c>
      <c r="F37" s="23">
        <v>0.22</v>
      </c>
      <c r="G37" s="24">
        <v>60</v>
      </c>
      <c r="H37" s="17"/>
      <c r="I37" s="146">
        <v>3</v>
      </c>
      <c r="J37" s="146">
        <f t="shared" si="0"/>
        <v>3.0300000000000002</v>
      </c>
      <c r="K37" s="146">
        <f t="shared" si="0"/>
        <v>3.0603000000000002</v>
      </c>
      <c r="L37" s="146">
        <f t="shared" si="0"/>
        <v>3.0909030000000004</v>
      </c>
      <c r="M37" s="146">
        <f t="shared" si="0"/>
        <v>3.1218120300000005</v>
      </c>
      <c r="N37" s="17"/>
      <c r="O37" s="147">
        <v>3000</v>
      </c>
      <c r="P37" s="147">
        <f t="shared" si="1"/>
        <v>4350</v>
      </c>
      <c r="Q37" s="147">
        <f t="shared" si="2"/>
        <v>5872.5</v>
      </c>
      <c r="R37" s="147">
        <f t="shared" si="3"/>
        <v>6459.750000000001</v>
      </c>
      <c r="S37" s="147">
        <f t="shared" si="4"/>
        <v>6459.750000000001</v>
      </c>
      <c r="T37" s="15"/>
      <c r="AC37" s="1">
        <v>60</v>
      </c>
      <c r="AD37" s="1">
        <v>60</v>
      </c>
    </row>
    <row r="38" spans="2:30" ht="15">
      <c r="B38" s="16"/>
      <c r="C38" s="152" t="s">
        <v>405</v>
      </c>
      <c r="D38" s="12"/>
      <c r="E38" s="23">
        <v>0.6</v>
      </c>
      <c r="F38" s="23">
        <v>0.22</v>
      </c>
      <c r="G38" s="24">
        <v>60</v>
      </c>
      <c r="H38" s="17"/>
      <c r="I38" s="146">
        <v>4</v>
      </c>
      <c r="J38" s="146">
        <f aca="true" t="shared" si="5" ref="J38:M43">+I38*1.01</f>
        <v>4.04</v>
      </c>
      <c r="K38" s="146">
        <f t="shared" si="5"/>
        <v>4.0804</v>
      </c>
      <c r="L38" s="146">
        <f t="shared" si="5"/>
        <v>4.121204</v>
      </c>
      <c r="M38" s="146">
        <f t="shared" si="5"/>
        <v>4.16241604</v>
      </c>
      <c r="N38" s="17"/>
      <c r="O38" s="147">
        <v>5000</v>
      </c>
      <c r="P38" s="147">
        <f t="shared" si="1"/>
        <v>7250</v>
      </c>
      <c r="Q38" s="147">
        <f t="shared" si="2"/>
        <v>9787.5</v>
      </c>
      <c r="R38" s="147">
        <f t="shared" si="3"/>
        <v>10766.25</v>
      </c>
      <c r="S38" s="147">
        <f t="shared" si="4"/>
        <v>10766.25</v>
      </c>
      <c r="T38" s="15"/>
      <c r="AC38" s="1">
        <v>90</v>
      </c>
      <c r="AD38" s="1">
        <v>90</v>
      </c>
    </row>
    <row r="39" spans="2:30" ht="15">
      <c r="B39" s="16"/>
      <c r="C39" s="152" t="s">
        <v>406</v>
      </c>
      <c r="D39" s="12"/>
      <c r="E39" s="23">
        <v>0.45</v>
      </c>
      <c r="F39" s="23">
        <v>0.22</v>
      </c>
      <c r="G39" s="24">
        <v>60</v>
      </c>
      <c r="H39" s="17"/>
      <c r="I39" s="146">
        <v>5</v>
      </c>
      <c r="J39" s="146">
        <f t="shared" si="5"/>
        <v>5.05</v>
      </c>
      <c r="K39" s="146">
        <f t="shared" si="5"/>
        <v>5.1005</v>
      </c>
      <c r="L39" s="146">
        <f t="shared" si="5"/>
        <v>5.151505</v>
      </c>
      <c r="M39" s="146">
        <f t="shared" si="5"/>
        <v>5.20302005</v>
      </c>
      <c r="N39" s="17"/>
      <c r="O39" s="147">
        <v>2000</v>
      </c>
      <c r="P39" s="147">
        <f t="shared" si="1"/>
        <v>2900</v>
      </c>
      <c r="Q39" s="147">
        <f t="shared" si="2"/>
        <v>3915.0000000000005</v>
      </c>
      <c r="R39" s="147">
        <f t="shared" si="3"/>
        <v>4306.500000000001</v>
      </c>
      <c r="S39" s="147">
        <f t="shared" si="4"/>
        <v>4306.500000000001</v>
      </c>
      <c r="T39" s="15"/>
      <c r="AC39" s="1">
        <v>120</v>
      </c>
      <c r="AD39" s="1">
        <v>120</v>
      </c>
    </row>
    <row r="40" spans="2:30" ht="15">
      <c r="B40" s="16"/>
      <c r="C40" s="152" t="s">
        <v>407</v>
      </c>
      <c r="D40" s="12"/>
      <c r="E40" s="23">
        <v>0.75</v>
      </c>
      <c r="F40" s="23">
        <v>0.22</v>
      </c>
      <c r="G40" s="24">
        <v>60</v>
      </c>
      <c r="H40" s="17"/>
      <c r="I40" s="3">
        <v>12</v>
      </c>
      <c r="J40" s="4">
        <f t="shared" si="5"/>
        <v>12.120000000000001</v>
      </c>
      <c r="K40" s="4">
        <f t="shared" si="5"/>
        <v>12.241200000000001</v>
      </c>
      <c r="L40" s="4">
        <f t="shared" si="5"/>
        <v>12.363612000000002</v>
      </c>
      <c r="M40" s="5">
        <f t="shared" si="5"/>
        <v>12.487248120000002</v>
      </c>
      <c r="N40" s="17"/>
      <c r="O40" s="137">
        <v>1000</v>
      </c>
      <c r="P40" s="147">
        <f t="shared" si="1"/>
        <v>1450</v>
      </c>
      <c r="Q40" s="147">
        <f t="shared" si="2"/>
        <v>1957.5000000000002</v>
      </c>
      <c r="R40" s="147">
        <f t="shared" si="3"/>
        <v>2153.2500000000005</v>
      </c>
      <c r="S40" s="147">
        <f t="shared" si="4"/>
        <v>2153.2500000000005</v>
      </c>
      <c r="T40" s="15"/>
      <c r="AC40" s="1">
        <v>150</v>
      </c>
      <c r="AD40" s="1">
        <v>150</v>
      </c>
    </row>
    <row r="41" spans="2:30" ht="15">
      <c r="B41" s="16"/>
      <c r="C41" s="152" t="s">
        <v>408</v>
      </c>
      <c r="D41" s="12"/>
      <c r="E41" s="23">
        <v>0.45</v>
      </c>
      <c r="F41" s="23">
        <v>0.22</v>
      </c>
      <c r="G41" s="24">
        <v>60</v>
      </c>
      <c r="H41" s="17"/>
      <c r="I41" s="3">
        <v>2</v>
      </c>
      <c r="J41" s="4">
        <f t="shared" si="5"/>
        <v>2.02</v>
      </c>
      <c r="K41" s="4">
        <f t="shared" si="5"/>
        <v>2.0402</v>
      </c>
      <c r="L41" s="4">
        <f t="shared" si="5"/>
        <v>2.060602</v>
      </c>
      <c r="M41" s="5">
        <f t="shared" si="5"/>
        <v>2.08120802</v>
      </c>
      <c r="N41" s="17"/>
      <c r="O41" s="137">
        <v>3000</v>
      </c>
      <c r="P41" s="147">
        <f t="shared" si="1"/>
        <v>4350</v>
      </c>
      <c r="Q41" s="147">
        <f t="shared" si="2"/>
        <v>5872.5</v>
      </c>
      <c r="R41" s="147">
        <f t="shared" si="3"/>
        <v>6459.750000000001</v>
      </c>
      <c r="S41" s="147">
        <f t="shared" si="4"/>
        <v>6459.750000000001</v>
      </c>
      <c r="T41" s="15"/>
      <c r="AC41" s="1">
        <v>180</v>
      </c>
      <c r="AD41" s="1">
        <v>180</v>
      </c>
    </row>
    <row r="42" spans="2:20" ht="15">
      <c r="B42" s="16"/>
      <c r="C42" s="152" t="s">
        <v>409</v>
      </c>
      <c r="D42" s="12"/>
      <c r="E42" s="23">
        <v>0.75</v>
      </c>
      <c r="F42" s="23">
        <v>0.22</v>
      </c>
      <c r="G42" s="24">
        <v>60</v>
      </c>
      <c r="H42" s="17"/>
      <c r="I42" s="3">
        <v>3</v>
      </c>
      <c r="J42" s="4">
        <f t="shared" si="5"/>
        <v>3.0300000000000002</v>
      </c>
      <c r="K42" s="4">
        <f t="shared" si="5"/>
        <v>3.0603000000000002</v>
      </c>
      <c r="L42" s="4">
        <f t="shared" si="5"/>
        <v>3.0909030000000004</v>
      </c>
      <c r="M42" s="5">
        <f t="shared" si="5"/>
        <v>3.1218120300000005</v>
      </c>
      <c r="N42" s="17"/>
      <c r="O42" s="137">
        <v>3000</v>
      </c>
      <c r="P42" s="138">
        <f t="shared" si="1"/>
        <v>4350</v>
      </c>
      <c r="Q42" s="138">
        <f t="shared" si="2"/>
        <v>5872.5</v>
      </c>
      <c r="R42" s="138">
        <f t="shared" si="3"/>
        <v>6459.750000000001</v>
      </c>
      <c r="S42" s="139">
        <f t="shared" si="4"/>
        <v>6459.750000000001</v>
      </c>
      <c r="T42" s="15"/>
    </row>
    <row r="43" spans="2:20" ht="15">
      <c r="B43" s="16"/>
      <c r="C43" s="152" t="s">
        <v>410</v>
      </c>
      <c r="D43" s="12"/>
      <c r="E43" s="23">
        <v>0.75</v>
      </c>
      <c r="F43" s="23">
        <v>0</v>
      </c>
      <c r="G43" s="24">
        <v>60</v>
      </c>
      <c r="H43" s="17"/>
      <c r="I43" s="3">
        <v>3</v>
      </c>
      <c r="J43" s="4">
        <f t="shared" si="5"/>
        <v>3.0300000000000002</v>
      </c>
      <c r="K43" s="4">
        <f t="shared" si="5"/>
        <v>3.0603000000000002</v>
      </c>
      <c r="L43" s="4">
        <f t="shared" si="5"/>
        <v>3.0909030000000004</v>
      </c>
      <c r="M43" s="5">
        <f t="shared" si="5"/>
        <v>3.1218120300000005</v>
      </c>
      <c r="N43" s="17"/>
      <c r="O43" s="137">
        <v>5000</v>
      </c>
      <c r="P43" s="138">
        <f t="shared" si="1"/>
        <v>7250</v>
      </c>
      <c r="Q43" s="138">
        <f t="shared" si="2"/>
        <v>9787.5</v>
      </c>
      <c r="R43" s="138">
        <f t="shared" si="3"/>
        <v>10766.25</v>
      </c>
      <c r="S43" s="139">
        <f t="shared" si="4"/>
        <v>10766.25</v>
      </c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378</v>
      </c>
      <c r="D46" s="9"/>
      <c r="E46" s="28"/>
      <c r="F46" s="9"/>
      <c r="G46" s="9"/>
      <c r="H46" s="10"/>
      <c r="L46" s="127"/>
    </row>
    <row r="47" spans="2:15" ht="26.25" customHeight="1">
      <c r="B47" s="16"/>
      <c r="C47" s="17"/>
      <c r="D47" s="17"/>
      <c r="E47" s="22" t="s">
        <v>11</v>
      </c>
      <c r="F47" s="22" t="s">
        <v>379</v>
      </c>
      <c r="G47" s="22" t="s">
        <v>13</v>
      </c>
      <c r="H47" s="15"/>
      <c r="O47" s="128"/>
    </row>
    <row r="48" spans="2:8" ht="15">
      <c r="B48" s="16"/>
      <c r="C48" s="27" t="str">
        <f>+"Mp x"&amp;C35</f>
        <v>Mp xProdotto 1</v>
      </c>
      <c r="D48" s="17"/>
      <c r="E48" s="38">
        <v>0.22</v>
      </c>
      <c r="F48" s="24">
        <v>120</v>
      </c>
      <c r="G48" s="24">
        <v>60</v>
      </c>
      <c r="H48" s="15"/>
    </row>
    <row r="49" spans="2:8" ht="15">
      <c r="B49" s="16"/>
      <c r="C49" s="27" t="str">
        <f aca="true" t="shared" si="6" ref="C49:C56">+"Mp x"&amp;C36</f>
        <v>Mp xProdotto 2</v>
      </c>
      <c r="D49" s="17"/>
      <c r="E49" s="38">
        <v>0.22</v>
      </c>
      <c r="F49" s="24">
        <v>60</v>
      </c>
      <c r="G49" s="24">
        <v>60</v>
      </c>
      <c r="H49" s="15"/>
    </row>
    <row r="50" spans="2:8" ht="15">
      <c r="B50" s="16"/>
      <c r="C50" s="27" t="str">
        <f t="shared" si="6"/>
        <v>Mp xProdotto 3</v>
      </c>
      <c r="D50" s="17"/>
      <c r="E50" s="38">
        <v>0.22</v>
      </c>
      <c r="F50" s="24">
        <v>60</v>
      </c>
      <c r="G50" s="24">
        <v>60</v>
      </c>
      <c r="H50" s="15"/>
    </row>
    <row r="51" spans="2:8" ht="15">
      <c r="B51" s="16"/>
      <c r="C51" s="27" t="str">
        <f t="shared" si="6"/>
        <v>Mp xProdotto 4</v>
      </c>
      <c r="D51" s="17"/>
      <c r="E51" s="38">
        <v>0.22</v>
      </c>
      <c r="F51" s="24">
        <v>120</v>
      </c>
      <c r="G51" s="24">
        <v>60</v>
      </c>
      <c r="H51" s="15"/>
    </row>
    <row r="52" spans="2:8" ht="15">
      <c r="B52" s="16"/>
      <c r="C52" s="27" t="str">
        <f t="shared" si="6"/>
        <v>Mp xProdotto 5</v>
      </c>
      <c r="D52" s="17"/>
      <c r="E52" s="38">
        <v>0.22</v>
      </c>
      <c r="F52" s="24">
        <v>120</v>
      </c>
      <c r="G52" s="24">
        <v>60</v>
      </c>
      <c r="H52" s="15"/>
    </row>
    <row r="53" spans="2:8" ht="15">
      <c r="B53" s="16"/>
      <c r="C53" s="27" t="str">
        <f t="shared" si="6"/>
        <v>Mp xProdotto 6</v>
      </c>
      <c r="D53" s="17"/>
      <c r="E53" s="38">
        <v>0.22</v>
      </c>
      <c r="F53" s="24">
        <v>30</v>
      </c>
      <c r="G53" s="24">
        <v>60</v>
      </c>
      <c r="H53" s="15"/>
    </row>
    <row r="54" spans="2:8" ht="15">
      <c r="B54" s="16"/>
      <c r="C54" s="27" t="str">
        <f t="shared" si="6"/>
        <v>Mp xProdotto 7</v>
      </c>
      <c r="D54" s="17"/>
      <c r="E54" s="38">
        <v>0.22</v>
      </c>
      <c r="F54" s="24">
        <v>90</v>
      </c>
      <c r="G54" s="24">
        <v>60</v>
      </c>
      <c r="H54" s="15"/>
    </row>
    <row r="55" spans="2:8" ht="15">
      <c r="B55" s="16"/>
      <c r="C55" s="27" t="str">
        <f>+"Mp x"&amp;C42</f>
        <v>Mp xProdotto 8</v>
      </c>
      <c r="D55" s="17"/>
      <c r="E55" s="38">
        <v>0.22</v>
      </c>
      <c r="F55" s="24">
        <v>0</v>
      </c>
      <c r="G55" s="24">
        <v>60</v>
      </c>
      <c r="H55" s="15"/>
    </row>
    <row r="56" spans="2:8" ht="15">
      <c r="B56" s="16"/>
      <c r="C56" s="27" t="str">
        <f t="shared" si="6"/>
        <v>Mp xProdotto 9</v>
      </c>
      <c r="D56" s="17"/>
      <c r="E56" s="38">
        <v>0</v>
      </c>
      <c r="F56" s="24">
        <v>30</v>
      </c>
      <c r="G56" s="24">
        <v>60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>
        <f>+I34</f>
        <v>2015</v>
      </c>
      <c r="F61" s="13">
        <f>+J34</f>
        <v>2016</v>
      </c>
      <c r="G61" s="13">
        <f>+K34</f>
        <v>2017</v>
      </c>
      <c r="H61" s="13">
        <f>+L34</f>
        <v>2018</v>
      </c>
      <c r="I61" s="13">
        <f>+M34</f>
        <v>2019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v>23000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42</v>
      </c>
      <c r="D63" s="17"/>
      <c r="E63" s="2">
        <v>2000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0.22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>
        <f>+E61</f>
        <v>2015</v>
      </c>
      <c r="F66" s="17">
        <f>+F61</f>
        <v>2016</v>
      </c>
      <c r="G66" s="17">
        <f>+G61</f>
        <v>2017</v>
      </c>
      <c r="H66" s="17">
        <f>+H61</f>
        <v>2018</v>
      </c>
      <c r="I66" s="17">
        <f>+I61</f>
        <v>2019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28060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44</v>
      </c>
      <c r="D68" s="17"/>
      <c r="E68" s="2">
        <v>2440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0.1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0.1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>
        <f>+E61</f>
        <v>2015</v>
      </c>
      <c r="F76" s="13">
        <f>+F61</f>
        <v>2016</v>
      </c>
      <c r="G76" s="13">
        <f>+G61</f>
        <v>2017</v>
      </c>
      <c r="H76" s="13">
        <f>+H61</f>
        <v>2018</v>
      </c>
      <c r="I76" s="13">
        <f>+I61</f>
        <v>2019</v>
      </c>
      <c r="J76" s="15"/>
    </row>
    <row r="77" spans="2:10" ht="15">
      <c r="B77" s="16"/>
      <c r="C77" s="17" t="s">
        <v>64</v>
      </c>
      <c r="D77" s="17"/>
      <c r="E77" s="133">
        <v>1</v>
      </c>
      <c r="F77" s="133">
        <v>1</v>
      </c>
      <c r="G77" s="133">
        <v>1</v>
      </c>
      <c r="H77" s="133">
        <v>1</v>
      </c>
      <c r="I77" s="133">
        <v>1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v>20000</v>
      </c>
      <c r="G79" s="2">
        <v>20000</v>
      </c>
      <c r="H79" s="2">
        <v>20000</v>
      </c>
      <c r="I79" s="2">
        <v>20000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5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6">
        <v>0.01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7">
        <v>0.075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8" t="s">
        <v>89</v>
      </c>
      <c r="F89" s="15"/>
      <c r="AN89" t="s">
        <v>89</v>
      </c>
    </row>
    <row r="90" spans="2:40" ht="15">
      <c r="B90" s="16"/>
      <c r="C90" s="17" t="s">
        <v>78</v>
      </c>
      <c r="D90" s="17"/>
      <c r="E90" s="156">
        <v>0.08</v>
      </c>
      <c r="F90" s="15"/>
      <c r="AN90" t="s">
        <v>90</v>
      </c>
    </row>
    <row r="91" spans="2:40" ht="15">
      <c r="B91" s="16"/>
      <c r="C91" s="17"/>
      <c r="D91" s="17"/>
      <c r="E91" s="17"/>
      <c r="F91" s="15"/>
      <c r="AN91" t="s">
        <v>91</v>
      </c>
    </row>
    <row r="92" spans="2:40" ht="15">
      <c r="B92" s="16"/>
      <c r="C92" s="17" t="s">
        <v>79</v>
      </c>
      <c r="D92" s="17"/>
      <c r="E92" s="109">
        <v>25000</v>
      </c>
      <c r="F92" s="15"/>
      <c r="AN92" t="s">
        <v>92</v>
      </c>
    </row>
    <row r="93" spans="2:40" ht="15">
      <c r="B93" s="16"/>
      <c r="C93" s="17" t="s">
        <v>80</v>
      </c>
      <c r="D93" s="17"/>
      <c r="E93" s="110">
        <v>7</v>
      </c>
      <c r="F93" s="15"/>
      <c r="AN93" t="s">
        <v>93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223</v>
      </c>
      <c r="D97" s="82" t="s">
        <v>224</v>
      </c>
      <c r="E97" s="12" t="s">
        <v>225</v>
      </c>
      <c r="F97" s="13">
        <f>+E76</f>
        <v>2015</v>
      </c>
      <c r="G97" s="13">
        <f>+F76</f>
        <v>2016</v>
      </c>
      <c r="H97" s="13">
        <f>+G76</f>
        <v>2017</v>
      </c>
      <c r="I97" s="13">
        <f>+H76</f>
        <v>2018</v>
      </c>
      <c r="J97" s="13">
        <f>+I76</f>
        <v>2019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48" t="s">
        <v>226</v>
      </c>
      <c r="D99" s="149">
        <v>0.22</v>
      </c>
      <c r="E99" s="17"/>
      <c r="F99" s="2">
        <v>2400</v>
      </c>
      <c r="G99" s="2">
        <v>2400</v>
      </c>
      <c r="H99" s="2">
        <v>2400</v>
      </c>
      <c r="I99" s="2">
        <v>2400</v>
      </c>
      <c r="J99" s="2">
        <v>2400</v>
      </c>
      <c r="K99" s="15"/>
    </row>
    <row r="100" spans="2:11" ht="15">
      <c r="B100" s="16"/>
      <c r="C100" s="150" t="s">
        <v>227</v>
      </c>
      <c r="D100" s="106">
        <v>0.22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50" t="s">
        <v>228</v>
      </c>
      <c r="D101" s="106">
        <v>0.22</v>
      </c>
      <c r="E101" s="17"/>
      <c r="F101" s="2">
        <v>1500</v>
      </c>
      <c r="G101" s="2">
        <v>0</v>
      </c>
      <c r="H101" s="2">
        <v>0</v>
      </c>
      <c r="I101" s="2">
        <v>0</v>
      </c>
      <c r="J101" s="2">
        <v>0</v>
      </c>
      <c r="K101" s="15"/>
    </row>
    <row r="102" spans="2:11" ht="15">
      <c r="B102" s="16"/>
      <c r="C102" s="150" t="s">
        <v>229</v>
      </c>
      <c r="D102" s="106">
        <v>0.22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50" t="s">
        <v>230</v>
      </c>
      <c r="D103" s="106">
        <v>0.22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50" t="s">
        <v>231</v>
      </c>
      <c r="D104" s="106">
        <v>0.22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50" t="s">
        <v>232</v>
      </c>
      <c r="D105" s="106">
        <v>0.22</v>
      </c>
      <c r="E105" s="17"/>
      <c r="F105" s="2">
        <f>150*12</f>
        <v>1800</v>
      </c>
      <c r="G105" s="2">
        <f>150*12</f>
        <v>1800</v>
      </c>
      <c r="H105" s="2">
        <f>150*12</f>
        <v>1800</v>
      </c>
      <c r="I105" s="2">
        <f>150*12</f>
        <v>1800</v>
      </c>
      <c r="J105" s="2">
        <f>150*12</f>
        <v>1800</v>
      </c>
      <c r="K105" s="15"/>
    </row>
    <row r="106" spans="2:11" ht="15">
      <c r="B106" s="16"/>
      <c r="C106" s="150" t="s">
        <v>233</v>
      </c>
      <c r="D106" s="106">
        <v>0.22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50" t="s">
        <v>237</v>
      </c>
      <c r="D107" s="106">
        <v>0</v>
      </c>
      <c r="E107" s="17"/>
      <c r="F107" s="2">
        <v>8000</v>
      </c>
      <c r="G107" s="2">
        <f>+F107</f>
        <v>8000</v>
      </c>
      <c r="H107" s="2">
        <f>+G107</f>
        <v>8000</v>
      </c>
      <c r="I107" s="2">
        <f>+H107</f>
        <v>8000</v>
      </c>
      <c r="J107" s="2">
        <f>+I107</f>
        <v>8000</v>
      </c>
      <c r="K107" s="15"/>
    </row>
    <row r="108" spans="2:11" ht="15">
      <c r="B108" s="16"/>
      <c r="C108" s="150" t="s">
        <v>234</v>
      </c>
      <c r="D108" s="106">
        <v>0.02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50" t="s">
        <v>235</v>
      </c>
      <c r="D109" s="106">
        <v>0.21</v>
      </c>
      <c r="E109" s="17"/>
      <c r="F109" s="2">
        <v>1000</v>
      </c>
      <c r="G109" s="2">
        <v>1000</v>
      </c>
      <c r="H109" s="2">
        <v>1000</v>
      </c>
      <c r="I109" s="2">
        <v>1000</v>
      </c>
      <c r="J109" s="2">
        <v>1000</v>
      </c>
      <c r="K109" s="15"/>
    </row>
    <row r="110" spans="2:11" ht="15">
      <c r="B110" s="16"/>
      <c r="C110" s="150" t="s">
        <v>236</v>
      </c>
      <c r="D110" s="106">
        <v>0.22</v>
      </c>
      <c r="E110" s="17"/>
      <c r="F110" s="2">
        <v>1000</v>
      </c>
      <c r="G110" s="2">
        <v>1000</v>
      </c>
      <c r="H110" s="2">
        <v>1000</v>
      </c>
      <c r="I110" s="2">
        <v>1000</v>
      </c>
      <c r="J110" s="2">
        <v>1000</v>
      </c>
      <c r="K110" s="15"/>
    </row>
    <row r="111" spans="2:11" ht="15">
      <c r="B111" s="16"/>
      <c r="C111" s="150" t="s">
        <v>390</v>
      </c>
      <c r="D111" s="106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150" t="s">
        <v>391</v>
      </c>
      <c r="D112" s="106">
        <v>0</v>
      </c>
      <c r="E112" s="17"/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15"/>
    </row>
    <row r="113" spans="2:11" ht="15">
      <c r="B113" s="16"/>
      <c r="C113" s="150" t="s">
        <v>238</v>
      </c>
      <c r="D113" s="106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150" t="s">
        <v>239</v>
      </c>
      <c r="D114" s="106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150" t="s">
        <v>240</v>
      </c>
      <c r="D115" s="106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150" t="s">
        <v>241</v>
      </c>
      <c r="D116" s="106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150" t="s">
        <v>242</v>
      </c>
      <c r="D117" s="106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150" t="s">
        <v>243</v>
      </c>
      <c r="D118" s="106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150" t="s">
        <v>244</v>
      </c>
      <c r="D119" s="106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248</v>
      </c>
      <c r="D123" s="106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330</v>
      </c>
      <c r="D125" s="106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>
        <f>+F97</f>
        <v>2015</v>
      </c>
      <c r="E129" s="13">
        <f>+G97</f>
        <v>2016</v>
      </c>
      <c r="F129" s="13">
        <f>+H97</f>
        <v>2017</v>
      </c>
      <c r="G129" s="13">
        <f>+I97</f>
        <v>2018</v>
      </c>
      <c r="H129" s="13">
        <f>+J97</f>
        <v>2019</v>
      </c>
      <c r="I129" s="36"/>
    </row>
    <row r="130" spans="2:9" ht="15">
      <c r="B130" s="16"/>
      <c r="C130" s="130" t="s">
        <v>372</v>
      </c>
      <c r="D130" s="4"/>
      <c r="E130" s="4"/>
      <c r="F130" s="4"/>
      <c r="G130" s="4"/>
      <c r="H130" s="4"/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/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/>
      <c r="D137" s="4"/>
      <c r="E137" s="17"/>
      <c r="F137" s="17"/>
      <c r="G137" s="17"/>
      <c r="H137" s="17"/>
      <c r="I137" s="15"/>
    </row>
    <row r="138" spans="2:9" ht="15">
      <c r="B138" s="16"/>
      <c r="C138" s="17"/>
      <c r="D138" s="4"/>
      <c r="E138" s="17"/>
      <c r="F138" s="17"/>
      <c r="G138" s="17"/>
      <c r="H138" s="17"/>
      <c r="I138" s="15"/>
    </row>
    <row r="139" spans="2:9" ht="15">
      <c r="B139" s="16"/>
      <c r="C139" s="17"/>
      <c r="D139" s="34"/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/>
      <c r="D141" s="39"/>
      <c r="E141" s="132"/>
      <c r="F141" s="17"/>
      <c r="G141" s="17"/>
      <c r="H141" s="106"/>
      <c r="I141" s="15"/>
    </row>
    <row r="142" spans="2:9" ht="15">
      <c r="B142" s="16"/>
      <c r="C142" s="17"/>
      <c r="D142" s="39"/>
      <c r="E142" s="17"/>
      <c r="F142" s="17"/>
      <c r="G142" s="17"/>
      <c r="H142" s="17"/>
      <c r="I142" s="15"/>
    </row>
    <row r="143" spans="2:9" ht="15">
      <c r="B143" s="16"/>
      <c r="C143" s="12"/>
      <c r="D143" s="34"/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/>
      <c r="D145" s="34"/>
      <c r="E145" s="34"/>
      <c r="F145" s="17"/>
      <c r="G145" s="17"/>
      <c r="H145" s="17"/>
      <c r="I145" s="15"/>
    </row>
    <row r="146" spans="2:9" ht="15">
      <c r="B146" s="16"/>
      <c r="C146" s="17"/>
      <c r="D146" s="39"/>
      <c r="E146" s="17"/>
      <c r="F146" s="17"/>
      <c r="G146" s="17"/>
      <c r="H146" s="17"/>
      <c r="I146" s="15"/>
    </row>
    <row r="147" spans="2:9" ht="15">
      <c r="B147" s="16"/>
      <c r="C147" s="17"/>
      <c r="D147" s="4"/>
      <c r="E147" s="4"/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E24:E25 E18 G48:G56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1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2"/>
  <sheetViews>
    <sheetView zoomScalePageLayoutView="0" workbookViewId="0" topLeftCell="A1">
      <selection activeCell="F31" sqref="F31"/>
    </sheetView>
  </sheetViews>
  <sheetFormatPr defaultColWidth="9.140625" defaultRowHeight="15"/>
  <cols>
    <col min="2" max="2" width="33.7109375" style="0" customWidth="1"/>
    <col min="3" max="3" width="14.421875" style="0" hidden="1" customWidth="1"/>
    <col min="4" max="4" width="9.8515625" style="0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400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>
        <v>1</v>
      </c>
      <c r="GN1" s="74">
        <v>2</v>
      </c>
      <c r="GO1" s="74">
        <v>3</v>
      </c>
      <c r="GP1" s="74">
        <v>4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5" t="s">
        <v>89</v>
      </c>
      <c r="FZ2" s="74">
        <v>1</v>
      </c>
      <c r="GA2" s="74"/>
      <c r="GB2" s="74"/>
      <c r="GC2" s="74" t="s">
        <v>133</v>
      </c>
      <c r="GD2" s="74">
        <f>VLOOKUP(C4,$FY$2:$FZ$39,2,FALSE)</f>
        <v>1</v>
      </c>
      <c r="GE2" s="74" t="s">
        <v>134</v>
      </c>
      <c r="GF2" s="74"/>
      <c r="GG2" s="74"/>
      <c r="GH2" s="74"/>
      <c r="GI2" s="74"/>
      <c r="GJ2" s="74">
        <v>1</v>
      </c>
      <c r="GK2" s="74">
        <f>+IF($C$8=$GM$1,GM2,IF($C$8=$GN$1,GN2,IF($C$8=$GO$1,GO2,IF($C$8=$GP$1,GP2,0))))</f>
        <v>1</v>
      </c>
      <c r="GL2" s="74"/>
      <c r="GM2" s="74">
        <v>1</v>
      </c>
      <c r="GN2" s="74">
        <v>1</v>
      </c>
      <c r="GO2" s="74">
        <v>1</v>
      </c>
      <c r="GP2" s="74">
        <v>1</v>
      </c>
      <c r="GQ2" s="74"/>
      <c r="GR2" s="74"/>
      <c r="GS2" s="74"/>
      <c r="GT2" s="74">
        <v>1</v>
      </c>
      <c r="GU2" s="74"/>
      <c r="GV2" s="74">
        <v>1</v>
      </c>
      <c r="GW2" s="74"/>
      <c r="GX2" s="74"/>
      <c r="GY2" s="74"/>
      <c r="GZ2" s="74"/>
      <c r="HA2" s="74"/>
      <c r="HB2" s="74"/>
      <c r="HC2" s="74"/>
      <c r="HD2" s="74"/>
    </row>
    <row r="3" spans="1:212" ht="15.75">
      <c r="A3" s="54"/>
      <c r="B3" s="55" t="s">
        <v>81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5" t="s">
        <v>90</v>
      </c>
      <c r="FZ3" s="74">
        <f>1+FZ2</f>
        <v>2</v>
      </c>
      <c r="GA3" s="74"/>
      <c r="GB3" s="74"/>
      <c r="GC3" s="74"/>
      <c r="GD3" s="74">
        <f>VLOOKUP(C6,$FY$2:$FZ$39,2,FALSE)</f>
        <v>1</v>
      </c>
      <c r="GE3" s="74" t="s">
        <v>135</v>
      </c>
      <c r="GF3" s="74"/>
      <c r="GG3" s="74"/>
      <c r="GH3" s="74"/>
      <c r="GI3" s="74"/>
      <c r="GJ3" s="74">
        <f>+GJ2+1</f>
        <v>2</v>
      </c>
      <c r="GK3" s="74">
        <f>+IF($C$8=$GM$1,GM3,IF($C$8=$GN$1,GN3,IF($C$8=$GO$1,GO3,IF($C$8=$GP$1,GP3,0))))</f>
        <v>0</v>
      </c>
      <c r="GL3" s="74"/>
      <c r="GM3" s="74"/>
      <c r="GN3" s="74"/>
      <c r="GO3" s="74"/>
      <c r="GP3" s="74"/>
      <c r="GQ3" s="74"/>
      <c r="GR3" s="74"/>
      <c r="GS3" s="74"/>
      <c r="GT3" s="74">
        <v>2</v>
      </c>
      <c r="GU3" s="74"/>
      <c r="GV3" s="74">
        <v>2</v>
      </c>
      <c r="GW3" s="74"/>
      <c r="GX3" s="74"/>
      <c r="GY3" s="74"/>
      <c r="GZ3" s="74"/>
      <c r="HA3" s="74"/>
      <c r="HB3" s="74"/>
      <c r="HC3" s="74"/>
      <c r="HD3" s="74"/>
    </row>
    <row r="4" spans="2:212" ht="15">
      <c r="B4" s="57" t="s">
        <v>77</v>
      </c>
      <c r="C4" s="58" t="str">
        <f>+Input!E89</f>
        <v>A1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5" t="s">
        <v>91</v>
      </c>
      <c r="FZ4" s="74">
        <f aca="true" t="shared" si="0" ref="FZ4:FZ68">1+FZ3</f>
        <v>3</v>
      </c>
      <c r="GA4" s="74"/>
      <c r="GB4" s="74"/>
      <c r="GC4" s="74"/>
      <c r="GD4" s="74"/>
      <c r="GE4" s="74"/>
      <c r="GF4" s="74"/>
      <c r="GG4" s="74"/>
      <c r="GH4" s="74"/>
      <c r="GI4" s="74"/>
      <c r="GJ4" s="74">
        <f aca="true" t="shared" si="1" ref="GJ4:GJ68">+GJ3+1</f>
        <v>3</v>
      </c>
      <c r="GK4" s="74">
        <f aca="true" t="shared" si="2" ref="GK4:GK69">+IF($C$8=$GM$1,GM4,IF($C$8=$GN$1,GN4,IF($C$8=$GO$1,GO4,IF($C$8=$GP$1,GP4,0))))</f>
        <v>0</v>
      </c>
      <c r="GL4" s="74"/>
      <c r="GM4" s="74"/>
      <c r="GN4" s="74"/>
      <c r="GO4" s="74"/>
      <c r="GP4" s="74"/>
      <c r="GQ4" s="74"/>
      <c r="GR4" s="74"/>
      <c r="GS4" s="74"/>
      <c r="GT4" s="74">
        <v>3</v>
      </c>
      <c r="GU4" s="74"/>
      <c r="GV4" s="74">
        <v>3</v>
      </c>
      <c r="GW4" s="74"/>
      <c r="GX4" s="74"/>
      <c r="GY4" s="74"/>
      <c r="GZ4" s="74"/>
      <c r="HA4" s="74"/>
      <c r="HB4" s="74"/>
      <c r="HC4" s="74"/>
      <c r="HD4" s="74"/>
    </row>
    <row r="5" spans="1:212" ht="15">
      <c r="A5" s="54" t="s">
        <v>82</v>
      </c>
      <c r="B5" s="57" t="s">
        <v>78</v>
      </c>
      <c r="C5" s="151">
        <f>+Input!E90</f>
        <v>0.08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5" t="s">
        <v>92</v>
      </c>
      <c r="FZ5" s="74">
        <f t="shared" si="0"/>
        <v>4</v>
      </c>
      <c r="GA5" s="74"/>
      <c r="GB5" s="74"/>
      <c r="GC5" s="74"/>
      <c r="GD5" s="74"/>
      <c r="GE5" s="74"/>
      <c r="GF5" s="74"/>
      <c r="GG5" s="74"/>
      <c r="GH5" s="74"/>
      <c r="GI5" s="74"/>
      <c r="GJ5" s="74">
        <f t="shared" si="1"/>
        <v>4</v>
      </c>
      <c r="GK5" s="74">
        <f t="shared" si="2"/>
        <v>0</v>
      </c>
      <c r="GL5" s="74"/>
      <c r="GM5" s="74"/>
      <c r="GN5" s="74"/>
      <c r="GO5" s="74"/>
      <c r="GP5" s="74">
        <v>1</v>
      </c>
      <c r="GQ5" s="74"/>
      <c r="GR5" s="74"/>
      <c r="GS5" s="74"/>
      <c r="GT5" s="74">
        <v>4</v>
      </c>
      <c r="GU5" s="74"/>
      <c r="GV5" s="74">
        <v>4</v>
      </c>
      <c r="GW5" s="74"/>
      <c r="GX5" s="74"/>
      <c r="GY5" s="74"/>
      <c r="GZ5" s="74"/>
      <c r="HA5" s="74"/>
      <c r="HB5" s="74"/>
      <c r="HC5" s="74"/>
      <c r="HD5" s="74"/>
    </row>
    <row r="6" spans="1:212" ht="15">
      <c r="A6" s="54"/>
      <c r="B6" s="57" t="s">
        <v>83</v>
      </c>
      <c r="C6" s="59" t="str">
        <f>+C4</f>
        <v>A1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5" t="s">
        <v>93</v>
      </c>
      <c r="FZ6" s="74">
        <f t="shared" si="0"/>
        <v>5</v>
      </c>
      <c r="GA6" s="74"/>
      <c r="GB6" s="74"/>
      <c r="GC6" s="74"/>
      <c r="GD6" s="74"/>
      <c r="GE6" s="74"/>
      <c r="GF6" s="74"/>
      <c r="GG6" s="74"/>
      <c r="GH6" s="74"/>
      <c r="GI6" s="74"/>
      <c r="GJ6" s="74">
        <f t="shared" si="1"/>
        <v>5</v>
      </c>
      <c r="GK6" s="74">
        <f t="shared" si="2"/>
        <v>0</v>
      </c>
      <c r="GL6" s="74"/>
      <c r="GM6" s="74"/>
      <c r="GN6" s="74"/>
      <c r="GO6" s="74">
        <v>1</v>
      </c>
      <c r="GP6" s="74"/>
      <c r="GQ6" s="74"/>
      <c r="GR6" s="74"/>
      <c r="GS6" s="74"/>
      <c r="GT6" s="74"/>
      <c r="GU6" s="74"/>
      <c r="GV6" s="74">
        <v>5</v>
      </c>
      <c r="GW6" s="74"/>
      <c r="GX6" s="74"/>
      <c r="GY6" s="74"/>
      <c r="GZ6" s="74"/>
      <c r="HA6" s="74"/>
      <c r="HB6" s="74"/>
      <c r="HC6" s="74"/>
      <c r="HD6" s="74"/>
    </row>
    <row r="7" spans="1:212" ht="15">
      <c r="A7" s="54"/>
      <c r="B7" s="60" t="s">
        <v>79</v>
      </c>
      <c r="C7" s="61">
        <f>+Input!E92</f>
        <v>25000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5" t="s">
        <v>94</v>
      </c>
      <c r="FZ7" s="74">
        <f t="shared" si="0"/>
        <v>6</v>
      </c>
      <c r="GA7" s="74"/>
      <c r="GB7" s="74"/>
      <c r="GC7" s="74"/>
      <c r="GD7" s="74"/>
      <c r="GE7" s="74"/>
      <c r="GF7" s="74"/>
      <c r="GG7" s="74"/>
      <c r="GH7" s="74"/>
      <c r="GI7" s="74"/>
      <c r="GJ7" s="74">
        <f t="shared" si="1"/>
        <v>6</v>
      </c>
      <c r="GK7" s="74">
        <f t="shared" si="2"/>
        <v>0</v>
      </c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>
        <v>6</v>
      </c>
      <c r="GW7" s="74"/>
      <c r="GX7" s="74"/>
      <c r="GY7" s="74"/>
      <c r="GZ7" s="74"/>
      <c r="HA7" s="74"/>
      <c r="HB7" s="74"/>
      <c r="HC7" s="74"/>
      <c r="HD7" s="74"/>
    </row>
    <row r="8" spans="1:212" ht="15">
      <c r="A8" s="54"/>
      <c r="B8" s="60" t="s">
        <v>84</v>
      </c>
      <c r="C8" s="62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5" t="s">
        <v>95</v>
      </c>
      <c r="FZ8" s="74">
        <f t="shared" si="0"/>
        <v>7</v>
      </c>
      <c r="GA8" s="74"/>
      <c r="GB8" s="74"/>
      <c r="GC8" s="74"/>
      <c r="GD8" s="74"/>
      <c r="GE8" s="74"/>
      <c r="GF8" s="74"/>
      <c r="GG8" s="74"/>
      <c r="GH8" s="74"/>
      <c r="GI8" s="74"/>
      <c r="GJ8" s="74">
        <f t="shared" si="1"/>
        <v>7</v>
      </c>
      <c r="GK8" s="74">
        <f t="shared" si="2"/>
        <v>0</v>
      </c>
      <c r="GL8" s="74"/>
      <c r="GM8" s="74"/>
      <c r="GN8" s="74">
        <v>1</v>
      </c>
      <c r="GO8" s="74"/>
      <c r="GP8" s="74">
        <v>1</v>
      </c>
      <c r="GQ8" s="74"/>
      <c r="GR8" s="74"/>
      <c r="GS8" s="74"/>
      <c r="GT8" s="74"/>
      <c r="GU8" s="74"/>
      <c r="GV8" s="74">
        <v>7</v>
      </c>
      <c r="GW8" s="74"/>
      <c r="GX8" s="74"/>
      <c r="GY8" s="74"/>
      <c r="GZ8" s="74"/>
      <c r="HA8" s="74"/>
      <c r="HB8" s="74"/>
      <c r="HC8" s="74"/>
      <c r="HD8" s="74"/>
    </row>
    <row r="9" spans="1:212" ht="15">
      <c r="A9" s="54"/>
      <c r="B9" s="60" t="s">
        <v>80</v>
      </c>
      <c r="C9" s="62">
        <f>+C10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5" t="s">
        <v>96</v>
      </c>
      <c r="FZ9" s="74">
        <f t="shared" si="0"/>
        <v>8</v>
      </c>
      <c r="GA9" s="74"/>
      <c r="GB9" s="74"/>
      <c r="GC9" s="74"/>
      <c r="GD9" s="74"/>
      <c r="GE9" s="74"/>
      <c r="GF9" s="74"/>
      <c r="GG9" s="74"/>
      <c r="GH9" s="74"/>
      <c r="GI9" s="74"/>
      <c r="GJ9" s="74">
        <f t="shared" si="1"/>
        <v>8</v>
      </c>
      <c r="GK9" s="74">
        <f t="shared" si="2"/>
        <v>0</v>
      </c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>
        <v>8</v>
      </c>
      <c r="GW9" s="74"/>
      <c r="GX9" s="74"/>
      <c r="GY9" s="74"/>
      <c r="GZ9" s="74"/>
      <c r="HA9" s="74"/>
      <c r="HB9" s="74"/>
      <c r="HC9" s="74"/>
      <c r="HD9" s="74"/>
    </row>
    <row r="10" spans="1:212" ht="15">
      <c r="A10" s="54"/>
      <c r="B10" s="63" t="s">
        <v>85</v>
      </c>
      <c r="C10" s="64">
        <f>+Input!E93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5" t="s">
        <v>97</v>
      </c>
      <c r="FZ10" s="74">
        <f t="shared" si="0"/>
        <v>9</v>
      </c>
      <c r="GA10" s="74"/>
      <c r="GB10" s="74"/>
      <c r="GC10" s="74"/>
      <c r="GD10" s="74"/>
      <c r="GE10" s="74"/>
      <c r="GF10" s="74"/>
      <c r="GG10" s="74"/>
      <c r="GH10" s="74"/>
      <c r="GI10" s="74"/>
      <c r="GJ10" s="74">
        <f t="shared" si="1"/>
        <v>9</v>
      </c>
      <c r="GK10" s="74">
        <f t="shared" si="2"/>
        <v>0</v>
      </c>
      <c r="GL10" s="74"/>
      <c r="GM10" s="74"/>
      <c r="GN10" s="74"/>
      <c r="GO10" s="74">
        <v>1</v>
      </c>
      <c r="GP10" s="74"/>
      <c r="GQ10" s="74"/>
      <c r="GR10" s="74"/>
      <c r="GS10" s="74"/>
      <c r="GT10" s="74"/>
      <c r="GU10" s="74"/>
      <c r="GV10" s="74">
        <v>9</v>
      </c>
      <c r="GW10" s="74"/>
      <c r="GX10" s="74"/>
      <c r="GY10" s="74"/>
      <c r="GZ10" s="74"/>
      <c r="HA10" s="74"/>
      <c r="HB10" s="74"/>
      <c r="HC10" s="74"/>
      <c r="HD10" s="74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5" t="s">
        <v>98</v>
      </c>
      <c r="FZ11" s="74">
        <f t="shared" si="0"/>
        <v>10</v>
      </c>
      <c r="GA11" s="74"/>
      <c r="GB11" s="74"/>
      <c r="GC11" s="74"/>
      <c r="GD11" s="74"/>
      <c r="GE11" s="74"/>
      <c r="GF11" s="74"/>
      <c r="GG11" s="74"/>
      <c r="GH11" s="74"/>
      <c r="GI11" s="74"/>
      <c r="GJ11" s="74">
        <f t="shared" si="1"/>
        <v>10</v>
      </c>
      <c r="GK11" s="74">
        <f t="shared" si="2"/>
        <v>0</v>
      </c>
      <c r="GL11" s="74"/>
      <c r="GM11" s="74"/>
      <c r="GN11" s="74"/>
      <c r="GO11" s="74"/>
      <c r="GP11" s="74">
        <v>1</v>
      </c>
      <c r="GQ11" s="74"/>
      <c r="GR11" s="74"/>
      <c r="GS11" s="74"/>
      <c r="GT11" s="74"/>
      <c r="GU11" s="74"/>
      <c r="GV11" s="74">
        <v>10</v>
      </c>
      <c r="GW11" s="74"/>
      <c r="GX11" s="74"/>
      <c r="GY11" s="74"/>
      <c r="GZ11" s="74"/>
      <c r="HA11" s="74"/>
      <c r="HB11" s="74"/>
      <c r="HC11" s="74"/>
      <c r="HD11" s="74"/>
    </row>
    <row r="12" spans="1:212" ht="15">
      <c r="A12" s="54"/>
      <c r="B12" s="65" t="s">
        <v>86</v>
      </c>
      <c r="C12" s="66" t="str">
        <f>IF(C8=1,"annuale",IF(C8=2,"semestrale",IF(C8=3,"quadrimestrale",IF(C8=4,"trimestrale"))))</f>
        <v>annuale</v>
      </c>
      <c r="D12" s="67">
        <f>((1+C5)^(1/C8))-1</f>
        <v>0.08000000000000007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5" t="s">
        <v>99</v>
      </c>
      <c r="FZ12" s="74">
        <f t="shared" si="0"/>
        <v>11</v>
      </c>
      <c r="GA12" s="74"/>
      <c r="GB12" s="74"/>
      <c r="GC12" s="74"/>
      <c r="GD12" s="74"/>
      <c r="GE12" s="74"/>
      <c r="GF12" s="74"/>
      <c r="GG12" s="74"/>
      <c r="GH12" s="74"/>
      <c r="GI12" s="74"/>
      <c r="GJ12" s="74">
        <f t="shared" si="1"/>
        <v>11</v>
      </c>
      <c r="GK12" s="74">
        <f t="shared" si="2"/>
        <v>0</v>
      </c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5" t="s">
        <v>100</v>
      </c>
      <c r="FZ13" s="74">
        <f t="shared" si="0"/>
        <v>12</v>
      </c>
      <c r="GA13" s="74"/>
      <c r="GB13" s="74"/>
      <c r="GC13" s="74"/>
      <c r="GD13" s="74"/>
      <c r="GE13" s="74"/>
      <c r="GF13" s="74"/>
      <c r="GG13" s="74"/>
      <c r="GH13" s="74"/>
      <c r="GI13" s="74"/>
      <c r="GJ13" s="74">
        <f t="shared" si="1"/>
        <v>12</v>
      </c>
      <c r="GK13" s="74">
        <f t="shared" si="2"/>
        <v>0</v>
      </c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</row>
    <row r="14" spans="1:212" ht="15">
      <c r="A14" s="54"/>
      <c r="B14" s="65" t="s">
        <v>87</v>
      </c>
      <c r="C14" s="66" t="str">
        <f>C12</f>
        <v>annuale</v>
      </c>
      <c r="D14" s="68">
        <f>C7/((1-(1+D12)^(-C10))/D12)</f>
        <v>4801.810035710266</v>
      </c>
      <c r="E14" s="66" t="s">
        <v>396</v>
      </c>
      <c r="F14" s="68">
        <f>+D14/12</f>
        <v>400.15083630918883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5" t="s">
        <v>101</v>
      </c>
      <c r="FZ14" s="74">
        <f t="shared" si="0"/>
        <v>13</v>
      </c>
      <c r="GA14" s="74"/>
      <c r="GB14" s="74"/>
      <c r="GC14" s="74"/>
      <c r="GD14" s="74"/>
      <c r="GE14" s="74"/>
      <c r="GF14" s="74"/>
      <c r="GG14" s="74"/>
      <c r="GH14" s="74"/>
      <c r="GI14" s="74"/>
      <c r="GJ14" s="74">
        <f t="shared" si="1"/>
        <v>13</v>
      </c>
      <c r="GK14" s="74">
        <f t="shared" si="2"/>
        <v>1</v>
      </c>
      <c r="GL14" s="74"/>
      <c r="GM14" s="74">
        <v>1</v>
      </c>
      <c r="GN14" s="74">
        <v>1</v>
      </c>
      <c r="GO14" s="74">
        <v>1</v>
      </c>
      <c r="GP14" s="74">
        <v>1</v>
      </c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</row>
    <row r="15" spans="1:212" s="76" customFormat="1" ht="15">
      <c r="A15" s="69"/>
      <c r="B15" s="69"/>
      <c r="C15" s="69"/>
      <c r="D15" s="69"/>
      <c r="E15" s="154">
        <f>+'CE'!D2</f>
        <v>2015</v>
      </c>
      <c r="F15" s="154">
        <f>+'CE'!E2</f>
        <v>2016</v>
      </c>
      <c r="G15" s="154">
        <f>+'CE'!F2</f>
        <v>2017</v>
      </c>
      <c r="H15" s="154">
        <f>+'CE'!G2</f>
        <v>2018</v>
      </c>
      <c r="I15" s="154">
        <f>+'CE'!H2</f>
        <v>2019</v>
      </c>
      <c r="J15" s="154">
        <f>+'CE'!I2</f>
        <v>0</v>
      </c>
      <c r="K15" s="154">
        <f>+'CE'!J2</f>
        <v>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FY15" s="75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</row>
    <row r="16" spans="1:212" s="76" customFormat="1" ht="15" hidden="1">
      <c r="A16" s="69"/>
      <c r="B16" s="69"/>
      <c r="C16" s="69"/>
      <c r="D16" s="69">
        <f>+_xlfn.IFERROR((VLOOKUP(D17,$GJ:$GK,2,FALSE)),0)</f>
        <v>0</v>
      </c>
      <c r="E16" s="79">
        <v>1</v>
      </c>
      <c r="F16" s="79">
        <v>1</v>
      </c>
      <c r="G16" s="79">
        <v>1</v>
      </c>
      <c r="H16" s="79">
        <v>1</v>
      </c>
      <c r="I16" s="79">
        <v>1</v>
      </c>
      <c r="J16" s="79">
        <v>1</v>
      </c>
      <c r="K16" s="79">
        <v>1</v>
      </c>
      <c r="L16" s="79">
        <v>1</v>
      </c>
      <c r="M16" s="79">
        <v>1</v>
      </c>
      <c r="N16" s="79">
        <v>1</v>
      </c>
      <c r="O16" s="79">
        <v>1</v>
      </c>
      <c r="P16" s="79">
        <v>1</v>
      </c>
      <c r="Q16" s="79">
        <v>1</v>
      </c>
      <c r="R16" s="79">
        <v>1</v>
      </c>
      <c r="S16" s="79">
        <v>1</v>
      </c>
      <c r="T16" s="79">
        <v>1</v>
      </c>
      <c r="U16" s="79">
        <v>1</v>
      </c>
      <c r="V16" s="79">
        <v>1</v>
      </c>
      <c r="W16" s="79">
        <v>1</v>
      </c>
      <c r="X16" s="79">
        <v>1</v>
      </c>
      <c r="Y16" s="79">
        <v>1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  <c r="AF16" s="79">
        <v>1</v>
      </c>
      <c r="AG16" s="79">
        <v>1</v>
      </c>
      <c r="AH16" s="79">
        <v>1</v>
      </c>
      <c r="AI16" s="79">
        <v>1</v>
      </c>
      <c r="AJ16" s="79">
        <v>1</v>
      </c>
      <c r="AK16" s="79">
        <v>1</v>
      </c>
      <c r="AL16" s="79">
        <v>1</v>
      </c>
      <c r="AM16" s="79">
        <v>1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FY16" s="75" t="s">
        <v>102</v>
      </c>
      <c r="FZ16" s="77">
        <f>1+FZ14</f>
        <v>14</v>
      </c>
      <c r="GA16" s="77"/>
      <c r="GB16" s="77"/>
      <c r="GC16" s="77"/>
      <c r="GD16" s="77"/>
      <c r="GE16" s="77"/>
      <c r="GF16" s="77"/>
      <c r="GG16" s="77"/>
      <c r="GH16" s="77"/>
      <c r="GI16" s="77"/>
      <c r="GJ16" s="77">
        <f>+GJ14+1</f>
        <v>14</v>
      </c>
      <c r="GK16" s="77">
        <f t="shared" si="2"/>
        <v>0</v>
      </c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</row>
    <row r="17" spans="1:212" s="76" customFormat="1" ht="15" hidden="1">
      <c r="A17" s="69"/>
      <c r="B17" s="69"/>
      <c r="C17" s="69" t="s">
        <v>88</v>
      </c>
      <c r="D17" s="69">
        <f>+IF(D18=$C$6,1,0)</f>
        <v>0</v>
      </c>
      <c r="E17" s="79">
        <f aca="true" t="shared" si="3" ref="E17:AM17">+IF(E18=$C$6,1,+IF(D17=0,0,D17+1))</f>
        <v>1</v>
      </c>
      <c r="F17" s="79">
        <f t="shared" si="3"/>
        <v>2</v>
      </c>
      <c r="G17" s="79">
        <f t="shared" si="3"/>
        <v>3</v>
      </c>
      <c r="H17" s="79">
        <f t="shared" si="3"/>
        <v>4</v>
      </c>
      <c r="I17" s="79">
        <f t="shared" si="3"/>
        <v>5</v>
      </c>
      <c r="J17" s="79">
        <f t="shared" si="3"/>
        <v>6</v>
      </c>
      <c r="K17" s="79">
        <f t="shared" si="3"/>
        <v>7</v>
      </c>
      <c r="L17" s="79">
        <f t="shared" si="3"/>
        <v>8</v>
      </c>
      <c r="M17" s="79">
        <f t="shared" si="3"/>
        <v>9</v>
      </c>
      <c r="N17" s="79">
        <f t="shared" si="3"/>
        <v>10</v>
      </c>
      <c r="O17" s="79">
        <f t="shared" si="3"/>
        <v>11</v>
      </c>
      <c r="P17" s="79">
        <f t="shared" si="3"/>
        <v>12</v>
      </c>
      <c r="Q17" s="79">
        <f t="shared" si="3"/>
        <v>13</v>
      </c>
      <c r="R17" s="79">
        <f t="shared" si="3"/>
        <v>14</v>
      </c>
      <c r="S17" s="79">
        <f t="shared" si="3"/>
        <v>15</v>
      </c>
      <c r="T17" s="79">
        <f t="shared" si="3"/>
        <v>16</v>
      </c>
      <c r="U17" s="79">
        <f t="shared" si="3"/>
        <v>17</v>
      </c>
      <c r="V17" s="79">
        <f t="shared" si="3"/>
        <v>18</v>
      </c>
      <c r="W17" s="79">
        <f t="shared" si="3"/>
        <v>19</v>
      </c>
      <c r="X17" s="79">
        <f t="shared" si="3"/>
        <v>20</v>
      </c>
      <c r="Y17" s="79">
        <f t="shared" si="3"/>
        <v>21</v>
      </c>
      <c r="Z17" s="79">
        <f t="shared" si="3"/>
        <v>22</v>
      </c>
      <c r="AA17" s="79">
        <f t="shared" si="3"/>
        <v>23</v>
      </c>
      <c r="AB17" s="79">
        <f t="shared" si="3"/>
        <v>24</v>
      </c>
      <c r="AC17" s="79">
        <f t="shared" si="3"/>
        <v>25</v>
      </c>
      <c r="AD17" s="79">
        <f t="shared" si="3"/>
        <v>26</v>
      </c>
      <c r="AE17" s="79">
        <f t="shared" si="3"/>
        <v>27</v>
      </c>
      <c r="AF17" s="79">
        <f t="shared" si="3"/>
        <v>28</v>
      </c>
      <c r="AG17" s="79">
        <f t="shared" si="3"/>
        <v>29</v>
      </c>
      <c r="AH17" s="79">
        <f t="shared" si="3"/>
        <v>30</v>
      </c>
      <c r="AI17" s="79">
        <f t="shared" si="3"/>
        <v>31</v>
      </c>
      <c r="AJ17" s="79">
        <f t="shared" si="3"/>
        <v>32</v>
      </c>
      <c r="AK17" s="79">
        <f t="shared" si="3"/>
        <v>33</v>
      </c>
      <c r="AL17" s="79">
        <f t="shared" si="3"/>
        <v>34</v>
      </c>
      <c r="AM17" s="79">
        <f t="shared" si="3"/>
        <v>35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FY17" s="75" t="s">
        <v>103</v>
      </c>
      <c r="FZ17" s="77">
        <f t="shared" si="0"/>
        <v>15</v>
      </c>
      <c r="GA17" s="77"/>
      <c r="GB17" s="77"/>
      <c r="GC17" s="77"/>
      <c r="GD17" s="77"/>
      <c r="GE17" s="77"/>
      <c r="GF17" s="77"/>
      <c r="GG17" s="77"/>
      <c r="GH17" s="77"/>
      <c r="GI17" s="77"/>
      <c r="GJ17" s="77">
        <f t="shared" si="1"/>
        <v>15</v>
      </c>
      <c r="GK17" s="77">
        <f t="shared" si="2"/>
        <v>0</v>
      </c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</row>
    <row r="18" spans="1:212" ht="15">
      <c r="A18" s="54"/>
      <c r="B18" s="70" t="s">
        <v>400</v>
      </c>
      <c r="C18" s="71"/>
      <c r="D18" s="71"/>
      <c r="E18" s="71" t="s">
        <v>89</v>
      </c>
      <c r="F18" s="71" t="s">
        <v>90</v>
      </c>
      <c r="G18" s="71" t="s">
        <v>91</v>
      </c>
      <c r="H18" s="71" t="s">
        <v>92</v>
      </c>
      <c r="I18" s="71" t="s">
        <v>93</v>
      </c>
      <c r="J18" s="71" t="s">
        <v>94</v>
      </c>
      <c r="K18" s="71" t="s">
        <v>95</v>
      </c>
      <c r="L18" s="71" t="s">
        <v>96</v>
      </c>
      <c r="M18" s="71" t="s">
        <v>97</v>
      </c>
      <c r="N18" s="71" t="s">
        <v>98</v>
      </c>
      <c r="O18" s="71" t="s">
        <v>99</v>
      </c>
      <c r="P18" s="71" t="s">
        <v>100</v>
      </c>
      <c r="Q18" s="71" t="s">
        <v>101</v>
      </c>
      <c r="R18" s="71" t="s">
        <v>102</v>
      </c>
      <c r="S18" s="71" t="s">
        <v>103</v>
      </c>
      <c r="T18" s="71" t="s">
        <v>104</v>
      </c>
      <c r="U18" s="71" t="s">
        <v>105</v>
      </c>
      <c r="V18" s="71" t="s">
        <v>106</v>
      </c>
      <c r="W18" s="71" t="s">
        <v>107</v>
      </c>
      <c r="X18" s="71" t="s">
        <v>108</v>
      </c>
      <c r="Y18" s="71" t="s">
        <v>109</v>
      </c>
      <c r="Z18" s="71" t="s">
        <v>110</v>
      </c>
      <c r="AA18" s="71" t="s">
        <v>111</v>
      </c>
      <c r="AB18" s="71" t="s">
        <v>112</v>
      </c>
      <c r="AC18" s="71" t="s">
        <v>113</v>
      </c>
      <c r="AD18" s="71" t="s">
        <v>114</v>
      </c>
      <c r="AE18" s="71" t="s">
        <v>115</v>
      </c>
      <c r="AF18" s="71" t="s">
        <v>116</v>
      </c>
      <c r="AG18" s="71" t="s">
        <v>117</v>
      </c>
      <c r="AH18" s="71" t="s">
        <v>118</v>
      </c>
      <c r="AI18" s="71" t="s">
        <v>119</v>
      </c>
      <c r="AJ18" s="71" t="s">
        <v>120</v>
      </c>
      <c r="AK18" s="71" t="s">
        <v>121</v>
      </c>
      <c r="AL18" s="71" t="s">
        <v>122</v>
      </c>
      <c r="AM18" s="71" t="s">
        <v>123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Y18" s="75" t="s">
        <v>104</v>
      </c>
      <c r="FZ18" s="74">
        <f t="shared" si="0"/>
        <v>16</v>
      </c>
      <c r="GA18" s="74"/>
      <c r="GB18" s="74"/>
      <c r="GC18" s="74"/>
      <c r="GD18" s="74"/>
      <c r="GE18" s="74"/>
      <c r="GF18" s="74"/>
      <c r="GG18" s="74"/>
      <c r="GH18" s="74"/>
      <c r="GI18" s="74"/>
      <c r="GJ18" s="74">
        <f t="shared" si="1"/>
        <v>16</v>
      </c>
      <c r="GK18" s="74">
        <f t="shared" si="2"/>
        <v>0</v>
      </c>
      <c r="GL18" s="74"/>
      <c r="GM18" s="74"/>
      <c r="GN18" s="74"/>
      <c r="GO18" s="74"/>
      <c r="GP18" s="74">
        <v>1</v>
      </c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</row>
    <row r="19" spans="1:212" ht="15">
      <c r="A19" s="54"/>
      <c r="B19" s="155" t="s">
        <v>124</v>
      </c>
      <c r="C19" s="68"/>
      <c r="D19" s="68">
        <f aca="true" t="shared" si="4" ref="D19:AM19">IF(D17&gt;=1,IF(D16=1,$D$14,0))*IF(C23&lt;1,0,1)</f>
        <v>0</v>
      </c>
      <c r="E19" s="68">
        <f t="shared" si="4"/>
        <v>4801.810035710266</v>
      </c>
      <c r="F19" s="68">
        <f t="shared" si="4"/>
        <v>4801.810035710266</v>
      </c>
      <c r="G19" s="68">
        <f t="shared" si="4"/>
        <v>4801.810035710266</v>
      </c>
      <c r="H19" s="68">
        <f t="shared" si="4"/>
        <v>4801.810035710266</v>
      </c>
      <c r="I19" s="68">
        <f t="shared" si="4"/>
        <v>4801.810035710266</v>
      </c>
      <c r="J19" s="68">
        <f t="shared" si="4"/>
        <v>4801.810035710266</v>
      </c>
      <c r="K19" s="68">
        <f t="shared" si="4"/>
        <v>4801.810035710266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68">
        <f t="shared" si="4"/>
        <v>0</v>
      </c>
      <c r="P19" s="68">
        <f t="shared" si="4"/>
        <v>0</v>
      </c>
      <c r="Q19" s="68">
        <f t="shared" si="4"/>
        <v>0</v>
      </c>
      <c r="R19" s="68">
        <f t="shared" si="4"/>
        <v>0</v>
      </c>
      <c r="S19" s="68">
        <f t="shared" si="4"/>
        <v>0</v>
      </c>
      <c r="T19" s="68">
        <f t="shared" si="4"/>
        <v>0</v>
      </c>
      <c r="U19" s="68">
        <f t="shared" si="4"/>
        <v>0</v>
      </c>
      <c r="V19" s="68">
        <f t="shared" si="4"/>
        <v>0</v>
      </c>
      <c r="W19" s="68">
        <f t="shared" si="4"/>
        <v>0</v>
      </c>
      <c r="X19" s="68">
        <f t="shared" si="4"/>
        <v>0</v>
      </c>
      <c r="Y19" s="68">
        <f t="shared" si="4"/>
        <v>0</v>
      </c>
      <c r="Z19" s="68">
        <f t="shared" si="4"/>
        <v>0</v>
      </c>
      <c r="AA19" s="68">
        <f t="shared" si="4"/>
        <v>0</v>
      </c>
      <c r="AB19" s="68">
        <f t="shared" si="4"/>
        <v>0</v>
      </c>
      <c r="AC19" s="68">
        <f t="shared" si="4"/>
        <v>0</v>
      </c>
      <c r="AD19" s="68">
        <f t="shared" si="4"/>
        <v>0</v>
      </c>
      <c r="AE19" s="68">
        <f t="shared" si="4"/>
        <v>0</v>
      </c>
      <c r="AF19" s="68">
        <f t="shared" si="4"/>
        <v>0</v>
      </c>
      <c r="AG19" s="68">
        <f t="shared" si="4"/>
        <v>0</v>
      </c>
      <c r="AH19" s="68">
        <f t="shared" si="4"/>
        <v>0</v>
      </c>
      <c r="AI19" s="68">
        <f t="shared" si="4"/>
        <v>0</v>
      </c>
      <c r="AJ19" s="68">
        <f t="shared" si="4"/>
        <v>0</v>
      </c>
      <c r="AK19" s="68">
        <f t="shared" si="4"/>
        <v>0</v>
      </c>
      <c r="AL19" s="68">
        <f t="shared" si="4"/>
        <v>0</v>
      </c>
      <c r="AM19" s="68">
        <f t="shared" si="4"/>
        <v>0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Y19" s="75" t="s">
        <v>105</v>
      </c>
      <c r="FZ19" s="74">
        <f t="shared" si="0"/>
        <v>17</v>
      </c>
      <c r="GA19" s="74"/>
      <c r="GB19" s="74"/>
      <c r="GC19" s="74"/>
      <c r="GD19" s="74"/>
      <c r="GE19" s="74"/>
      <c r="GF19" s="74"/>
      <c r="GG19" s="74"/>
      <c r="GH19" s="74"/>
      <c r="GI19" s="74"/>
      <c r="GJ19" s="74">
        <f t="shared" si="1"/>
        <v>17</v>
      </c>
      <c r="GK19" s="74">
        <f t="shared" si="2"/>
        <v>0</v>
      </c>
      <c r="GL19" s="74"/>
      <c r="GM19" s="74"/>
      <c r="GN19" s="74"/>
      <c r="GO19" s="74">
        <v>1</v>
      </c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</row>
    <row r="20" spans="1:212" ht="23.25" customHeight="1">
      <c r="A20" s="54"/>
      <c r="B20" s="60" t="s">
        <v>125</v>
      </c>
      <c r="C20" s="68"/>
      <c r="D20" s="68">
        <f aca="true" t="shared" si="5" ref="D20:I20">D19-D22</f>
        <v>0</v>
      </c>
      <c r="E20" s="68">
        <f t="shared" si="5"/>
        <v>2801.810035710264</v>
      </c>
      <c r="F20" s="68">
        <f t="shared" si="5"/>
        <v>3025.954838567085</v>
      </c>
      <c r="G20" s="68">
        <f t="shared" si="5"/>
        <v>3268.031225652452</v>
      </c>
      <c r="H20" s="68">
        <f t="shared" si="5"/>
        <v>3529.473723704649</v>
      </c>
      <c r="I20" s="68">
        <f t="shared" si="5"/>
        <v>3811.8316216010207</v>
      </c>
      <c r="J20" s="68">
        <f>J19-J22</f>
        <v>4116.778151329103</v>
      </c>
      <c r="K20" s="68">
        <f aca="true" t="shared" si="6" ref="K20:AM20">K19-K22</f>
        <v>4446.120403435431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0</v>
      </c>
      <c r="R20" s="68">
        <f t="shared" si="6"/>
        <v>0</v>
      </c>
      <c r="S20" s="68">
        <f t="shared" si="6"/>
        <v>0</v>
      </c>
      <c r="T20" s="68">
        <f t="shared" si="6"/>
        <v>0</v>
      </c>
      <c r="U20" s="68">
        <f t="shared" si="6"/>
        <v>0</v>
      </c>
      <c r="V20" s="68">
        <f t="shared" si="6"/>
        <v>0</v>
      </c>
      <c r="W20" s="68">
        <f t="shared" si="6"/>
        <v>0</v>
      </c>
      <c r="X20" s="68">
        <f t="shared" si="6"/>
        <v>0</v>
      </c>
      <c r="Y20" s="68">
        <f t="shared" si="6"/>
        <v>0</v>
      </c>
      <c r="Z20" s="68">
        <f t="shared" si="6"/>
        <v>0</v>
      </c>
      <c r="AA20" s="68">
        <f t="shared" si="6"/>
        <v>0</v>
      </c>
      <c r="AB20" s="68">
        <f t="shared" si="6"/>
        <v>0</v>
      </c>
      <c r="AC20" s="68">
        <f t="shared" si="6"/>
        <v>0</v>
      </c>
      <c r="AD20" s="68">
        <f t="shared" si="6"/>
        <v>0</v>
      </c>
      <c r="AE20" s="68">
        <f t="shared" si="6"/>
        <v>0</v>
      </c>
      <c r="AF20" s="68">
        <f t="shared" si="6"/>
        <v>0</v>
      </c>
      <c r="AG20" s="68">
        <f t="shared" si="6"/>
        <v>0</v>
      </c>
      <c r="AH20" s="68">
        <f t="shared" si="6"/>
        <v>0</v>
      </c>
      <c r="AI20" s="68">
        <f t="shared" si="6"/>
        <v>0</v>
      </c>
      <c r="AJ20" s="68">
        <f t="shared" si="6"/>
        <v>0</v>
      </c>
      <c r="AK20" s="68">
        <f t="shared" si="6"/>
        <v>0</v>
      </c>
      <c r="AL20" s="68">
        <f t="shared" si="6"/>
        <v>0</v>
      </c>
      <c r="AM20" s="68">
        <f t="shared" si="6"/>
        <v>0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Y20" s="75" t="s">
        <v>106</v>
      </c>
      <c r="FZ20" s="74">
        <f t="shared" si="0"/>
        <v>18</v>
      </c>
      <c r="GA20" s="74"/>
      <c r="GB20" s="74"/>
      <c r="GC20" s="74"/>
      <c r="GD20" s="74"/>
      <c r="GE20" s="74"/>
      <c r="GF20" s="74"/>
      <c r="GG20" s="74"/>
      <c r="GH20" s="74"/>
      <c r="GI20" s="74"/>
      <c r="GJ20" s="74">
        <f t="shared" si="1"/>
        <v>18</v>
      </c>
      <c r="GK20" s="74">
        <f t="shared" si="2"/>
        <v>0</v>
      </c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</row>
    <row r="21" spans="1:212" ht="15">
      <c r="A21" s="54"/>
      <c r="B21" s="60" t="s">
        <v>126</v>
      </c>
      <c r="C21" s="68"/>
      <c r="D21" s="68">
        <f aca="true" t="shared" si="7" ref="D21:AM21">D20+C21*(IF(C23&lt;1,0,1))</f>
        <v>0</v>
      </c>
      <c r="E21" s="68">
        <f t="shared" si="7"/>
        <v>2801.810035710264</v>
      </c>
      <c r="F21" s="68">
        <f t="shared" si="7"/>
        <v>5827.764874277349</v>
      </c>
      <c r="G21" s="68">
        <f t="shared" si="7"/>
        <v>9095.796099929801</v>
      </c>
      <c r="H21" s="68">
        <f t="shared" si="7"/>
        <v>12625.26982363445</v>
      </c>
      <c r="I21" s="68">
        <f t="shared" si="7"/>
        <v>16437.101445235472</v>
      </c>
      <c r="J21" s="68">
        <f t="shared" si="7"/>
        <v>20553.879596564577</v>
      </c>
      <c r="K21" s="68">
        <f t="shared" si="7"/>
        <v>25000.000000000007</v>
      </c>
      <c r="L21" s="68">
        <f t="shared" si="7"/>
        <v>0</v>
      </c>
      <c r="M21" s="68">
        <f t="shared" si="7"/>
        <v>0</v>
      </c>
      <c r="N21" s="68">
        <f t="shared" si="7"/>
        <v>0</v>
      </c>
      <c r="O21" s="68">
        <f t="shared" si="7"/>
        <v>0</v>
      </c>
      <c r="P21" s="68">
        <f t="shared" si="7"/>
        <v>0</v>
      </c>
      <c r="Q21" s="68">
        <f t="shared" si="7"/>
        <v>0</v>
      </c>
      <c r="R21" s="68">
        <f t="shared" si="7"/>
        <v>0</v>
      </c>
      <c r="S21" s="68">
        <f t="shared" si="7"/>
        <v>0</v>
      </c>
      <c r="T21" s="68">
        <f t="shared" si="7"/>
        <v>0</v>
      </c>
      <c r="U21" s="68">
        <f t="shared" si="7"/>
        <v>0</v>
      </c>
      <c r="V21" s="68">
        <f t="shared" si="7"/>
        <v>0</v>
      </c>
      <c r="W21" s="68">
        <f t="shared" si="7"/>
        <v>0</v>
      </c>
      <c r="X21" s="68">
        <f t="shared" si="7"/>
        <v>0</v>
      </c>
      <c r="Y21" s="68">
        <f t="shared" si="7"/>
        <v>0</v>
      </c>
      <c r="Z21" s="68">
        <f t="shared" si="7"/>
        <v>0</v>
      </c>
      <c r="AA21" s="68">
        <f t="shared" si="7"/>
        <v>0</v>
      </c>
      <c r="AB21" s="68">
        <f t="shared" si="7"/>
        <v>0</v>
      </c>
      <c r="AC21" s="68">
        <f t="shared" si="7"/>
        <v>0</v>
      </c>
      <c r="AD21" s="68">
        <f t="shared" si="7"/>
        <v>0</v>
      </c>
      <c r="AE21" s="68">
        <f t="shared" si="7"/>
        <v>0</v>
      </c>
      <c r="AF21" s="68">
        <f t="shared" si="7"/>
        <v>0</v>
      </c>
      <c r="AG21" s="68">
        <f t="shared" si="7"/>
        <v>0</v>
      </c>
      <c r="AH21" s="68">
        <f t="shared" si="7"/>
        <v>0</v>
      </c>
      <c r="AI21" s="68">
        <f t="shared" si="7"/>
        <v>0</v>
      </c>
      <c r="AJ21" s="68">
        <f t="shared" si="7"/>
        <v>0</v>
      </c>
      <c r="AK21" s="68">
        <f t="shared" si="7"/>
        <v>0</v>
      </c>
      <c r="AL21" s="68">
        <f t="shared" si="7"/>
        <v>0</v>
      </c>
      <c r="AM21" s="68">
        <f t="shared" si="7"/>
        <v>0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Y21" s="75" t="s">
        <v>107</v>
      </c>
      <c r="FZ21" s="74">
        <f t="shared" si="0"/>
        <v>19</v>
      </c>
      <c r="GA21" s="74"/>
      <c r="GB21" s="74"/>
      <c r="GC21" s="74"/>
      <c r="GD21" s="74"/>
      <c r="GE21" s="74"/>
      <c r="GF21" s="74"/>
      <c r="GG21" s="74"/>
      <c r="GH21" s="74"/>
      <c r="GI21" s="74"/>
      <c r="GJ21" s="74">
        <f t="shared" si="1"/>
        <v>19</v>
      </c>
      <c r="GK21" s="74">
        <f t="shared" si="2"/>
        <v>0</v>
      </c>
      <c r="GL21" s="74"/>
      <c r="GM21" s="74"/>
      <c r="GN21" s="74">
        <v>1</v>
      </c>
      <c r="GO21" s="74"/>
      <c r="GP21" s="74">
        <v>1</v>
      </c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</row>
    <row r="22" spans="1:212" ht="15">
      <c r="A22" s="54"/>
      <c r="B22" s="60" t="s">
        <v>127</v>
      </c>
      <c r="C22" s="68">
        <f aca="true" t="shared" si="8" ref="C22:AM22">IF(C19&gt;0,B23*$D$12,0)</f>
        <v>0</v>
      </c>
      <c r="D22" s="68">
        <f t="shared" si="8"/>
        <v>0</v>
      </c>
      <c r="E22" s="68">
        <f t="shared" si="8"/>
        <v>2000.0000000000018</v>
      </c>
      <c r="F22" s="68">
        <f t="shared" si="8"/>
        <v>1775.8551971431805</v>
      </c>
      <c r="G22" s="68">
        <f t="shared" si="8"/>
        <v>1533.7788100578134</v>
      </c>
      <c r="H22" s="68">
        <f t="shared" si="8"/>
        <v>1272.336312005617</v>
      </c>
      <c r="I22" s="68">
        <f t="shared" si="8"/>
        <v>989.9784141092449</v>
      </c>
      <c r="J22" s="68">
        <f t="shared" si="8"/>
        <v>685.0318843811629</v>
      </c>
      <c r="K22" s="68">
        <f t="shared" si="8"/>
        <v>355.6896322748342</v>
      </c>
      <c r="L22" s="68">
        <f t="shared" si="8"/>
        <v>0</v>
      </c>
      <c r="M22" s="68">
        <f t="shared" si="8"/>
        <v>0</v>
      </c>
      <c r="N22" s="68">
        <f t="shared" si="8"/>
        <v>0</v>
      </c>
      <c r="O22" s="68">
        <f t="shared" si="8"/>
        <v>0</v>
      </c>
      <c r="P22" s="68">
        <f t="shared" si="8"/>
        <v>0</v>
      </c>
      <c r="Q22" s="68">
        <f t="shared" si="8"/>
        <v>0</v>
      </c>
      <c r="R22" s="68">
        <f t="shared" si="8"/>
        <v>0</v>
      </c>
      <c r="S22" s="68">
        <f t="shared" si="8"/>
        <v>0</v>
      </c>
      <c r="T22" s="68">
        <f t="shared" si="8"/>
        <v>0</v>
      </c>
      <c r="U22" s="68">
        <f t="shared" si="8"/>
        <v>0</v>
      </c>
      <c r="V22" s="68">
        <f t="shared" si="8"/>
        <v>0</v>
      </c>
      <c r="W22" s="68">
        <f t="shared" si="8"/>
        <v>0</v>
      </c>
      <c r="X22" s="68">
        <f t="shared" si="8"/>
        <v>0</v>
      </c>
      <c r="Y22" s="68">
        <f t="shared" si="8"/>
        <v>0</v>
      </c>
      <c r="Z22" s="68">
        <f t="shared" si="8"/>
        <v>0</v>
      </c>
      <c r="AA22" s="68">
        <f t="shared" si="8"/>
        <v>0</v>
      </c>
      <c r="AB22" s="68">
        <f t="shared" si="8"/>
        <v>0</v>
      </c>
      <c r="AC22" s="68">
        <f t="shared" si="8"/>
        <v>0</v>
      </c>
      <c r="AD22" s="68">
        <f t="shared" si="8"/>
        <v>0</v>
      </c>
      <c r="AE22" s="68">
        <f t="shared" si="8"/>
        <v>0</v>
      </c>
      <c r="AF22" s="68">
        <f t="shared" si="8"/>
        <v>0</v>
      </c>
      <c r="AG22" s="68">
        <f t="shared" si="8"/>
        <v>0</v>
      </c>
      <c r="AH22" s="68">
        <f t="shared" si="8"/>
        <v>0</v>
      </c>
      <c r="AI22" s="68">
        <f t="shared" si="8"/>
        <v>0</v>
      </c>
      <c r="AJ22" s="68">
        <f t="shared" si="8"/>
        <v>0</v>
      </c>
      <c r="AK22" s="68">
        <f t="shared" si="8"/>
        <v>0</v>
      </c>
      <c r="AL22" s="68">
        <f t="shared" si="8"/>
        <v>0</v>
      </c>
      <c r="AM22" s="68">
        <f t="shared" si="8"/>
        <v>0</v>
      </c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Y22" s="75" t="s">
        <v>108</v>
      </c>
      <c r="FZ22" s="74">
        <f t="shared" si="0"/>
        <v>20</v>
      </c>
      <c r="GA22" s="74"/>
      <c r="GB22" s="74"/>
      <c r="GC22" s="74"/>
      <c r="GD22" s="74"/>
      <c r="GE22" s="74"/>
      <c r="GF22" s="74"/>
      <c r="GG22" s="74"/>
      <c r="GH22" s="74"/>
      <c r="GI22" s="74"/>
      <c r="GJ22" s="74">
        <f t="shared" si="1"/>
        <v>20</v>
      </c>
      <c r="GK22" s="74">
        <f t="shared" si="2"/>
        <v>0</v>
      </c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</row>
    <row r="23" spans="1:212" ht="15">
      <c r="A23" s="54"/>
      <c r="B23" s="72" t="s">
        <v>128</v>
      </c>
      <c r="C23" s="68">
        <f>IF(D18=$C$4,$C$7,IF(C21=0,0,$C$7-C21))</f>
        <v>0</v>
      </c>
      <c r="D23" s="68">
        <f aca="true" t="shared" si="9" ref="D23:AM23">IF(E18=$C$4,$C$7,IF(D21=0,0,$C$7-D21))</f>
        <v>25000</v>
      </c>
      <c r="E23" s="68">
        <f t="shared" si="9"/>
        <v>22198.189964289737</v>
      </c>
      <c r="F23" s="68">
        <f t="shared" si="9"/>
        <v>19172.23512572265</v>
      </c>
      <c r="G23" s="68">
        <f t="shared" si="9"/>
        <v>15904.203900070199</v>
      </c>
      <c r="H23" s="68">
        <f t="shared" si="9"/>
        <v>12374.73017636555</v>
      </c>
      <c r="I23" s="68">
        <f t="shared" si="9"/>
        <v>8562.898554764528</v>
      </c>
      <c r="J23" s="68">
        <f t="shared" si="9"/>
        <v>4446.120403435423</v>
      </c>
      <c r="K23" s="68">
        <f t="shared" si="9"/>
        <v>-7.275957614183426E-12</v>
      </c>
      <c r="L23" s="68">
        <f t="shared" si="9"/>
        <v>0</v>
      </c>
      <c r="M23" s="68">
        <f t="shared" si="9"/>
        <v>0</v>
      </c>
      <c r="N23" s="68">
        <f t="shared" si="9"/>
        <v>0</v>
      </c>
      <c r="O23" s="68">
        <f t="shared" si="9"/>
        <v>0</v>
      </c>
      <c r="P23" s="68">
        <f t="shared" si="9"/>
        <v>0</v>
      </c>
      <c r="Q23" s="68">
        <f t="shared" si="9"/>
        <v>0</v>
      </c>
      <c r="R23" s="68">
        <f t="shared" si="9"/>
        <v>0</v>
      </c>
      <c r="S23" s="68">
        <f t="shared" si="9"/>
        <v>0</v>
      </c>
      <c r="T23" s="68">
        <f t="shared" si="9"/>
        <v>0</v>
      </c>
      <c r="U23" s="68">
        <f t="shared" si="9"/>
        <v>0</v>
      </c>
      <c r="V23" s="68">
        <f t="shared" si="9"/>
        <v>0</v>
      </c>
      <c r="W23" s="68">
        <f t="shared" si="9"/>
        <v>0</v>
      </c>
      <c r="X23" s="68">
        <f t="shared" si="9"/>
        <v>0</v>
      </c>
      <c r="Y23" s="68">
        <f t="shared" si="9"/>
        <v>0</v>
      </c>
      <c r="Z23" s="68">
        <f t="shared" si="9"/>
        <v>0</v>
      </c>
      <c r="AA23" s="68">
        <f t="shared" si="9"/>
        <v>0</v>
      </c>
      <c r="AB23" s="68">
        <f t="shared" si="9"/>
        <v>0</v>
      </c>
      <c r="AC23" s="68">
        <f t="shared" si="9"/>
        <v>0</v>
      </c>
      <c r="AD23" s="68">
        <f t="shared" si="9"/>
        <v>0</v>
      </c>
      <c r="AE23" s="68">
        <f t="shared" si="9"/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Y23" s="75" t="s">
        <v>109</v>
      </c>
      <c r="FZ23" s="74">
        <f t="shared" si="0"/>
        <v>21</v>
      </c>
      <c r="GA23" s="74"/>
      <c r="GB23" s="74"/>
      <c r="GC23" s="74"/>
      <c r="GD23" s="74"/>
      <c r="GE23" s="74"/>
      <c r="GF23" s="74"/>
      <c r="GG23" s="74"/>
      <c r="GH23" s="74"/>
      <c r="GI23" s="74"/>
      <c r="GJ23" s="74">
        <f t="shared" si="1"/>
        <v>21</v>
      </c>
      <c r="GK23" s="74">
        <f t="shared" si="2"/>
        <v>0</v>
      </c>
      <c r="GL23" s="74"/>
      <c r="GM23" s="74"/>
      <c r="GN23" s="74"/>
      <c r="GO23" s="74">
        <v>1</v>
      </c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</row>
    <row r="24" spans="1:212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5" t="s">
        <v>110</v>
      </c>
      <c r="FZ24" s="74">
        <f t="shared" si="0"/>
        <v>22</v>
      </c>
      <c r="GA24" s="74"/>
      <c r="GB24" s="74"/>
      <c r="GC24" s="74"/>
      <c r="GD24" s="74"/>
      <c r="GE24" s="74"/>
      <c r="GF24" s="74"/>
      <c r="GG24" s="74"/>
      <c r="GH24" s="74"/>
      <c r="GI24" s="74"/>
      <c r="GJ24" s="74">
        <f t="shared" si="1"/>
        <v>22</v>
      </c>
      <c r="GK24" s="74">
        <f t="shared" si="2"/>
        <v>0</v>
      </c>
      <c r="GL24" s="74"/>
      <c r="GM24" s="74"/>
      <c r="GN24" s="74"/>
      <c r="GO24" s="74"/>
      <c r="GP24" s="74">
        <v>1</v>
      </c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</row>
    <row r="25" spans="1:212" ht="15">
      <c r="A25" s="54"/>
      <c r="B25" s="54"/>
      <c r="C25" s="54"/>
      <c r="D25" s="54"/>
      <c r="E25" s="154">
        <f>+E15</f>
        <v>2015</v>
      </c>
      <c r="F25" s="154">
        <f aca="true" t="shared" si="10" ref="F25:K25">+F15</f>
        <v>2016</v>
      </c>
      <c r="G25" s="154">
        <f t="shared" si="10"/>
        <v>2017</v>
      </c>
      <c r="H25" s="154">
        <f t="shared" si="10"/>
        <v>2018</v>
      </c>
      <c r="I25" s="154">
        <f t="shared" si="10"/>
        <v>2019</v>
      </c>
      <c r="J25" s="154">
        <f t="shared" si="10"/>
        <v>0</v>
      </c>
      <c r="K25" s="154">
        <f t="shared" si="10"/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5" t="s">
        <v>111</v>
      </c>
      <c r="FZ25" s="74">
        <f t="shared" si="0"/>
        <v>23</v>
      </c>
      <c r="GA25" s="74"/>
      <c r="GB25" s="74"/>
      <c r="GC25" s="74"/>
      <c r="GD25" s="74"/>
      <c r="GE25" s="74"/>
      <c r="GF25" s="74"/>
      <c r="GG25" s="74"/>
      <c r="GH25" s="74"/>
      <c r="GI25" s="74"/>
      <c r="GJ25" s="74">
        <f t="shared" si="1"/>
        <v>23</v>
      </c>
      <c r="GK25" s="74">
        <f t="shared" si="2"/>
        <v>0</v>
      </c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</row>
    <row r="26" spans="1:212" ht="15" hidden="1">
      <c r="A26" s="54"/>
      <c r="C26" s="54"/>
      <c r="D26" s="73">
        <f>+D18</f>
        <v>0</v>
      </c>
      <c r="E26" s="73" t="str">
        <f aca="true" t="shared" si="11" ref="E26:AM26">+E18</f>
        <v>A1</v>
      </c>
      <c r="F26" s="73" t="str">
        <f t="shared" si="11"/>
        <v>A2</v>
      </c>
      <c r="G26" s="73" t="str">
        <f t="shared" si="11"/>
        <v>A3</v>
      </c>
      <c r="H26" s="73" t="str">
        <f t="shared" si="11"/>
        <v>A4</v>
      </c>
      <c r="I26" s="73" t="str">
        <f t="shared" si="11"/>
        <v>A5</v>
      </c>
      <c r="J26" s="73" t="str">
        <f t="shared" si="11"/>
        <v>A6</v>
      </c>
      <c r="K26" s="73" t="str">
        <f t="shared" si="11"/>
        <v>A7</v>
      </c>
      <c r="L26" s="73" t="str">
        <f t="shared" si="11"/>
        <v>A8</v>
      </c>
      <c r="M26" s="73" t="str">
        <f t="shared" si="11"/>
        <v>A9</v>
      </c>
      <c r="N26" s="73" t="str">
        <f t="shared" si="11"/>
        <v>A10</v>
      </c>
      <c r="O26" s="73" t="str">
        <f t="shared" si="11"/>
        <v>A11</v>
      </c>
      <c r="P26" s="73" t="str">
        <f t="shared" si="11"/>
        <v>A12</v>
      </c>
      <c r="Q26" s="73" t="str">
        <f t="shared" si="11"/>
        <v>A13</v>
      </c>
      <c r="R26" s="73" t="str">
        <f t="shared" si="11"/>
        <v>A14</v>
      </c>
      <c r="S26" s="73" t="str">
        <f t="shared" si="11"/>
        <v>A15</v>
      </c>
      <c r="T26" s="73" t="str">
        <f t="shared" si="11"/>
        <v>A16</v>
      </c>
      <c r="U26" s="73" t="str">
        <f t="shared" si="11"/>
        <v>A17</v>
      </c>
      <c r="V26" s="73" t="str">
        <f t="shared" si="11"/>
        <v>A18</v>
      </c>
      <c r="W26" s="73" t="str">
        <f t="shared" si="11"/>
        <v>A19</v>
      </c>
      <c r="X26" s="73" t="str">
        <f t="shared" si="11"/>
        <v>A20</v>
      </c>
      <c r="Y26" s="73" t="str">
        <f t="shared" si="11"/>
        <v>A21</v>
      </c>
      <c r="Z26" s="73" t="str">
        <f t="shared" si="11"/>
        <v>A22</v>
      </c>
      <c r="AA26" s="73" t="str">
        <f t="shared" si="11"/>
        <v>A23</v>
      </c>
      <c r="AB26" s="73" t="str">
        <f t="shared" si="11"/>
        <v>A24</v>
      </c>
      <c r="AC26" s="73" t="str">
        <f t="shared" si="11"/>
        <v>A25</v>
      </c>
      <c r="AD26" s="73" t="str">
        <f t="shared" si="11"/>
        <v>A26</v>
      </c>
      <c r="AE26" s="73" t="str">
        <f t="shared" si="11"/>
        <v>A27</v>
      </c>
      <c r="AF26" s="73" t="str">
        <f t="shared" si="11"/>
        <v>A28</v>
      </c>
      <c r="AG26" s="73" t="str">
        <f t="shared" si="11"/>
        <v>A29</v>
      </c>
      <c r="AH26" s="73" t="str">
        <f t="shared" si="11"/>
        <v>A30</v>
      </c>
      <c r="AI26" s="73" t="str">
        <f t="shared" si="11"/>
        <v>A31</v>
      </c>
      <c r="AJ26" s="73" t="str">
        <f t="shared" si="11"/>
        <v>A32</v>
      </c>
      <c r="AK26" s="73" t="str">
        <f t="shared" si="11"/>
        <v>A33</v>
      </c>
      <c r="AL26" s="73" t="str">
        <f t="shared" si="11"/>
        <v>A34</v>
      </c>
      <c r="AM26" s="73" t="str">
        <f t="shared" si="11"/>
        <v>A35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5" t="s">
        <v>112</v>
      </c>
      <c r="FZ26" s="74">
        <f t="shared" si="0"/>
        <v>24</v>
      </c>
      <c r="GA26" s="74"/>
      <c r="GB26" s="74"/>
      <c r="GC26" s="74"/>
      <c r="GD26" s="74"/>
      <c r="GE26" s="74"/>
      <c r="GF26" s="74"/>
      <c r="GG26" s="74"/>
      <c r="GH26" s="74"/>
      <c r="GI26" s="74"/>
      <c r="GJ26" s="74">
        <f t="shared" si="1"/>
        <v>24</v>
      </c>
      <c r="GK26" s="74">
        <f t="shared" si="2"/>
        <v>0</v>
      </c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</row>
    <row r="27" spans="1:212" ht="15">
      <c r="A27" s="54" t="s">
        <v>129</v>
      </c>
      <c r="B27" s="70" t="s">
        <v>130</v>
      </c>
      <c r="C27" s="54"/>
      <c r="D27" s="68">
        <f aca="true" t="shared" si="12" ref="D27:I27">+D23-D29</f>
        <v>25000</v>
      </c>
      <c r="E27" s="68">
        <f t="shared" si="12"/>
        <v>20198.189964289733</v>
      </c>
      <c r="F27" s="68">
        <f>+F23-F29</f>
        <v>17396.37992857947</v>
      </c>
      <c r="G27" s="68">
        <f t="shared" si="12"/>
        <v>14370.425090012386</v>
      </c>
      <c r="H27" s="68">
        <f t="shared" si="12"/>
        <v>11102.393864359934</v>
      </c>
      <c r="I27" s="68">
        <f t="shared" si="12"/>
        <v>7572.920140655283</v>
      </c>
      <c r="J27" s="68">
        <f>+J23-SUM($I$29:J29)</f>
        <v>2771.1101049450153</v>
      </c>
      <c r="K27" s="68">
        <f>+K23-SUM($I$29:K29)</f>
        <v>-2030.6999307652493</v>
      </c>
      <c r="L27" s="68">
        <f>+L23-SUM($I$29:L29)</f>
        <v>-2030.699930765242</v>
      </c>
      <c r="M27" s="68">
        <f>+M23-SUM($I$29:M29)</f>
        <v>-2030.699930765242</v>
      </c>
      <c r="N27" s="68">
        <f>+N23-SUM($I$29:N29)</f>
        <v>-2030.699930765242</v>
      </c>
      <c r="O27" s="68">
        <f>+O23-SUM($I$29:O29)</f>
        <v>-2030.699930765242</v>
      </c>
      <c r="P27" s="68">
        <f>+P23-SUM($I$29:P29)</f>
        <v>-2030.699930765242</v>
      </c>
      <c r="Q27" s="68">
        <f>+Q23-SUM($I$29:Q29)</f>
        <v>-2030.699930765242</v>
      </c>
      <c r="R27" s="68">
        <f>+R23-SUM($I$29:R29)</f>
        <v>-2030.699930765242</v>
      </c>
      <c r="S27" s="68">
        <f>+S23-SUM($I$29:S29)</f>
        <v>-2030.699930765242</v>
      </c>
      <c r="T27" s="68">
        <f>+T23-SUM($I$29:T29)</f>
        <v>-2030.699930765242</v>
      </c>
      <c r="U27" s="68">
        <f>+U23-SUM($I$29:U29)</f>
        <v>-2030.699930765242</v>
      </c>
      <c r="V27" s="68">
        <f>+V23-SUM($I$29:V29)</f>
        <v>-2030.699930765242</v>
      </c>
      <c r="W27" s="68">
        <f>+W23-SUM($I$29:W29)</f>
        <v>-2030.699930765242</v>
      </c>
      <c r="X27" s="68">
        <f>+X23-SUM($I$29:X29)</f>
        <v>-2030.699930765242</v>
      </c>
      <c r="Y27" s="68">
        <f>+Y23-SUM($I$29:Y29)</f>
        <v>-2030.699930765242</v>
      </c>
      <c r="Z27" s="68">
        <f>+Z23-SUM($I$29:Z29)</f>
        <v>-2030.699930765242</v>
      </c>
      <c r="AA27" s="68">
        <f>+AA23-SUM($I$29:AA29)</f>
        <v>-2030.699930765242</v>
      </c>
      <c r="AB27" s="68">
        <f>+AB23-SUM($I$29:AB29)</f>
        <v>-2030.699930765242</v>
      </c>
      <c r="AC27" s="68">
        <f>+AC23-SUM($I$29:AC29)</f>
        <v>-2030.699930765242</v>
      </c>
      <c r="AD27" s="68">
        <f>+AD23-SUM($I$29:AD29)</f>
        <v>-2030.699930765242</v>
      </c>
      <c r="AE27" s="68">
        <f>+AE23-SUM($I$29:AE29)</f>
        <v>-2030.699930765242</v>
      </c>
      <c r="AF27" s="68">
        <f>+AF23-SUM($I$29:AF29)</f>
        <v>-2030.699930765242</v>
      </c>
      <c r="AG27" s="68">
        <f>+AG23-SUM($I$29:AG29)</f>
        <v>-2030.699930765242</v>
      </c>
      <c r="AH27" s="68">
        <f>+AH23-SUM($I$29:AH29)</f>
        <v>-2030.699930765242</v>
      </c>
      <c r="AI27" s="68">
        <f>+AI23-SUM($I$29:AI29)</f>
        <v>-2030.699930765242</v>
      </c>
      <c r="AJ27" s="68">
        <f>+AJ23-SUM($I$29:AJ29)</f>
        <v>-2030.699930765242</v>
      </c>
      <c r="AK27" s="68">
        <f>+AK23-SUM($I$29:AK29)</f>
        <v>-2030.699930765242</v>
      </c>
      <c r="AL27" s="68">
        <f>+AL23-SUM($I$29:AL29)</f>
        <v>-2030.699930765242</v>
      </c>
      <c r="AM27" s="68">
        <f>+AM23-SUM($I$29:AM29)</f>
        <v>-2030.699930765242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5" t="s">
        <v>113</v>
      </c>
      <c r="FZ27" s="74">
        <f t="shared" si="0"/>
        <v>25</v>
      </c>
      <c r="GA27" s="74"/>
      <c r="GB27" s="74"/>
      <c r="GC27" s="74"/>
      <c r="GD27" s="74"/>
      <c r="GE27" s="74"/>
      <c r="GF27" s="74"/>
      <c r="GG27" s="74"/>
      <c r="GH27" s="74"/>
      <c r="GI27" s="74"/>
      <c r="GJ27" s="74">
        <f t="shared" si="1"/>
        <v>25</v>
      </c>
      <c r="GK27" s="74">
        <f t="shared" si="2"/>
        <v>1</v>
      </c>
      <c r="GL27" s="74"/>
      <c r="GM27" s="74">
        <v>1</v>
      </c>
      <c r="GN27" s="74">
        <v>1</v>
      </c>
      <c r="GO27" s="74">
        <v>1</v>
      </c>
      <c r="GP27" s="74">
        <v>1</v>
      </c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</row>
    <row r="28" spans="1:212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5" t="s">
        <v>114</v>
      </c>
      <c r="FZ28" s="74">
        <f t="shared" si="0"/>
        <v>26</v>
      </c>
      <c r="GA28" s="74"/>
      <c r="GB28" s="74"/>
      <c r="GC28" s="74"/>
      <c r="GD28" s="74"/>
      <c r="GE28" s="74"/>
      <c r="GF28" s="74"/>
      <c r="GG28" s="74"/>
      <c r="GH28" s="74"/>
      <c r="GI28" s="74"/>
      <c r="GJ28" s="74">
        <f t="shared" si="1"/>
        <v>26</v>
      </c>
      <c r="GK28" s="74">
        <f t="shared" si="2"/>
        <v>0</v>
      </c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</row>
    <row r="29" spans="1:212" ht="15">
      <c r="A29" s="54" t="s">
        <v>131</v>
      </c>
      <c r="B29" s="70" t="s">
        <v>132</v>
      </c>
      <c r="C29" s="54"/>
      <c r="D29" s="68">
        <f>+D22</f>
        <v>0</v>
      </c>
      <c r="E29" s="68">
        <f aca="true" t="shared" si="13" ref="E29:AM29">+E22</f>
        <v>2000.0000000000018</v>
      </c>
      <c r="F29" s="68">
        <f t="shared" si="13"/>
        <v>1775.8551971431805</v>
      </c>
      <c r="G29" s="68">
        <f t="shared" si="13"/>
        <v>1533.7788100578134</v>
      </c>
      <c r="H29" s="68">
        <f t="shared" si="13"/>
        <v>1272.336312005617</v>
      </c>
      <c r="I29" s="68">
        <f t="shared" si="13"/>
        <v>989.9784141092449</v>
      </c>
      <c r="J29" s="68">
        <f t="shared" si="13"/>
        <v>685.0318843811629</v>
      </c>
      <c r="K29" s="68">
        <f t="shared" si="13"/>
        <v>355.6896322748342</v>
      </c>
      <c r="L29" s="68">
        <f t="shared" si="13"/>
        <v>0</v>
      </c>
      <c r="M29" s="68">
        <f t="shared" si="13"/>
        <v>0</v>
      </c>
      <c r="N29" s="68">
        <f t="shared" si="13"/>
        <v>0</v>
      </c>
      <c r="O29" s="68">
        <f t="shared" si="13"/>
        <v>0</v>
      </c>
      <c r="P29" s="68">
        <f t="shared" si="13"/>
        <v>0</v>
      </c>
      <c r="Q29" s="68">
        <f t="shared" si="13"/>
        <v>0</v>
      </c>
      <c r="R29" s="68">
        <f t="shared" si="13"/>
        <v>0</v>
      </c>
      <c r="S29" s="68">
        <f t="shared" si="13"/>
        <v>0</v>
      </c>
      <c r="T29" s="68">
        <f t="shared" si="13"/>
        <v>0</v>
      </c>
      <c r="U29" s="68">
        <f t="shared" si="13"/>
        <v>0</v>
      </c>
      <c r="V29" s="68">
        <f t="shared" si="13"/>
        <v>0</v>
      </c>
      <c r="W29" s="68">
        <f t="shared" si="13"/>
        <v>0</v>
      </c>
      <c r="X29" s="68">
        <f t="shared" si="13"/>
        <v>0</v>
      </c>
      <c r="Y29" s="68">
        <f t="shared" si="13"/>
        <v>0</v>
      </c>
      <c r="Z29" s="68">
        <f t="shared" si="13"/>
        <v>0</v>
      </c>
      <c r="AA29" s="68">
        <f t="shared" si="13"/>
        <v>0</v>
      </c>
      <c r="AB29" s="68">
        <f t="shared" si="13"/>
        <v>0</v>
      </c>
      <c r="AC29" s="68">
        <f t="shared" si="13"/>
        <v>0</v>
      </c>
      <c r="AD29" s="68">
        <f t="shared" si="13"/>
        <v>0</v>
      </c>
      <c r="AE29" s="68">
        <f t="shared" si="13"/>
        <v>0</v>
      </c>
      <c r="AF29" s="68">
        <f t="shared" si="13"/>
        <v>0</v>
      </c>
      <c r="AG29" s="68">
        <f t="shared" si="13"/>
        <v>0</v>
      </c>
      <c r="AH29" s="68">
        <f t="shared" si="13"/>
        <v>0</v>
      </c>
      <c r="AI29" s="68">
        <f t="shared" si="13"/>
        <v>0</v>
      </c>
      <c r="AJ29" s="68">
        <f t="shared" si="13"/>
        <v>0</v>
      </c>
      <c r="AK29" s="68">
        <f t="shared" si="13"/>
        <v>0</v>
      </c>
      <c r="AL29" s="68">
        <f t="shared" si="13"/>
        <v>0</v>
      </c>
      <c r="AM29" s="68">
        <f t="shared" si="13"/>
        <v>0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5" t="s">
        <v>115</v>
      </c>
      <c r="FZ29" s="74">
        <f t="shared" si="0"/>
        <v>27</v>
      </c>
      <c r="GA29" s="74"/>
      <c r="GB29" s="74"/>
      <c r="GC29" s="74"/>
      <c r="GD29" s="74"/>
      <c r="GE29" s="74"/>
      <c r="GF29" s="74"/>
      <c r="GG29" s="74"/>
      <c r="GH29" s="74"/>
      <c r="GI29" s="74"/>
      <c r="GJ29" s="74">
        <f t="shared" si="1"/>
        <v>27</v>
      </c>
      <c r="GK29" s="74">
        <f t="shared" si="2"/>
        <v>0</v>
      </c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</row>
    <row r="30" spans="1:212" ht="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5" t="s">
        <v>116</v>
      </c>
      <c r="FZ30" s="74">
        <f t="shared" si="0"/>
        <v>28</v>
      </c>
      <c r="GA30" s="74"/>
      <c r="GB30" s="74"/>
      <c r="GC30" s="74"/>
      <c r="GD30" s="74"/>
      <c r="GE30" s="74"/>
      <c r="GF30" s="74"/>
      <c r="GG30" s="74"/>
      <c r="GH30" s="74"/>
      <c r="GI30" s="74"/>
      <c r="GJ30" s="74">
        <f t="shared" si="1"/>
        <v>28</v>
      </c>
      <c r="GK30" s="74">
        <f t="shared" si="2"/>
        <v>0</v>
      </c>
      <c r="GL30" s="74"/>
      <c r="GM30" s="74"/>
      <c r="GN30" s="74"/>
      <c r="GO30" s="74"/>
      <c r="GP30" s="74">
        <v>1</v>
      </c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</row>
    <row r="31" spans="1:212" ht="15">
      <c r="A31" s="54"/>
      <c r="B31" s="54"/>
      <c r="C31" s="54"/>
      <c r="D31" s="54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5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5" t="s">
        <v>118</v>
      </c>
      <c r="FZ32" s="74">
        <f t="shared" si="0"/>
        <v>1</v>
      </c>
      <c r="GA32" s="74"/>
      <c r="GB32" s="74"/>
      <c r="GC32" s="74"/>
      <c r="GD32" s="74"/>
      <c r="GE32" s="74"/>
      <c r="GF32" s="74"/>
      <c r="GG32" s="74"/>
      <c r="GH32" s="74"/>
      <c r="GI32" s="74"/>
      <c r="GJ32" s="74">
        <f t="shared" si="1"/>
        <v>1</v>
      </c>
      <c r="GK32" s="74">
        <f t="shared" si="2"/>
        <v>0</v>
      </c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</row>
    <row r="33" spans="1:212" ht="1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5" t="s">
        <v>119</v>
      </c>
      <c r="FZ33" s="74">
        <f t="shared" si="0"/>
        <v>2</v>
      </c>
      <c r="GA33" s="74"/>
      <c r="GB33" s="74"/>
      <c r="GC33" s="74"/>
      <c r="GD33" s="74"/>
      <c r="GE33" s="74"/>
      <c r="GF33" s="74"/>
      <c r="GG33" s="74"/>
      <c r="GH33" s="74"/>
      <c r="GI33" s="74"/>
      <c r="GJ33" s="74">
        <f t="shared" si="1"/>
        <v>2</v>
      </c>
      <c r="GK33" s="74">
        <f t="shared" si="2"/>
        <v>0</v>
      </c>
      <c r="GL33" s="74"/>
      <c r="GM33" s="74"/>
      <c r="GN33" s="74">
        <v>1</v>
      </c>
      <c r="GO33" s="74"/>
      <c r="GP33" s="74">
        <v>1</v>
      </c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</row>
    <row r="34" spans="1:212" ht="15">
      <c r="A34" s="54"/>
      <c r="B34" s="54" t="s">
        <v>34</v>
      </c>
      <c r="C34" s="54"/>
      <c r="D34" s="54"/>
      <c r="E34" s="81">
        <f>+IF(E23-E22&gt;0,E23-E22,0)</f>
        <v>20198.189964289733</v>
      </c>
      <c r="F34" s="81">
        <f>+IF(F23-F22-E23&gt;0,F23-F22-E23,0)</f>
        <v>0</v>
      </c>
      <c r="G34" s="81">
        <f aca="true" t="shared" si="14" ref="G34:L34">+IF(G23-G22-F23&gt;0,G23-G22-G20,0)</f>
        <v>0</v>
      </c>
      <c r="H34" s="81">
        <f t="shared" si="14"/>
        <v>0</v>
      </c>
      <c r="I34" s="81">
        <f t="shared" si="14"/>
        <v>0</v>
      </c>
      <c r="J34" s="81">
        <f t="shared" si="14"/>
        <v>0</v>
      </c>
      <c r="K34" s="81">
        <f t="shared" si="14"/>
        <v>0</v>
      </c>
      <c r="L34" s="81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5" t="s">
        <v>120</v>
      </c>
      <c r="FZ34" s="74">
        <f t="shared" si="0"/>
        <v>3</v>
      </c>
      <c r="GA34" s="74"/>
      <c r="GB34" s="74"/>
      <c r="GC34" s="74"/>
      <c r="GD34" s="74"/>
      <c r="GE34" s="74"/>
      <c r="GF34" s="74"/>
      <c r="GG34" s="74"/>
      <c r="GH34" s="74"/>
      <c r="GI34" s="74"/>
      <c r="GJ34" s="74">
        <f t="shared" si="1"/>
        <v>3</v>
      </c>
      <c r="GK34" s="74">
        <f t="shared" si="2"/>
        <v>0</v>
      </c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</row>
    <row r="35" spans="1:212" ht="15">
      <c r="A35" s="54"/>
      <c r="B35" s="54" t="s">
        <v>37</v>
      </c>
      <c r="C35" s="54"/>
      <c r="D35" s="54"/>
      <c r="E35" s="81">
        <f>+IF(E23-E22-E20&lt;0,E23-E22-E20,0)</f>
        <v>0</v>
      </c>
      <c r="F35" s="81">
        <f>+IF(F23-F22-E23&lt;0,-(F23-F22-E23),0)</f>
        <v>4801.810035710267</v>
      </c>
      <c r="G35" s="81">
        <f aca="true" t="shared" si="15" ref="G35:L35">+IF(G23-G22-F23&lt;0,-(G23-G22-F23),0)</f>
        <v>4801.810035710265</v>
      </c>
      <c r="H35" s="81">
        <f t="shared" si="15"/>
        <v>4801.810035710265</v>
      </c>
      <c r="I35" s="81">
        <f t="shared" si="15"/>
        <v>4801.810035710268</v>
      </c>
      <c r="J35" s="81">
        <f t="shared" si="15"/>
        <v>4801.810035710268</v>
      </c>
      <c r="K35" s="81">
        <f t="shared" si="15"/>
        <v>4801.810035710265</v>
      </c>
      <c r="L35" s="81">
        <f t="shared" si="15"/>
        <v>0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5" t="s">
        <v>121</v>
      </c>
      <c r="FZ35" s="74">
        <f t="shared" si="0"/>
        <v>4</v>
      </c>
      <c r="GA35" s="74"/>
      <c r="GB35" s="74"/>
      <c r="GC35" s="74"/>
      <c r="GD35" s="74"/>
      <c r="GE35" s="74"/>
      <c r="GF35" s="74"/>
      <c r="GG35" s="74"/>
      <c r="GH35" s="74"/>
      <c r="GI35" s="74"/>
      <c r="GJ35" s="74">
        <f t="shared" si="1"/>
        <v>4</v>
      </c>
      <c r="GK35" s="74">
        <f t="shared" si="2"/>
        <v>0</v>
      </c>
      <c r="GL35" s="74"/>
      <c r="GM35" s="74"/>
      <c r="GN35" s="74"/>
      <c r="GO35" s="74">
        <v>1</v>
      </c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5" t="s">
        <v>122</v>
      </c>
      <c r="FZ36" s="74">
        <f t="shared" si="0"/>
        <v>5</v>
      </c>
      <c r="GA36" s="74"/>
      <c r="GB36" s="74"/>
      <c r="GC36" s="74"/>
      <c r="GD36" s="74"/>
      <c r="GE36" s="74"/>
      <c r="GF36" s="74"/>
      <c r="GG36" s="74"/>
      <c r="GH36" s="74"/>
      <c r="GI36" s="74"/>
      <c r="GJ36" s="74">
        <f t="shared" si="1"/>
        <v>5</v>
      </c>
      <c r="GK36" s="74">
        <f t="shared" si="2"/>
        <v>0</v>
      </c>
      <c r="GL36" s="74"/>
      <c r="GM36" s="74"/>
      <c r="GN36" s="74"/>
      <c r="GO36" s="74"/>
      <c r="GP36" s="74">
        <v>1</v>
      </c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5" t="s">
        <v>123</v>
      </c>
      <c r="FZ37" s="74">
        <f t="shared" si="0"/>
        <v>6</v>
      </c>
      <c r="GA37" s="74"/>
      <c r="GB37" s="74"/>
      <c r="GC37" s="74"/>
      <c r="GD37" s="74"/>
      <c r="GE37" s="74"/>
      <c r="GF37" s="74"/>
      <c r="GG37" s="74"/>
      <c r="GH37" s="74"/>
      <c r="GI37" s="74"/>
      <c r="GJ37" s="74">
        <f t="shared" si="1"/>
        <v>6</v>
      </c>
      <c r="GK37" s="74">
        <f t="shared" si="2"/>
        <v>0</v>
      </c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5" t="s">
        <v>136</v>
      </c>
      <c r="FZ38" s="74">
        <f t="shared" si="0"/>
        <v>7</v>
      </c>
      <c r="GA38" s="74"/>
      <c r="GB38" s="74"/>
      <c r="GC38" s="74"/>
      <c r="GD38" s="74"/>
      <c r="GE38" s="74"/>
      <c r="GF38" s="74"/>
      <c r="GG38" s="74"/>
      <c r="GH38" s="74"/>
      <c r="GI38" s="74"/>
      <c r="GJ38" s="74">
        <f t="shared" si="1"/>
        <v>7</v>
      </c>
      <c r="GK38" s="74">
        <f t="shared" si="2"/>
        <v>0</v>
      </c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5" t="s">
        <v>137</v>
      </c>
      <c r="FZ39" s="74">
        <f t="shared" si="0"/>
        <v>8</v>
      </c>
      <c r="GA39" s="74"/>
      <c r="GB39" s="74"/>
      <c r="GC39" s="74"/>
      <c r="GD39" s="74"/>
      <c r="GE39" s="74"/>
      <c r="GF39" s="74"/>
      <c r="GG39" s="74"/>
      <c r="GH39" s="74"/>
      <c r="GI39" s="74"/>
      <c r="GJ39" s="74">
        <f t="shared" si="1"/>
        <v>8</v>
      </c>
      <c r="GK39" s="74">
        <f t="shared" si="2"/>
        <v>1</v>
      </c>
      <c r="GL39" s="74"/>
      <c r="GM39" s="74">
        <v>1</v>
      </c>
      <c r="GN39" s="74">
        <v>1</v>
      </c>
      <c r="GO39" s="74">
        <v>1</v>
      </c>
      <c r="GP39" s="74">
        <v>1</v>
      </c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5" t="s">
        <v>138</v>
      </c>
      <c r="FZ40" s="74">
        <f t="shared" si="0"/>
        <v>9</v>
      </c>
      <c r="GA40" s="74"/>
      <c r="GB40" s="74"/>
      <c r="GC40" s="74"/>
      <c r="GD40" s="74"/>
      <c r="GE40" s="74"/>
      <c r="GF40" s="74"/>
      <c r="GG40" s="74"/>
      <c r="GH40" s="74"/>
      <c r="GI40" s="74"/>
      <c r="GJ40" s="74">
        <f t="shared" si="1"/>
        <v>9</v>
      </c>
      <c r="GK40" s="74">
        <f t="shared" si="2"/>
        <v>0</v>
      </c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5" t="s">
        <v>139</v>
      </c>
      <c r="FZ41" s="74">
        <f t="shared" si="0"/>
        <v>10</v>
      </c>
      <c r="GA41" s="74"/>
      <c r="GB41" s="74"/>
      <c r="GC41" s="74"/>
      <c r="GD41" s="74"/>
      <c r="GE41" s="74"/>
      <c r="GF41" s="74"/>
      <c r="GG41" s="74"/>
      <c r="GH41" s="74"/>
      <c r="GI41" s="74"/>
      <c r="GJ41" s="74">
        <f t="shared" si="1"/>
        <v>10</v>
      </c>
      <c r="GK41" s="74">
        <f t="shared" si="2"/>
        <v>0</v>
      </c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5" t="s">
        <v>140</v>
      </c>
      <c r="FZ42" s="74">
        <f t="shared" si="0"/>
        <v>11</v>
      </c>
      <c r="GA42" s="74"/>
      <c r="GB42" s="74"/>
      <c r="GC42" s="74"/>
      <c r="GD42" s="74"/>
      <c r="GE42" s="74"/>
      <c r="GF42" s="74"/>
      <c r="GG42" s="74"/>
      <c r="GH42" s="74"/>
      <c r="GI42" s="74"/>
      <c r="GJ42" s="74">
        <f t="shared" si="1"/>
        <v>11</v>
      </c>
      <c r="GK42" s="74">
        <f t="shared" si="2"/>
        <v>0</v>
      </c>
      <c r="GL42" s="74"/>
      <c r="GM42" s="74"/>
      <c r="GN42" s="74"/>
      <c r="GO42" s="74"/>
      <c r="GP42" s="74">
        <v>1</v>
      </c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5" t="s">
        <v>141</v>
      </c>
      <c r="FZ43" s="74">
        <f t="shared" si="0"/>
        <v>12</v>
      </c>
      <c r="GA43" s="74"/>
      <c r="GB43" s="74"/>
      <c r="GC43" s="74"/>
      <c r="GD43" s="74"/>
      <c r="GE43" s="74"/>
      <c r="GF43" s="74"/>
      <c r="GG43" s="74"/>
      <c r="GH43" s="74"/>
      <c r="GI43" s="74"/>
      <c r="GJ43" s="74">
        <f t="shared" si="1"/>
        <v>12</v>
      </c>
      <c r="GK43" s="74">
        <f t="shared" si="2"/>
        <v>0</v>
      </c>
      <c r="GL43" s="74"/>
      <c r="GM43" s="74"/>
      <c r="GN43" s="74"/>
      <c r="GO43" s="74">
        <v>1</v>
      </c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5" t="s">
        <v>142</v>
      </c>
      <c r="FZ44" s="74">
        <f t="shared" si="0"/>
        <v>13</v>
      </c>
      <c r="GA44" s="74"/>
      <c r="GB44" s="74"/>
      <c r="GC44" s="74"/>
      <c r="GD44" s="74"/>
      <c r="GE44" s="74"/>
      <c r="GF44" s="74"/>
      <c r="GG44" s="74"/>
      <c r="GH44" s="74"/>
      <c r="GI44" s="74"/>
      <c r="GJ44" s="74">
        <f t="shared" si="1"/>
        <v>13</v>
      </c>
      <c r="GK44" s="74">
        <f t="shared" si="2"/>
        <v>0</v>
      </c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5" t="s">
        <v>143</v>
      </c>
      <c r="FZ45" s="74">
        <f t="shared" si="0"/>
        <v>14</v>
      </c>
      <c r="GA45" s="74"/>
      <c r="GB45" s="74"/>
      <c r="GC45" s="74"/>
      <c r="GD45" s="74"/>
      <c r="GE45" s="74"/>
      <c r="GF45" s="74"/>
      <c r="GG45" s="74"/>
      <c r="GH45" s="74"/>
      <c r="GI45" s="74"/>
      <c r="GJ45" s="74">
        <f t="shared" si="1"/>
        <v>14</v>
      </c>
      <c r="GK45" s="74">
        <f t="shared" si="2"/>
        <v>0</v>
      </c>
      <c r="GL45" s="74"/>
      <c r="GM45" s="74"/>
      <c r="GN45" s="74">
        <v>1</v>
      </c>
      <c r="GO45" s="74"/>
      <c r="GP45" s="74">
        <v>1</v>
      </c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5" t="s">
        <v>144</v>
      </c>
      <c r="FZ46" s="74">
        <f t="shared" si="0"/>
        <v>15</v>
      </c>
      <c r="GA46" s="74"/>
      <c r="GB46" s="74"/>
      <c r="GC46" s="74"/>
      <c r="GD46" s="74"/>
      <c r="GE46" s="74"/>
      <c r="GF46" s="74"/>
      <c r="GG46" s="74"/>
      <c r="GH46" s="74"/>
      <c r="GI46" s="74"/>
      <c r="GJ46" s="74">
        <f t="shared" si="1"/>
        <v>15</v>
      </c>
      <c r="GK46" s="74">
        <f t="shared" si="2"/>
        <v>0</v>
      </c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5" t="s">
        <v>145</v>
      </c>
      <c r="FZ47" s="74">
        <f t="shared" si="0"/>
        <v>16</v>
      </c>
      <c r="GA47" s="74"/>
      <c r="GB47" s="74"/>
      <c r="GC47" s="74"/>
      <c r="GD47" s="74"/>
      <c r="GE47" s="74"/>
      <c r="GF47" s="74"/>
      <c r="GG47" s="74"/>
      <c r="GH47" s="74"/>
      <c r="GI47" s="74"/>
      <c r="GJ47" s="74">
        <f t="shared" si="1"/>
        <v>16</v>
      </c>
      <c r="GK47" s="74">
        <f t="shared" si="2"/>
        <v>0</v>
      </c>
      <c r="GL47" s="74"/>
      <c r="GM47" s="74"/>
      <c r="GN47" s="74"/>
      <c r="GO47" s="74">
        <v>1</v>
      </c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5" t="s">
        <v>146</v>
      </c>
      <c r="FZ48" s="74">
        <f t="shared" si="0"/>
        <v>17</v>
      </c>
      <c r="GA48" s="74"/>
      <c r="GB48" s="74"/>
      <c r="GC48" s="74"/>
      <c r="GD48" s="74"/>
      <c r="GE48" s="74"/>
      <c r="GF48" s="74"/>
      <c r="GG48" s="74"/>
      <c r="GH48" s="74"/>
      <c r="GI48" s="74"/>
      <c r="GJ48" s="74">
        <f t="shared" si="1"/>
        <v>17</v>
      </c>
      <c r="GK48" s="74">
        <f t="shared" si="2"/>
        <v>0</v>
      </c>
      <c r="GL48" s="74"/>
      <c r="GM48" s="74"/>
      <c r="GN48" s="74"/>
      <c r="GO48" s="74"/>
      <c r="GP48" s="74">
        <v>1</v>
      </c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5" t="s">
        <v>147</v>
      </c>
      <c r="FZ49" s="74">
        <f t="shared" si="0"/>
        <v>18</v>
      </c>
      <c r="GA49" s="74"/>
      <c r="GB49" s="74"/>
      <c r="GC49" s="74"/>
      <c r="GD49" s="74"/>
      <c r="GE49" s="74"/>
      <c r="GF49" s="74"/>
      <c r="GG49" s="74"/>
      <c r="GH49" s="74"/>
      <c r="GI49" s="74"/>
      <c r="GJ49" s="74">
        <f t="shared" si="1"/>
        <v>18</v>
      </c>
      <c r="GK49" s="74">
        <f t="shared" si="2"/>
        <v>0</v>
      </c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5" t="s">
        <v>148</v>
      </c>
      <c r="FZ50" s="74">
        <f t="shared" si="0"/>
        <v>19</v>
      </c>
      <c r="GA50" s="74"/>
      <c r="GB50" s="74"/>
      <c r="GC50" s="74"/>
      <c r="GD50" s="74"/>
      <c r="GE50" s="74"/>
      <c r="GF50" s="74"/>
      <c r="GG50" s="74"/>
      <c r="GH50" s="74"/>
      <c r="GI50" s="74"/>
      <c r="GJ50" s="74">
        <f t="shared" si="1"/>
        <v>19</v>
      </c>
      <c r="GK50" s="74">
        <f t="shared" si="2"/>
        <v>0</v>
      </c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5" t="s">
        <v>149</v>
      </c>
      <c r="FZ51" s="74">
        <f t="shared" si="0"/>
        <v>20</v>
      </c>
      <c r="GA51" s="74"/>
      <c r="GB51" s="74"/>
      <c r="GC51" s="74"/>
      <c r="GD51" s="74"/>
      <c r="GE51" s="74"/>
      <c r="GF51" s="74"/>
      <c r="GG51" s="74"/>
      <c r="GH51" s="74"/>
      <c r="GI51" s="74"/>
      <c r="GJ51" s="74">
        <f t="shared" si="1"/>
        <v>20</v>
      </c>
      <c r="GK51" s="74">
        <f t="shared" si="2"/>
        <v>1</v>
      </c>
      <c r="GL51" s="74"/>
      <c r="GM51" s="74">
        <v>1</v>
      </c>
      <c r="GN51" s="74">
        <v>1</v>
      </c>
      <c r="GO51" s="74">
        <v>1</v>
      </c>
      <c r="GP51" s="74">
        <v>1</v>
      </c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5" t="s">
        <v>150</v>
      </c>
      <c r="FZ52" s="74">
        <f t="shared" si="0"/>
        <v>21</v>
      </c>
      <c r="GA52" s="74"/>
      <c r="GB52" s="74"/>
      <c r="GC52" s="74"/>
      <c r="GD52" s="74"/>
      <c r="GE52" s="74"/>
      <c r="GF52" s="74"/>
      <c r="GG52" s="74"/>
      <c r="GH52" s="74"/>
      <c r="GI52" s="74"/>
      <c r="GJ52" s="74">
        <f t="shared" si="1"/>
        <v>21</v>
      </c>
      <c r="GK52" s="74">
        <f t="shared" si="2"/>
        <v>0</v>
      </c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5" t="s">
        <v>151</v>
      </c>
      <c r="FZ53" s="74">
        <f t="shared" si="0"/>
        <v>22</v>
      </c>
      <c r="GA53" s="74"/>
      <c r="GB53" s="74"/>
      <c r="GC53" s="74"/>
      <c r="GD53" s="74"/>
      <c r="GE53" s="74"/>
      <c r="GF53" s="74"/>
      <c r="GG53" s="74"/>
      <c r="GH53" s="74"/>
      <c r="GI53" s="74"/>
      <c r="GJ53" s="74">
        <f t="shared" si="1"/>
        <v>22</v>
      </c>
      <c r="GK53" s="74">
        <f t="shared" si="2"/>
        <v>0</v>
      </c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5" t="s">
        <v>152</v>
      </c>
      <c r="FZ54" s="74">
        <f t="shared" si="0"/>
        <v>23</v>
      </c>
      <c r="GA54" s="74"/>
      <c r="GB54" s="74"/>
      <c r="GC54" s="74"/>
      <c r="GD54" s="74"/>
      <c r="GE54" s="74"/>
      <c r="GF54" s="74"/>
      <c r="GG54" s="74"/>
      <c r="GH54" s="74"/>
      <c r="GI54" s="74"/>
      <c r="GJ54" s="74">
        <f t="shared" si="1"/>
        <v>23</v>
      </c>
      <c r="GK54" s="74">
        <f t="shared" si="2"/>
        <v>0</v>
      </c>
      <c r="GL54" s="74"/>
      <c r="GM54" s="74"/>
      <c r="GN54" s="74"/>
      <c r="GO54" s="74"/>
      <c r="GP54" s="74">
        <v>1</v>
      </c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5" t="s">
        <v>153</v>
      </c>
      <c r="FZ55" s="74">
        <f t="shared" si="0"/>
        <v>24</v>
      </c>
      <c r="GA55" s="74"/>
      <c r="GB55" s="74"/>
      <c r="GC55" s="74"/>
      <c r="GD55" s="74"/>
      <c r="GE55" s="74"/>
      <c r="GF55" s="74"/>
      <c r="GG55" s="74"/>
      <c r="GH55" s="74"/>
      <c r="GI55" s="74"/>
      <c r="GJ55" s="74">
        <f t="shared" si="1"/>
        <v>24</v>
      </c>
      <c r="GK55" s="74">
        <f t="shared" si="2"/>
        <v>0</v>
      </c>
      <c r="GL55" s="74"/>
      <c r="GM55" s="74"/>
      <c r="GN55" s="74"/>
      <c r="GO55" s="74">
        <v>1</v>
      </c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5" t="s">
        <v>154</v>
      </c>
      <c r="FZ56" s="74">
        <f t="shared" si="0"/>
        <v>25</v>
      </c>
      <c r="GA56" s="74"/>
      <c r="GB56" s="74"/>
      <c r="GC56" s="74"/>
      <c r="GD56" s="74"/>
      <c r="GE56" s="74"/>
      <c r="GF56" s="74"/>
      <c r="GG56" s="74"/>
      <c r="GH56" s="74"/>
      <c r="GI56" s="74"/>
      <c r="GJ56" s="74">
        <f t="shared" si="1"/>
        <v>25</v>
      </c>
      <c r="GK56" s="74">
        <f t="shared" si="2"/>
        <v>0</v>
      </c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5" t="s">
        <v>155</v>
      </c>
      <c r="FZ57" s="74">
        <f t="shared" si="0"/>
        <v>26</v>
      </c>
      <c r="GA57" s="74"/>
      <c r="GB57" s="74"/>
      <c r="GC57" s="74"/>
      <c r="GD57" s="74"/>
      <c r="GE57" s="74"/>
      <c r="GF57" s="74"/>
      <c r="GG57" s="74"/>
      <c r="GH57" s="74"/>
      <c r="GI57" s="74"/>
      <c r="GJ57" s="74">
        <f t="shared" si="1"/>
        <v>26</v>
      </c>
      <c r="GK57" s="74">
        <f t="shared" si="2"/>
        <v>0</v>
      </c>
      <c r="GL57" s="74"/>
      <c r="GM57" s="74"/>
      <c r="GN57" s="74">
        <v>1</v>
      </c>
      <c r="GO57" s="74"/>
      <c r="GP57" s="74">
        <v>1</v>
      </c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5" t="s">
        <v>156</v>
      </c>
      <c r="FZ58" s="74">
        <f t="shared" si="0"/>
        <v>27</v>
      </c>
      <c r="GA58" s="74"/>
      <c r="GB58" s="74"/>
      <c r="GC58" s="74"/>
      <c r="GD58" s="74"/>
      <c r="GE58" s="74"/>
      <c r="GF58" s="74"/>
      <c r="GG58" s="74"/>
      <c r="GH58" s="74"/>
      <c r="GI58" s="74"/>
      <c r="GJ58" s="74">
        <f t="shared" si="1"/>
        <v>27</v>
      </c>
      <c r="GK58" s="74">
        <f t="shared" si="2"/>
        <v>0</v>
      </c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5" t="s">
        <v>157</v>
      </c>
      <c r="FZ59" s="74">
        <f t="shared" si="0"/>
        <v>28</v>
      </c>
      <c r="GA59" s="74"/>
      <c r="GB59" s="74"/>
      <c r="GC59" s="74"/>
      <c r="GD59" s="74"/>
      <c r="GE59" s="74"/>
      <c r="GF59" s="74"/>
      <c r="GG59" s="74"/>
      <c r="GH59" s="74"/>
      <c r="GI59" s="74"/>
      <c r="GJ59" s="74">
        <f t="shared" si="1"/>
        <v>28</v>
      </c>
      <c r="GK59" s="74">
        <f t="shared" si="2"/>
        <v>0</v>
      </c>
      <c r="GL59" s="74"/>
      <c r="GM59" s="74"/>
      <c r="GN59" s="74"/>
      <c r="GO59" s="74">
        <v>1</v>
      </c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5" t="s">
        <v>158</v>
      </c>
      <c r="FZ60" s="74">
        <f t="shared" si="0"/>
        <v>29</v>
      </c>
      <c r="GA60" s="74"/>
      <c r="GB60" s="74"/>
      <c r="GC60" s="74"/>
      <c r="GD60" s="74"/>
      <c r="GE60" s="74"/>
      <c r="GF60" s="74"/>
      <c r="GG60" s="74"/>
      <c r="GH60" s="74"/>
      <c r="GI60" s="74"/>
      <c r="GJ60" s="74">
        <f t="shared" si="1"/>
        <v>29</v>
      </c>
      <c r="GK60" s="74">
        <f t="shared" si="2"/>
        <v>0</v>
      </c>
      <c r="GL60" s="74"/>
      <c r="GM60" s="74"/>
      <c r="GN60" s="74"/>
      <c r="GO60" s="74"/>
      <c r="GP60" s="74">
        <v>1</v>
      </c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5" t="s">
        <v>159</v>
      </c>
      <c r="FZ61" s="74">
        <f t="shared" si="0"/>
        <v>30</v>
      </c>
      <c r="GA61" s="74"/>
      <c r="GB61" s="74"/>
      <c r="GC61" s="74"/>
      <c r="GD61" s="74"/>
      <c r="GE61" s="74"/>
      <c r="GF61" s="74"/>
      <c r="GG61" s="74"/>
      <c r="GH61" s="74"/>
      <c r="GI61" s="74"/>
      <c r="GJ61" s="74">
        <f t="shared" si="1"/>
        <v>30</v>
      </c>
      <c r="GK61" s="74">
        <f t="shared" si="2"/>
        <v>0</v>
      </c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5" t="s">
        <v>160</v>
      </c>
      <c r="FZ62" s="74">
        <f t="shared" si="0"/>
        <v>31</v>
      </c>
      <c r="GA62" s="74"/>
      <c r="GB62" s="74"/>
      <c r="GC62" s="74"/>
      <c r="GD62" s="74"/>
      <c r="GE62" s="74"/>
      <c r="GF62" s="74"/>
      <c r="GG62" s="74"/>
      <c r="GH62" s="74"/>
      <c r="GI62" s="74"/>
      <c r="GJ62" s="74">
        <f t="shared" si="1"/>
        <v>31</v>
      </c>
      <c r="GK62" s="74">
        <f t="shared" si="2"/>
        <v>0</v>
      </c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5" t="s">
        <v>161</v>
      </c>
      <c r="FZ63" s="74">
        <f t="shared" si="0"/>
        <v>32</v>
      </c>
      <c r="GA63" s="74"/>
      <c r="GB63" s="74"/>
      <c r="GC63" s="74"/>
      <c r="GD63" s="74"/>
      <c r="GE63" s="74"/>
      <c r="GF63" s="74"/>
      <c r="GG63" s="74"/>
      <c r="GH63" s="74"/>
      <c r="GI63" s="74"/>
      <c r="GJ63" s="74">
        <f t="shared" si="1"/>
        <v>32</v>
      </c>
      <c r="GK63" s="74">
        <f t="shared" si="2"/>
        <v>1</v>
      </c>
      <c r="GL63" s="74"/>
      <c r="GM63" s="74">
        <v>1</v>
      </c>
      <c r="GN63" s="74">
        <v>1</v>
      </c>
      <c r="GO63" s="74">
        <v>1</v>
      </c>
      <c r="GP63" s="74">
        <v>1</v>
      </c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5" t="s">
        <v>162</v>
      </c>
      <c r="FZ64" s="74">
        <f t="shared" si="0"/>
        <v>33</v>
      </c>
      <c r="GA64" s="74"/>
      <c r="GB64" s="74"/>
      <c r="GC64" s="74"/>
      <c r="GD64" s="74"/>
      <c r="GE64" s="74"/>
      <c r="GF64" s="74"/>
      <c r="GG64" s="74"/>
      <c r="GH64" s="74"/>
      <c r="GI64" s="74"/>
      <c r="GJ64" s="74">
        <f t="shared" si="1"/>
        <v>33</v>
      </c>
      <c r="GK64" s="74">
        <f t="shared" si="2"/>
        <v>0</v>
      </c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5" t="s">
        <v>163</v>
      </c>
      <c r="FZ65" s="74">
        <f t="shared" si="0"/>
        <v>34</v>
      </c>
      <c r="GA65" s="74"/>
      <c r="GB65" s="74"/>
      <c r="GC65" s="74"/>
      <c r="GD65" s="74"/>
      <c r="GE65" s="74"/>
      <c r="GF65" s="74"/>
      <c r="GG65" s="74"/>
      <c r="GH65" s="74"/>
      <c r="GI65" s="74"/>
      <c r="GJ65" s="74">
        <f t="shared" si="1"/>
        <v>34</v>
      </c>
      <c r="GK65" s="74">
        <f t="shared" si="2"/>
        <v>0</v>
      </c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5" t="s">
        <v>164</v>
      </c>
      <c r="FZ66" s="74">
        <f t="shared" si="0"/>
        <v>35</v>
      </c>
      <c r="GA66" s="74"/>
      <c r="GB66" s="74"/>
      <c r="GC66" s="74"/>
      <c r="GD66" s="74"/>
      <c r="GE66" s="74"/>
      <c r="GF66" s="74"/>
      <c r="GG66" s="74"/>
      <c r="GH66" s="74"/>
      <c r="GI66" s="74"/>
      <c r="GJ66" s="74">
        <f t="shared" si="1"/>
        <v>35</v>
      </c>
      <c r="GK66" s="74">
        <f t="shared" si="2"/>
        <v>0</v>
      </c>
      <c r="GL66" s="74"/>
      <c r="GM66" s="74"/>
      <c r="GN66" s="74"/>
      <c r="GO66" s="74"/>
      <c r="GP66" s="74">
        <v>1</v>
      </c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5" t="s">
        <v>165</v>
      </c>
      <c r="FZ67" s="74">
        <f t="shared" si="0"/>
        <v>36</v>
      </c>
      <c r="GA67" s="74"/>
      <c r="GB67" s="74"/>
      <c r="GC67" s="74"/>
      <c r="GD67" s="74"/>
      <c r="GE67" s="74"/>
      <c r="GF67" s="74"/>
      <c r="GG67" s="74"/>
      <c r="GH67" s="74"/>
      <c r="GI67" s="74"/>
      <c r="GJ67" s="74">
        <f t="shared" si="1"/>
        <v>36</v>
      </c>
      <c r="GK67" s="74">
        <f t="shared" si="2"/>
        <v>0</v>
      </c>
      <c r="GL67" s="74"/>
      <c r="GM67" s="74"/>
      <c r="GN67" s="74"/>
      <c r="GO67" s="74">
        <v>1</v>
      </c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5" t="s">
        <v>166</v>
      </c>
      <c r="FZ68" s="74">
        <f t="shared" si="0"/>
        <v>37</v>
      </c>
      <c r="GA68" s="74"/>
      <c r="GB68" s="74"/>
      <c r="GC68" s="74"/>
      <c r="GD68" s="74"/>
      <c r="GE68" s="74"/>
      <c r="GF68" s="74"/>
      <c r="GG68" s="74"/>
      <c r="GH68" s="74"/>
      <c r="GI68" s="74"/>
      <c r="GJ68" s="74">
        <f t="shared" si="1"/>
        <v>37</v>
      </c>
      <c r="GK68" s="74">
        <f t="shared" si="2"/>
        <v>0</v>
      </c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5" t="s">
        <v>167</v>
      </c>
      <c r="FZ69" s="74">
        <f aca="true" t="shared" si="16" ref="FZ69:FZ122">1+FZ68</f>
        <v>38</v>
      </c>
      <c r="GA69" s="74"/>
      <c r="GB69" s="74"/>
      <c r="GC69" s="74"/>
      <c r="GD69" s="74"/>
      <c r="GE69" s="74"/>
      <c r="GF69" s="74"/>
      <c r="GG69" s="74"/>
      <c r="GH69" s="74"/>
      <c r="GI69" s="74"/>
      <c r="GJ69" s="74">
        <f aca="true" t="shared" si="17" ref="GJ69:GJ132">+GJ68+1</f>
        <v>38</v>
      </c>
      <c r="GK69" s="74">
        <f t="shared" si="2"/>
        <v>0</v>
      </c>
      <c r="GL69" s="74"/>
      <c r="GM69" s="74"/>
      <c r="GN69" s="74">
        <v>1</v>
      </c>
      <c r="GO69" s="74"/>
      <c r="GP69" s="74">
        <v>1</v>
      </c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5" t="s">
        <v>168</v>
      </c>
      <c r="FZ70" s="74">
        <f t="shared" si="16"/>
        <v>39</v>
      </c>
      <c r="GA70" s="74"/>
      <c r="GB70" s="74"/>
      <c r="GC70" s="74"/>
      <c r="GD70" s="74"/>
      <c r="GE70" s="74"/>
      <c r="GF70" s="74"/>
      <c r="GG70" s="74"/>
      <c r="GH70" s="74"/>
      <c r="GI70" s="74"/>
      <c r="GJ70" s="74">
        <f t="shared" si="17"/>
        <v>39</v>
      </c>
      <c r="GK70" s="74">
        <f aca="true" t="shared" si="18" ref="GK70:GK133">+IF($C$8=$GM$1,GM70,IF($C$8=$GN$1,GN70,IF($C$8=$GO$1,GO70,IF($C$8=$GP$1,GP70,0))))</f>
        <v>0</v>
      </c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5" t="s">
        <v>169</v>
      </c>
      <c r="FZ71" s="74">
        <f t="shared" si="16"/>
        <v>40</v>
      </c>
      <c r="GA71" s="74"/>
      <c r="GB71" s="74"/>
      <c r="GC71" s="74"/>
      <c r="GD71" s="74"/>
      <c r="GE71" s="74"/>
      <c r="GF71" s="74"/>
      <c r="GG71" s="74"/>
      <c r="GH71" s="74"/>
      <c r="GI71" s="74"/>
      <c r="GJ71" s="74">
        <f t="shared" si="17"/>
        <v>40</v>
      </c>
      <c r="GK71" s="74">
        <f t="shared" si="18"/>
        <v>0</v>
      </c>
      <c r="GL71" s="74"/>
      <c r="GM71" s="74"/>
      <c r="GN71" s="74"/>
      <c r="GO71" s="74">
        <v>1</v>
      </c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5" t="s">
        <v>170</v>
      </c>
      <c r="FZ72" s="74">
        <f t="shared" si="16"/>
        <v>41</v>
      </c>
      <c r="GA72" s="74"/>
      <c r="GB72" s="74"/>
      <c r="GC72" s="74"/>
      <c r="GD72" s="74"/>
      <c r="GE72" s="74"/>
      <c r="GF72" s="74"/>
      <c r="GG72" s="74"/>
      <c r="GH72" s="74"/>
      <c r="GI72" s="74"/>
      <c r="GJ72" s="74">
        <f t="shared" si="17"/>
        <v>41</v>
      </c>
      <c r="GK72" s="74">
        <f t="shared" si="18"/>
        <v>0</v>
      </c>
      <c r="GL72" s="74"/>
      <c r="GM72" s="74"/>
      <c r="GN72" s="74"/>
      <c r="GO72" s="74"/>
      <c r="GP72" s="74">
        <v>1</v>
      </c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5" t="s">
        <v>171</v>
      </c>
      <c r="FZ73" s="74">
        <f t="shared" si="16"/>
        <v>42</v>
      </c>
      <c r="GA73" s="74"/>
      <c r="GB73" s="74"/>
      <c r="GC73" s="74"/>
      <c r="GD73" s="74"/>
      <c r="GE73" s="74"/>
      <c r="GF73" s="74"/>
      <c r="GG73" s="74"/>
      <c r="GH73" s="74"/>
      <c r="GI73" s="74"/>
      <c r="GJ73" s="74">
        <f t="shared" si="17"/>
        <v>42</v>
      </c>
      <c r="GK73" s="74">
        <f t="shared" si="18"/>
        <v>0</v>
      </c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5" t="s">
        <v>172</v>
      </c>
      <c r="FZ74" s="74">
        <f t="shared" si="16"/>
        <v>43</v>
      </c>
      <c r="GA74" s="74"/>
      <c r="GB74" s="74"/>
      <c r="GC74" s="74"/>
      <c r="GD74" s="74"/>
      <c r="GE74" s="74"/>
      <c r="GF74" s="74"/>
      <c r="GG74" s="74"/>
      <c r="GH74" s="74"/>
      <c r="GI74" s="74"/>
      <c r="GJ74" s="74">
        <f t="shared" si="17"/>
        <v>43</v>
      </c>
      <c r="GK74" s="74">
        <f t="shared" si="18"/>
        <v>0</v>
      </c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5" t="s">
        <v>173</v>
      </c>
      <c r="FZ75" s="74">
        <f t="shared" si="16"/>
        <v>44</v>
      </c>
      <c r="GA75" s="74"/>
      <c r="GB75" s="74"/>
      <c r="GC75" s="74"/>
      <c r="GD75" s="74"/>
      <c r="GE75" s="74"/>
      <c r="GF75" s="74"/>
      <c r="GG75" s="74"/>
      <c r="GH75" s="74"/>
      <c r="GI75" s="74"/>
      <c r="GJ75" s="74">
        <f t="shared" si="17"/>
        <v>44</v>
      </c>
      <c r="GK75" s="74">
        <f t="shared" si="18"/>
        <v>1</v>
      </c>
      <c r="GL75" s="74"/>
      <c r="GM75" s="74">
        <v>1</v>
      </c>
      <c r="GN75" s="74">
        <v>1</v>
      </c>
      <c r="GO75" s="74">
        <v>1</v>
      </c>
      <c r="GP75" s="74">
        <v>1</v>
      </c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5" t="s">
        <v>174</v>
      </c>
      <c r="FZ76" s="74">
        <f t="shared" si="16"/>
        <v>45</v>
      </c>
      <c r="GA76" s="74"/>
      <c r="GB76" s="74"/>
      <c r="GC76" s="74"/>
      <c r="GD76" s="74"/>
      <c r="GE76" s="74"/>
      <c r="GF76" s="74"/>
      <c r="GG76" s="74"/>
      <c r="GH76" s="74"/>
      <c r="GI76" s="74"/>
      <c r="GJ76" s="74">
        <f t="shared" si="17"/>
        <v>45</v>
      </c>
      <c r="GK76" s="74">
        <f t="shared" si="18"/>
        <v>0</v>
      </c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5" t="s">
        <v>175</v>
      </c>
      <c r="FZ77" s="74">
        <f t="shared" si="16"/>
        <v>46</v>
      </c>
      <c r="GA77" s="74"/>
      <c r="GB77" s="74"/>
      <c r="GC77" s="74"/>
      <c r="GD77" s="74"/>
      <c r="GE77" s="74"/>
      <c r="GF77" s="74"/>
      <c r="GG77" s="74"/>
      <c r="GH77" s="74"/>
      <c r="GI77" s="74"/>
      <c r="GJ77" s="74">
        <f t="shared" si="17"/>
        <v>46</v>
      </c>
      <c r="GK77" s="74">
        <f t="shared" si="18"/>
        <v>0</v>
      </c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5" t="s">
        <v>176</v>
      </c>
      <c r="FZ78" s="74">
        <f t="shared" si="16"/>
        <v>47</v>
      </c>
      <c r="GA78" s="74"/>
      <c r="GB78" s="74"/>
      <c r="GC78" s="74"/>
      <c r="GD78" s="74"/>
      <c r="GE78" s="74"/>
      <c r="GF78" s="74"/>
      <c r="GG78" s="74"/>
      <c r="GH78" s="74"/>
      <c r="GI78" s="74"/>
      <c r="GJ78" s="74">
        <f t="shared" si="17"/>
        <v>47</v>
      </c>
      <c r="GK78" s="74">
        <f t="shared" si="18"/>
        <v>0</v>
      </c>
      <c r="GL78" s="74"/>
      <c r="GM78" s="74"/>
      <c r="GN78" s="74"/>
      <c r="GO78" s="74"/>
      <c r="GP78" s="74">
        <v>1</v>
      </c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5" t="s">
        <v>177</v>
      </c>
      <c r="FZ79" s="74">
        <f t="shared" si="16"/>
        <v>48</v>
      </c>
      <c r="GA79" s="74"/>
      <c r="GB79" s="74"/>
      <c r="GC79" s="74"/>
      <c r="GD79" s="74"/>
      <c r="GE79" s="74"/>
      <c r="GF79" s="74"/>
      <c r="GG79" s="74"/>
      <c r="GH79" s="74"/>
      <c r="GI79" s="74"/>
      <c r="GJ79" s="74">
        <f t="shared" si="17"/>
        <v>48</v>
      </c>
      <c r="GK79" s="74">
        <f t="shared" si="18"/>
        <v>0</v>
      </c>
      <c r="GL79" s="74"/>
      <c r="GM79" s="74"/>
      <c r="GN79" s="74"/>
      <c r="GO79" s="74">
        <v>1</v>
      </c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5" t="s">
        <v>178</v>
      </c>
      <c r="FZ80" s="74">
        <f t="shared" si="16"/>
        <v>49</v>
      </c>
      <c r="GA80" s="74"/>
      <c r="GB80" s="74"/>
      <c r="GC80" s="74"/>
      <c r="GD80" s="74"/>
      <c r="GE80" s="74"/>
      <c r="GF80" s="74"/>
      <c r="GG80" s="74"/>
      <c r="GH80" s="74"/>
      <c r="GI80" s="74"/>
      <c r="GJ80" s="74">
        <f t="shared" si="17"/>
        <v>49</v>
      </c>
      <c r="GK80" s="74">
        <f t="shared" si="18"/>
        <v>0</v>
      </c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5" t="s">
        <v>179</v>
      </c>
      <c r="FZ81" s="74">
        <f t="shared" si="16"/>
        <v>50</v>
      </c>
      <c r="GA81" s="74"/>
      <c r="GB81" s="74"/>
      <c r="GC81" s="74"/>
      <c r="GD81" s="74"/>
      <c r="GE81" s="74"/>
      <c r="GF81" s="74"/>
      <c r="GG81" s="74"/>
      <c r="GH81" s="74"/>
      <c r="GI81" s="74"/>
      <c r="GJ81" s="74">
        <f t="shared" si="17"/>
        <v>50</v>
      </c>
      <c r="GK81" s="74">
        <f t="shared" si="18"/>
        <v>0</v>
      </c>
      <c r="GL81" s="74"/>
      <c r="GM81" s="74"/>
      <c r="GN81" s="74">
        <v>1</v>
      </c>
      <c r="GO81" s="74"/>
      <c r="GP81" s="74">
        <v>1</v>
      </c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5" t="s">
        <v>180</v>
      </c>
      <c r="FZ82" s="74">
        <f t="shared" si="16"/>
        <v>51</v>
      </c>
      <c r="GA82" s="74"/>
      <c r="GB82" s="74"/>
      <c r="GC82" s="74"/>
      <c r="GD82" s="74"/>
      <c r="GE82" s="74"/>
      <c r="GF82" s="74"/>
      <c r="GG82" s="74"/>
      <c r="GH82" s="74"/>
      <c r="GI82" s="74"/>
      <c r="GJ82" s="74">
        <f t="shared" si="17"/>
        <v>51</v>
      </c>
      <c r="GK82" s="74">
        <f t="shared" si="18"/>
        <v>0</v>
      </c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5" t="s">
        <v>181</v>
      </c>
      <c r="FZ83" s="74">
        <f t="shared" si="16"/>
        <v>52</v>
      </c>
      <c r="GA83" s="74"/>
      <c r="GB83" s="74"/>
      <c r="GC83" s="74"/>
      <c r="GD83" s="74"/>
      <c r="GE83" s="74"/>
      <c r="GF83" s="74"/>
      <c r="GG83" s="74"/>
      <c r="GH83" s="74"/>
      <c r="GI83" s="74"/>
      <c r="GJ83" s="74">
        <f t="shared" si="17"/>
        <v>52</v>
      </c>
      <c r="GK83" s="74">
        <f t="shared" si="18"/>
        <v>0</v>
      </c>
      <c r="GL83" s="74"/>
      <c r="GM83" s="74"/>
      <c r="GN83" s="74"/>
      <c r="GO83" s="74">
        <v>1</v>
      </c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5" t="s">
        <v>182</v>
      </c>
      <c r="FZ84" s="74">
        <f t="shared" si="16"/>
        <v>53</v>
      </c>
      <c r="GA84" s="74"/>
      <c r="GB84" s="74"/>
      <c r="GC84" s="74"/>
      <c r="GD84" s="74"/>
      <c r="GE84" s="74"/>
      <c r="GF84" s="74"/>
      <c r="GG84" s="74"/>
      <c r="GH84" s="74"/>
      <c r="GI84" s="74"/>
      <c r="GJ84" s="74">
        <f t="shared" si="17"/>
        <v>53</v>
      </c>
      <c r="GK84" s="74">
        <f t="shared" si="18"/>
        <v>0</v>
      </c>
      <c r="GL84" s="74"/>
      <c r="GM84" s="74"/>
      <c r="GN84" s="74"/>
      <c r="GO84" s="74"/>
      <c r="GP84" s="74">
        <v>1</v>
      </c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5" t="s">
        <v>183</v>
      </c>
      <c r="FZ85" s="74">
        <f t="shared" si="16"/>
        <v>54</v>
      </c>
      <c r="GA85" s="74"/>
      <c r="GB85" s="74"/>
      <c r="GC85" s="74"/>
      <c r="GD85" s="74"/>
      <c r="GE85" s="74"/>
      <c r="GF85" s="74"/>
      <c r="GG85" s="74"/>
      <c r="GH85" s="74"/>
      <c r="GI85" s="74"/>
      <c r="GJ85" s="74">
        <f t="shared" si="17"/>
        <v>54</v>
      </c>
      <c r="GK85" s="74">
        <f t="shared" si="18"/>
        <v>0</v>
      </c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5" t="s">
        <v>184</v>
      </c>
      <c r="FZ86" s="74">
        <f t="shared" si="16"/>
        <v>55</v>
      </c>
      <c r="GA86" s="74"/>
      <c r="GB86" s="74"/>
      <c r="GC86" s="74"/>
      <c r="GD86" s="74"/>
      <c r="GE86" s="74"/>
      <c r="GF86" s="74"/>
      <c r="GG86" s="74"/>
      <c r="GH86" s="74"/>
      <c r="GI86" s="74"/>
      <c r="GJ86" s="74">
        <f t="shared" si="17"/>
        <v>55</v>
      </c>
      <c r="GK86" s="74">
        <f t="shared" si="18"/>
        <v>0</v>
      </c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5" t="s">
        <v>185</v>
      </c>
      <c r="FZ87" s="74">
        <f t="shared" si="16"/>
        <v>56</v>
      </c>
      <c r="GA87" s="74"/>
      <c r="GB87" s="74"/>
      <c r="GC87" s="74"/>
      <c r="GD87" s="74"/>
      <c r="GE87" s="74"/>
      <c r="GF87" s="74"/>
      <c r="GG87" s="74"/>
      <c r="GH87" s="74"/>
      <c r="GI87" s="74"/>
      <c r="GJ87" s="74">
        <f t="shared" si="17"/>
        <v>56</v>
      </c>
      <c r="GK87" s="74">
        <f t="shared" si="18"/>
        <v>1</v>
      </c>
      <c r="GL87" s="74"/>
      <c r="GM87" s="74">
        <v>1</v>
      </c>
      <c r="GN87" s="74">
        <v>1</v>
      </c>
      <c r="GO87" s="74">
        <v>1</v>
      </c>
      <c r="GP87" s="74">
        <v>1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5" t="s">
        <v>186</v>
      </c>
      <c r="FZ88" s="74">
        <f t="shared" si="16"/>
        <v>57</v>
      </c>
      <c r="GA88" s="74"/>
      <c r="GB88" s="74"/>
      <c r="GC88" s="74"/>
      <c r="GD88" s="74"/>
      <c r="GE88" s="74"/>
      <c r="GF88" s="74"/>
      <c r="GG88" s="74"/>
      <c r="GH88" s="74"/>
      <c r="GI88" s="74"/>
      <c r="GJ88" s="74">
        <f t="shared" si="17"/>
        <v>57</v>
      </c>
      <c r="GK88" s="74">
        <f t="shared" si="18"/>
        <v>0</v>
      </c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5" t="s">
        <v>187</v>
      </c>
      <c r="FZ89" s="74">
        <f t="shared" si="16"/>
        <v>58</v>
      </c>
      <c r="GA89" s="74"/>
      <c r="GB89" s="74"/>
      <c r="GC89" s="74"/>
      <c r="GD89" s="74"/>
      <c r="GE89" s="74"/>
      <c r="GF89" s="74"/>
      <c r="GG89" s="74"/>
      <c r="GH89" s="74"/>
      <c r="GI89" s="74"/>
      <c r="GJ89" s="74">
        <f t="shared" si="17"/>
        <v>58</v>
      </c>
      <c r="GK89" s="74">
        <f t="shared" si="18"/>
        <v>0</v>
      </c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5" t="s">
        <v>188</v>
      </c>
      <c r="FZ90" s="74">
        <f t="shared" si="16"/>
        <v>59</v>
      </c>
      <c r="GA90" s="74"/>
      <c r="GB90" s="74"/>
      <c r="GC90" s="74"/>
      <c r="GD90" s="74"/>
      <c r="GE90" s="74"/>
      <c r="GF90" s="74"/>
      <c r="GG90" s="74"/>
      <c r="GH90" s="74"/>
      <c r="GI90" s="74"/>
      <c r="GJ90" s="74">
        <f t="shared" si="17"/>
        <v>59</v>
      </c>
      <c r="GK90" s="74">
        <f t="shared" si="18"/>
        <v>0</v>
      </c>
      <c r="GL90" s="74"/>
      <c r="GM90" s="74"/>
      <c r="GN90" s="74"/>
      <c r="GO90" s="74"/>
      <c r="GP90" s="74">
        <v>1</v>
      </c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5" t="s">
        <v>189</v>
      </c>
      <c r="FZ91" s="74">
        <f t="shared" si="16"/>
        <v>60</v>
      </c>
      <c r="GA91" s="74"/>
      <c r="GB91" s="74"/>
      <c r="GC91" s="74"/>
      <c r="GD91" s="74"/>
      <c r="GE91" s="74"/>
      <c r="GF91" s="74"/>
      <c r="GG91" s="74"/>
      <c r="GH91" s="74"/>
      <c r="GI91" s="74"/>
      <c r="GJ91" s="74">
        <f t="shared" si="17"/>
        <v>60</v>
      </c>
      <c r="GK91" s="74">
        <f t="shared" si="18"/>
        <v>0</v>
      </c>
      <c r="GL91" s="74"/>
      <c r="GM91" s="74"/>
      <c r="GN91" s="74"/>
      <c r="GO91" s="74">
        <v>1</v>
      </c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5" t="s">
        <v>190</v>
      </c>
      <c r="FZ92" s="74">
        <f t="shared" si="16"/>
        <v>61</v>
      </c>
      <c r="GA92" s="74"/>
      <c r="GB92" s="74"/>
      <c r="GC92" s="74"/>
      <c r="GD92" s="74"/>
      <c r="GE92" s="74"/>
      <c r="GF92" s="74"/>
      <c r="GG92" s="74"/>
      <c r="GH92" s="74"/>
      <c r="GI92" s="74"/>
      <c r="GJ92" s="74">
        <f t="shared" si="17"/>
        <v>61</v>
      </c>
      <c r="GK92" s="74">
        <f t="shared" si="18"/>
        <v>0</v>
      </c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5" t="s">
        <v>191</v>
      </c>
      <c r="FZ93" s="74">
        <f t="shared" si="16"/>
        <v>62</v>
      </c>
      <c r="GA93" s="74"/>
      <c r="GB93" s="74"/>
      <c r="GC93" s="74"/>
      <c r="GD93" s="74"/>
      <c r="GE93" s="74"/>
      <c r="GF93" s="74"/>
      <c r="GG93" s="74"/>
      <c r="GH93" s="74"/>
      <c r="GI93" s="74"/>
      <c r="GJ93" s="74">
        <f t="shared" si="17"/>
        <v>62</v>
      </c>
      <c r="GK93" s="74">
        <f t="shared" si="18"/>
        <v>0</v>
      </c>
      <c r="GL93" s="74"/>
      <c r="GM93" s="74"/>
      <c r="GN93" s="74">
        <v>1</v>
      </c>
      <c r="GO93" s="74"/>
      <c r="GP93" s="74">
        <v>1</v>
      </c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5" t="s">
        <v>192</v>
      </c>
      <c r="FZ94" s="74">
        <f t="shared" si="16"/>
        <v>63</v>
      </c>
      <c r="GA94" s="74"/>
      <c r="GB94" s="74"/>
      <c r="GC94" s="74"/>
      <c r="GD94" s="74"/>
      <c r="GE94" s="74"/>
      <c r="GF94" s="74"/>
      <c r="GG94" s="74"/>
      <c r="GH94" s="74"/>
      <c r="GI94" s="74"/>
      <c r="GJ94" s="74">
        <f t="shared" si="17"/>
        <v>63</v>
      </c>
      <c r="GK94" s="74">
        <f t="shared" si="18"/>
        <v>0</v>
      </c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5" t="s">
        <v>193</v>
      </c>
      <c r="FZ95" s="74">
        <f t="shared" si="16"/>
        <v>64</v>
      </c>
      <c r="GA95" s="74"/>
      <c r="GB95" s="74"/>
      <c r="GC95" s="74"/>
      <c r="GD95" s="74"/>
      <c r="GE95" s="74"/>
      <c r="GF95" s="74"/>
      <c r="GG95" s="74"/>
      <c r="GH95" s="74"/>
      <c r="GI95" s="74"/>
      <c r="GJ95" s="74">
        <f t="shared" si="17"/>
        <v>64</v>
      </c>
      <c r="GK95" s="74">
        <f t="shared" si="18"/>
        <v>0</v>
      </c>
      <c r="GL95" s="74"/>
      <c r="GM95" s="74"/>
      <c r="GN95" s="74"/>
      <c r="GO95" s="74">
        <v>1</v>
      </c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5" t="s">
        <v>194</v>
      </c>
      <c r="FZ96" s="74">
        <f t="shared" si="16"/>
        <v>65</v>
      </c>
      <c r="GA96" s="74"/>
      <c r="GB96" s="74"/>
      <c r="GC96" s="74"/>
      <c r="GD96" s="74"/>
      <c r="GE96" s="74"/>
      <c r="GF96" s="74"/>
      <c r="GG96" s="74"/>
      <c r="GH96" s="74"/>
      <c r="GI96" s="74"/>
      <c r="GJ96" s="74">
        <f t="shared" si="17"/>
        <v>65</v>
      </c>
      <c r="GK96" s="74">
        <f t="shared" si="18"/>
        <v>0</v>
      </c>
      <c r="GL96" s="74"/>
      <c r="GM96" s="74"/>
      <c r="GN96" s="74"/>
      <c r="GO96" s="74"/>
      <c r="GP96" s="74">
        <v>1</v>
      </c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5" t="s">
        <v>195</v>
      </c>
      <c r="FZ97" s="74">
        <f t="shared" si="16"/>
        <v>66</v>
      </c>
      <c r="GA97" s="74"/>
      <c r="GB97" s="74"/>
      <c r="GC97" s="74"/>
      <c r="GD97" s="74"/>
      <c r="GE97" s="74"/>
      <c r="GF97" s="74"/>
      <c r="GG97" s="74"/>
      <c r="GH97" s="74"/>
      <c r="GI97" s="74"/>
      <c r="GJ97" s="74">
        <f t="shared" si="17"/>
        <v>66</v>
      </c>
      <c r="GK97" s="74">
        <f t="shared" si="18"/>
        <v>0</v>
      </c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5" t="s">
        <v>196</v>
      </c>
      <c r="FZ98" s="74">
        <f t="shared" si="16"/>
        <v>67</v>
      </c>
      <c r="GA98" s="74"/>
      <c r="GB98" s="74"/>
      <c r="GC98" s="74"/>
      <c r="GD98" s="74"/>
      <c r="GE98" s="74"/>
      <c r="GF98" s="74"/>
      <c r="GG98" s="74"/>
      <c r="GH98" s="74"/>
      <c r="GI98" s="74"/>
      <c r="GJ98" s="74">
        <f t="shared" si="17"/>
        <v>67</v>
      </c>
      <c r="GK98" s="74">
        <f t="shared" si="18"/>
        <v>0</v>
      </c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5" t="s">
        <v>197</v>
      </c>
      <c r="FZ99" s="74">
        <f t="shared" si="16"/>
        <v>68</v>
      </c>
      <c r="GA99" s="74"/>
      <c r="GB99" s="74"/>
      <c r="GC99" s="74"/>
      <c r="GD99" s="74"/>
      <c r="GE99" s="74"/>
      <c r="GF99" s="74"/>
      <c r="GG99" s="74"/>
      <c r="GH99" s="74"/>
      <c r="GI99" s="74"/>
      <c r="GJ99" s="74">
        <f t="shared" si="17"/>
        <v>68</v>
      </c>
      <c r="GK99" s="74">
        <f t="shared" si="18"/>
        <v>1</v>
      </c>
      <c r="GL99" s="74"/>
      <c r="GM99" s="74">
        <v>1</v>
      </c>
      <c r="GN99" s="74">
        <v>1</v>
      </c>
      <c r="GO99" s="74">
        <v>1</v>
      </c>
      <c r="GP99" s="74">
        <v>1</v>
      </c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5" t="s">
        <v>198</v>
      </c>
      <c r="FZ100" s="74">
        <f t="shared" si="16"/>
        <v>69</v>
      </c>
      <c r="GA100" s="74"/>
      <c r="GB100" s="74"/>
      <c r="GC100" s="74"/>
      <c r="GD100" s="74"/>
      <c r="GE100" s="74"/>
      <c r="GF100" s="74"/>
      <c r="GG100" s="74"/>
      <c r="GH100" s="74"/>
      <c r="GI100" s="74"/>
      <c r="GJ100" s="74">
        <f t="shared" si="17"/>
        <v>69</v>
      </c>
      <c r="GK100" s="74">
        <f t="shared" si="18"/>
        <v>0</v>
      </c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5" t="s">
        <v>199</v>
      </c>
      <c r="FZ101" s="74">
        <f t="shared" si="16"/>
        <v>70</v>
      </c>
      <c r="GA101" s="74"/>
      <c r="GB101" s="74"/>
      <c r="GC101" s="74"/>
      <c r="GD101" s="74"/>
      <c r="GE101" s="74"/>
      <c r="GF101" s="74"/>
      <c r="GG101" s="74"/>
      <c r="GH101" s="74"/>
      <c r="GI101" s="74"/>
      <c r="GJ101" s="74">
        <f t="shared" si="17"/>
        <v>70</v>
      </c>
      <c r="GK101" s="74">
        <f t="shared" si="18"/>
        <v>0</v>
      </c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5" t="s">
        <v>200</v>
      </c>
      <c r="FZ102" s="74">
        <f t="shared" si="16"/>
        <v>71</v>
      </c>
      <c r="GA102" s="74"/>
      <c r="GB102" s="74"/>
      <c r="GC102" s="74"/>
      <c r="GD102" s="74"/>
      <c r="GE102" s="74"/>
      <c r="GF102" s="74"/>
      <c r="GG102" s="74"/>
      <c r="GH102" s="74"/>
      <c r="GI102" s="74"/>
      <c r="GJ102" s="74">
        <f t="shared" si="17"/>
        <v>71</v>
      </c>
      <c r="GK102" s="74">
        <f t="shared" si="18"/>
        <v>0</v>
      </c>
      <c r="GL102" s="74"/>
      <c r="GM102" s="74"/>
      <c r="GN102" s="74"/>
      <c r="GO102" s="74"/>
      <c r="GP102" s="74">
        <v>1</v>
      </c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5" t="s">
        <v>201</v>
      </c>
      <c r="FZ103" s="74">
        <f t="shared" si="16"/>
        <v>72</v>
      </c>
      <c r="GA103" s="74"/>
      <c r="GB103" s="74"/>
      <c r="GC103" s="74"/>
      <c r="GD103" s="74"/>
      <c r="GE103" s="74"/>
      <c r="GF103" s="74"/>
      <c r="GG103" s="74"/>
      <c r="GH103" s="74"/>
      <c r="GI103" s="74"/>
      <c r="GJ103" s="74">
        <f t="shared" si="17"/>
        <v>72</v>
      </c>
      <c r="GK103" s="74">
        <f t="shared" si="18"/>
        <v>0</v>
      </c>
      <c r="GL103" s="74"/>
      <c r="GM103" s="74"/>
      <c r="GN103" s="74"/>
      <c r="GO103" s="74">
        <v>1</v>
      </c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5" t="s">
        <v>202</v>
      </c>
      <c r="FZ104" s="74">
        <f t="shared" si="16"/>
        <v>73</v>
      </c>
      <c r="GA104" s="74"/>
      <c r="GB104" s="74"/>
      <c r="GC104" s="74"/>
      <c r="GD104" s="74"/>
      <c r="GE104" s="74"/>
      <c r="GF104" s="74"/>
      <c r="GG104" s="74"/>
      <c r="GH104" s="74"/>
      <c r="GI104" s="74"/>
      <c r="GJ104" s="74">
        <f t="shared" si="17"/>
        <v>73</v>
      </c>
      <c r="GK104" s="74">
        <f t="shared" si="18"/>
        <v>0</v>
      </c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5" t="s">
        <v>203</v>
      </c>
      <c r="FZ105" s="74">
        <f t="shared" si="16"/>
        <v>74</v>
      </c>
      <c r="GA105" s="74"/>
      <c r="GB105" s="74"/>
      <c r="GC105" s="74"/>
      <c r="GD105" s="74"/>
      <c r="GE105" s="74"/>
      <c r="GF105" s="74"/>
      <c r="GG105" s="74"/>
      <c r="GH105" s="74"/>
      <c r="GI105" s="74"/>
      <c r="GJ105" s="74">
        <f t="shared" si="17"/>
        <v>74</v>
      </c>
      <c r="GK105" s="74">
        <f t="shared" si="18"/>
        <v>0</v>
      </c>
      <c r="GL105" s="74"/>
      <c r="GM105" s="74"/>
      <c r="GN105" s="74">
        <v>1</v>
      </c>
      <c r="GO105" s="74"/>
      <c r="GP105" s="74">
        <v>1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5" t="s">
        <v>204</v>
      </c>
      <c r="FZ106" s="74">
        <f t="shared" si="16"/>
        <v>75</v>
      </c>
      <c r="GA106" s="74"/>
      <c r="GB106" s="74"/>
      <c r="GC106" s="74"/>
      <c r="GD106" s="74"/>
      <c r="GE106" s="74"/>
      <c r="GF106" s="74"/>
      <c r="GG106" s="74"/>
      <c r="GH106" s="74"/>
      <c r="GI106" s="74"/>
      <c r="GJ106" s="74">
        <f t="shared" si="17"/>
        <v>75</v>
      </c>
      <c r="GK106" s="74">
        <f t="shared" si="18"/>
        <v>0</v>
      </c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5" t="s">
        <v>205</v>
      </c>
      <c r="FZ107" s="74">
        <f t="shared" si="16"/>
        <v>76</v>
      </c>
      <c r="GA107" s="74"/>
      <c r="GB107" s="74"/>
      <c r="GC107" s="74"/>
      <c r="GD107" s="74"/>
      <c r="GE107" s="74"/>
      <c r="GF107" s="74"/>
      <c r="GG107" s="74"/>
      <c r="GH107" s="74"/>
      <c r="GI107" s="74"/>
      <c r="GJ107" s="74">
        <f t="shared" si="17"/>
        <v>76</v>
      </c>
      <c r="GK107" s="74">
        <f t="shared" si="18"/>
        <v>0</v>
      </c>
      <c r="GL107" s="74"/>
      <c r="GM107" s="74"/>
      <c r="GN107" s="74"/>
      <c r="GO107" s="74">
        <v>1</v>
      </c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5" t="s">
        <v>206</v>
      </c>
      <c r="FZ108" s="74">
        <f t="shared" si="16"/>
        <v>77</v>
      </c>
      <c r="GA108" s="74"/>
      <c r="GB108" s="74"/>
      <c r="GC108" s="74"/>
      <c r="GD108" s="74"/>
      <c r="GE108" s="74"/>
      <c r="GF108" s="74"/>
      <c r="GG108" s="74"/>
      <c r="GH108" s="74"/>
      <c r="GI108" s="74"/>
      <c r="GJ108" s="74">
        <f t="shared" si="17"/>
        <v>77</v>
      </c>
      <c r="GK108" s="74">
        <f t="shared" si="18"/>
        <v>0</v>
      </c>
      <c r="GL108" s="74"/>
      <c r="GM108" s="74"/>
      <c r="GN108" s="74"/>
      <c r="GO108" s="74"/>
      <c r="GP108" s="74">
        <v>1</v>
      </c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5" t="s">
        <v>207</v>
      </c>
      <c r="FZ109" s="74">
        <f t="shared" si="16"/>
        <v>78</v>
      </c>
      <c r="GA109" s="74"/>
      <c r="GB109" s="74"/>
      <c r="GC109" s="74"/>
      <c r="GD109" s="74"/>
      <c r="GE109" s="74"/>
      <c r="GF109" s="74"/>
      <c r="GG109" s="74"/>
      <c r="GH109" s="74"/>
      <c r="GI109" s="74"/>
      <c r="GJ109" s="74">
        <f t="shared" si="17"/>
        <v>78</v>
      </c>
      <c r="GK109" s="74">
        <f t="shared" si="18"/>
        <v>0</v>
      </c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5" t="s">
        <v>208</v>
      </c>
      <c r="FZ110" s="74">
        <f t="shared" si="16"/>
        <v>79</v>
      </c>
      <c r="GA110" s="74"/>
      <c r="GB110" s="74"/>
      <c r="GC110" s="74"/>
      <c r="GD110" s="74"/>
      <c r="GE110" s="74"/>
      <c r="GF110" s="74"/>
      <c r="GG110" s="74"/>
      <c r="GH110" s="74"/>
      <c r="GI110" s="74"/>
      <c r="GJ110" s="74">
        <f t="shared" si="17"/>
        <v>79</v>
      </c>
      <c r="GK110" s="74">
        <f t="shared" si="18"/>
        <v>0</v>
      </c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5" t="s">
        <v>209</v>
      </c>
      <c r="FZ111" s="74">
        <f t="shared" si="16"/>
        <v>80</v>
      </c>
      <c r="GA111" s="74"/>
      <c r="GB111" s="74"/>
      <c r="GC111" s="74"/>
      <c r="GD111" s="74"/>
      <c r="GE111" s="74"/>
      <c r="GF111" s="74"/>
      <c r="GG111" s="74"/>
      <c r="GH111" s="74"/>
      <c r="GI111" s="74"/>
      <c r="GJ111" s="74">
        <f t="shared" si="17"/>
        <v>80</v>
      </c>
      <c r="GK111" s="74">
        <f t="shared" si="18"/>
        <v>1</v>
      </c>
      <c r="GL111" s="74"/>
      <c r="GM111" s="74">
        <v>1</v>
      </c>
      <c r="GN111" s="74">
        <v>1</v>
      </c>
      <c r="GO111" s="74">
        <v>1</v>
      </c>
      <c r="GP111" s="74">
        <v>1</v>
      </c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5" t="s">
        <v>210</v>
      </c>
      <c r="FZ112" s="74">
        <f t="shared" si="16"/>
        <v>81</v>
      </c>
      <c r="GA112" s="74"/>
      <c r="GB112" s="74"/>
      <c r="GC112" s="74"/>
      <c r="GD112" s="74"/>
      <c r="GE112" s="74"/>
      <c r="GF112" s="74"/>
      <c r="GG112" s="74"/>
      <c r="GH112" s="74"/>
      <c r="GI112" s="74"/>
      <c r="GJ112" s="74">
        <f t="shared" si="17"/>
        <v>81</v>
      </c>
      <c r="GK112" s="74">
        <f t="shared" si="18"/>
        <v>0</v>
      </c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5" t="s">
        <v>211</v>
      </c>
      <c r="FZ113" s="74">
        <f t="shared" si="16"/>
        <v>82</v>
      </c>
      <c r="GA113" s="74"/>
      <c r="GB113" s="74"/>
      <c r="GC113" s="74"/>
      <c r="GD113" s="74"/>
      <c r="GE113" s="74"/>
      <c r="GF113" s="74"/>
      <c r="GG113" s="74"/>
      <c r="GH113" s="74"/>
      <c r="GI113" s="74"/>
      <c r="GJ113" s="74">
        <f t="shared" si="17"/>
        <v>82</v>
      </c>
      <c r="GK113" s="74">
        <f t="shared" si="18"/>
        <v>0</v>
      </c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5" t="s">
        <v>212</v>
      </c>
      <c r="FZ114" s="74">
        <f t="shared" si="16"/>
        <v>83</v>
      </c>
      <c r="GA114" s="74"/>
      <c r="GB114" s="74"/>
      <c r="GC114" s="74"/>
      <c r="GD114" s="74"/>
      <c r="GE114" s="74"/>
      <c r="GF114" s="74"/>
      <c r="GG114" s="74"/>
      <c r="GH114" s="74"/>
      <c r="GI114" s="74"/>
      <c r="GJ114" s="74">
        <f t="shared" si="17"/>
        <v>83</v>
      </c>
      <c r="GK114" s="74">
        <f t="shared" si="18"/>
        <v>0</v>
      </c>
      <c r="GL114" s="74"/>
      <c r="GM114" s="74"/>
      <c r="GN114" s="74"/>
      <c r="GO114" s="74"/>
      <c r="GP114" s="74">
        <v>1</v>
      </c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5" t="s">
        <v>213</v>
      </c>
      <c r="FZ115" s="74">
        <f t="shared" si="16"/>
        <v>84</v>
      </c>
      <c r="GA115" s="74"/>
      <c r="GB115" s="74"/>
      <c r="GC115" s="74"/>
      <c r="GD115" s="74"/>
      <c r="GE115" s="74"/>
      <c r="GF115" s="74"/>
      <c r="GG115" s="74"/>
      <c r="GH115" s="74"/>
      <c r="GI115" s="74"/>
      <c r="GJ115" s="74">
        <f t="shared" si="17"/>
        <v>84</v>
      </c>
      <c r="GK115" s="74">
        <f t="shared" si="18"/>
        <v>0</v>
      </c>
      <c r="GL115" s="74"/>
      <c r="GM115" s="74"/>
      <c r="GN115" s="74"/>
      <c r="GO115" s="74">
        <v>1</v>
      </c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5" t="s">
        <v>214</v>
      </c>
      <c r="FZ116" s="74">
        <f t="shared" si="16"/>
        <v>85</v>
      </c>
      <c r="GA116" s="74"/>
      <c r="GB116" s="74"/>
      <c r="GC116" s="74"/>
      <c r="GD116" s="74"/>
      <c r="GE116" s="74"/>
      <c r="GF116" s="74"/>
      <c r="GG116" s="74"/>
      <c r="GH116" s="74"/>
      <c r="GI116" s="74"/>
      <c r="GJ116" s="74">
        <f t="shared" si="17"/>
        <v>85</v>
      </c>
      <c r="GK116" s="74">
        <f t="shared" si="18"/>
        <v>0</v>
      </c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5" t="s">
        <v>215</v>
      </c>
      <c r="FZ117" s="74">
        <f t="shared" si="16"/>
        <v>86</v>
      </c>
      <c r="GA117" s="74"/>
      <c r="GB117" s="74"/>
      <c r="GC117" s="74"/>
      <c r="GD117" s="74"/>
      <c r="GE117" s="74"/>
      <c r="GF117" s="74"/>
      <c r="GG117" s="74"/>
      <c r="GH117" s="74"/>
      <c r="GI117" s="74"/>
      <c r="GJ117" s="74">
        <f t="shared" si="17"/>
        <v>86</v>
      </c>
      <c r="GK117" s="74">
        <f t="shared" si="18"/>
        <v>0</v>
      </c>
      <c r="GL117" s="74"/>
      <c r="GM117" s="74"/>
      <c r="GN117" s="74">
        <v>1</v>
      </c>
      <c r="GO117" s="74"/>
      <c r="GP117" s="74">
        <v>1</v>
      </c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5" t="s">
        <v>216</v>
      </c>
      <c r="FZ118" s="74">
        <f t="shared" si="16"/>
        <v>87</v>
      </c>
      <c r="GA118" s="74"/>
      <c r="GB118" s="74"/>
      <c r="GC118" s="74"/>
      <c r="GD118" s="74"/>
      <c r="GE118" s="74"/>
      <c r="GF118" s="74"/>
      <c r="GG118" s="74"/>
      <c r="GH118" s="74"/>
      <c r="GI118" s="74"/>
      <c r="GJ118" s="74">
        <f t="shared" si="17"/>
        <v>87</v>
      </c>
      <c r="GK118" s="74">
        <f t="shared" si="18"/>
        <v>0</v>
      </c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5" t="s">
        <v>217</v>
      </c>
      <c r="FZ119" s="74">
        <f t="shared" si="16"/>
        <v>88</v>
      </c>
      <c r="GA119" s="74"/>
      <c r="GB119" s="74"/>
      <c r="GC119" s="74"/>
      <c r="GD119" s="74"/>
      <c r="GE119" s="74"/>
      <c r="GF119" s="74"/>
      <c r="GG119" s="74"/>
      <c r="GH119" s="74"/>
      <c r="GI119" s="74"/>
      <c r="GJ119" s="74">
        <f t="shared" si="17"/>
        <v>88</v>
      </c>
      <c r="GK119" s="74">
        <f t="shared" si="18"/>
        <v>0</v>
      </c>
      <c r="GL119" s="74"/>
      <c r="GM119" s="74"/>
      <c r="GN119" s="74"/>
      <c r="GO119" s="74">
        <v>1</v>
      </c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5" t="s">
        <v>218</v>
      </c>
      <c r="FZ120" s="74">
        <f t="shared" si="16"/>
        <v>89</v>
      </c>
      <c r="GA120" s="74"/>
      <c r="GB120" s="74"/>
      <c r="GC120" s="74"/>
      <c r="GD120" s="74"/>
      <c r="GE120" s="74"/>
      <c r="GF120" s="74"/>
      <c r="GG120" s="74"/>
      <c r="GH120" s="74"/>
      <c r="GI120" s="74"/>
      <c r="GJ120" s="74">
        <f t="shared" si="17"/>
        <v>89</v>
      </c>
      <c r="GK120" s="74">
        <f t="shared" si="18"/>
        <v>0</v>
      </c>
      <c r="GL120" s="74"/>
      <c r="GM120" s="74"/>
      <c r="GN120" s="74"/>
      <c r="GO120" s="74"/>
      <c r="GP120" s="74">
        <v>1</v>
      </c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5" t="s">
        <v>219</v>
      </c>
      <c r="FZ121" s="74">
        <f t="shared" si="16"/>
        <v>90</v>
      </c>
      <c r="GA121" s="74"/>
      <c r="GB121" s="74"/>
      <c r="GC121" s="74"/>
      <c r="GD121" s="74"/>
      <c r="GE121" s="74"/>
      <c r="GF121" s="74"/>
      <c r="GG121" s="74"/>
      <c r="GH121" s="74"/>
      <c r="GI121" s="74"/>
      <c r="GJ121" s="74">
        <f t="shared" si="17"/>
        <v>90</v>
      </c>
      <c r="GK121" s="74">
        <f t="shared" si="18"/>
        <v>0</v>
      </c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5" t="s">
        <v>220</v>
      </c>
      <c r="FZ122" s="74">
        <f t="shared" si="16"/>
        <v>91</v>
      </c>
      <c r="GA122" s="74"/>
      <c r="GB122" s="74"/>
      <c r="GC122" s="74"/>
      <c r="GD122" s="74"/>
      <c r="GE122" s="74"/>
      <c r="GF122" s="74"/>
      <c r="GG122" s="74"/>
      <c r="GH122" s="74"/>
      <c r="GI122" s="74"/>
      <c r="GJ122" s="74">
        <f t="shared" si="17"/>
        <v>91</v>
      </c>
      <c r="GK122" s="74">
        <f t="shared" si="18"/>
        <v>0</v>
      </c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5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>
        <f t="shared" si="17"/>
        <v>92</v>
      </c>
      <c r="GK123" s="74">
        <f t="shared" si="18"/>
        <v>1</v>
      </c>
      <c r="GL123" s="74"/>
      <c r="GM123" s="74">
        <v>1</v>
      </c>
      <c r="GN123" s="74">
        <v>1</v>
      </c>
      <c r="GO123" s="74">
        <v>1</v>
      </c>
      <c r="GP123" s="74">
        <v>1</v>
      </c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5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>
        <f t="shared" si="17"/>
        <v>93</v>
      </c>
      <c r="GK124" s="74">
        <f t="shared" si="18"/>
        <v>0</v>
      </c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5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>
        <f t="shared" si="17"/>
        <v>94</v>
      </c>
      <c r="GK125" s="74">
        <f t="shared" si="18"/>
        <v>0</v>
      </c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5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>
        <f t="shared" si="17"/>
        <v>95</v>
      </c>
      <c r="GK126" s="74">
        <f t="shared" si="18"/>
        <v>0</v>
      </c>
      <c r="GL126" s="74"/>
      <c r="GM126" s="74"/>
      <c r="GN126" s="74"/>
      <c r="GO126" s="74"/>
      <c r="GP126" s="74">
        <v>1</v>
      </c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5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>
        <f t="shared" si="17"/>
        <v>96</v>
      </c>
      <c r="GK127" s="74">
        <f t="shared" si="18"/>
        <v>0</v>
      </c>
      <c r="GL127" s="74"/>
      <c r="GM127" s="74"/>
      <c r="GN127" s="74"/>
      <c r="GO127" s="74">
        <v>1</v>
      </c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5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>
        <f t="shared" si="17"/>
        <v>97</v>
      </c>
      <c r="GK128" s="74">
        <f t="shared" si="18"/>
        <v>0</v>
      </c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5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>
        <f t="shared" si="17"/>
        <v>98</v>
      </c>
      <c r="GK129" s="74">
        <f t="shared" si="18"/>
        <v>0</v>
      </c>
      <c r="GL129" s="74"/>
      <c r="GM129" s="74"/>
      <c r="GN129" s="74">
        <v>1</v>
      </c>
      <c r="GO129" s="74"/>
      <c r="GP129" s="74">
        <v>1</v>
      </c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5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>
        <f t="shared" si="17"/>
        <v>99</v>
      </c>
      <c r="GK130" s="74">
        <f t="shared" si="18"/>
        <v>0</v>
      </c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5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>
        <f t="shared" si="17"/>
        <v>100</v>
      </c>
      <c r="GK131" s="74">
        <f t="shared" si="18"/>
        <v>0</v>
      </c>
      <c r="GL131" s="74"/>
      <c r="GM131" s="74"/>
      <c r="GN131" s="74"/>
      <c r="GO131" s="74">
        <v>1</v>
      </c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5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>
        <f t="shared" si="17"/>
        <v>101</v>
      </c>
      <c r="GK132" s="74">
        <f t="shared" si="18"/>
        <v>0</v>
      </c>
      <c r="GL132" s="74"/>
      <c r="GM132" s="74"/>
      <c r="GN132" s="74"/>
      <c r="GO132" s="74"/>
      <c r="GP132" s="74">
        <v>1</v>
      </c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5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>
        <f aca="true" t="shared" si="19" ref="GJ133:GJ174">+GJ132+1</f>
        <v>102</v>
      </c>
      <c r="GK133" s="74">
        <f t="shared" si="18"/>
        <v>0</v>
      </c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5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>
        <f t="shared" si="19"/>
        <v>103</v>
      </c>
      <c r="GK134" s="74">
        <f aca="true" t="shared" si="20" ref="GK134:GK174">+IF($C$8=$GM$1,GM134,IF($C$8=$GN$1,GN134,IF($C$8=$GO$1,GO134,IF($C$8=$GP$1,GP134,0))))</f>
        <v>0</v>
      </c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5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>
        <f t="shared" si="19"/>
        <v>104</v>
      </c>
      <c r="GK135" s="74">
        <f t="shared" si="20"/>
        <v>1</v>
      </c>
      <c r="GL135" s="74"/>
      <c r="GM135" s="74">
        <v>1</v>
      </c>
      <c r="GN135" s="74">
        <v>1</v>
      </c>
      <c r="GO135" s="74">
        <v>1</v>
      </c>
      <c r="GP135" s="74">
        <v>1</v>
      </c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5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>
        <f t="shared" si="19"/>
        <v>105</v>
      </c>
      <c r="GK136" s="74">
        <f t="shared" si="20"/>
        <v>0</v>
      </c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5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>
        <f t="shared" si="19"/>
        <v>106</v>
      </c>
      <c r="GK137" s="74">
        <f t="shared" si="20"/>
        <v>0</v>
      </c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5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>
        <f t="shared" si="19"/>
        <v>107</v>
      </c>
      <c r="GK138" s="74">
        <f t="shared" si="20"/>
        <v>0</v>
      </c>
      <c r="GL138" s="74"/>
      <c r="GM138" s="74"/>
      <c r="GN138" s="74"/>
      <c r="GO138" s="74"/>
      <c r="GP138" s="74">
        <v>1</v>
      </c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5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>
        <f t="shared" si="19"/>
        <v>108</v>
      </c>
      <c r="GK139" s="74">
        <f t="shared" si="20"/>
        <v>0</v>
      </c>
      <c r="GL139" s="74"/>
      <c r="GM139" s="74"/>
      <c r="GN139" s="74"/>
      <c r="GO139" s="74">
        <v>1</v>
      </c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5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>
        <f t="shared" si="19"/>
        <v>109</v>
      </c>
      <c r="GK140" s="74">
        <f t="shared" si="20"/>
        <v>0</v>
      </c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5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>
        <f t="shared" si="19"/>
        <v>110</v>
      </c>
      <c r="GK141" s="74">
        <f t="shared" si="20"/>
        <v>0</v>
      </c>
      <c r="GL141" s="74"/>
      <c r="GM141" s="74"/>
      <c r="GN141" s="74">
        <v>1</v>
      </c>
      <c r="GO141" s="74"/>
      <c r="GP141" s="74">
        <v>1</v>
      </c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5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>
        <f t="shared" si="19"/>
        <v>111</v>
      </c>
      <c r="GK142" s="74">
        <f t="shared" si="20"/>
        <v>0</v>
      </c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5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>
        <f t="shared" si="19"/>
        <v>112</v>
      </c>
      <c r="GK143" s="74">
        <f t="shared" si="20"/>
        <v>0</v>
      </c>
      <c r="GL143" s="74"/>
      <c r="GM143" s="74"/>
      <c r="GN143" s="74"/>
      <c r="GO143" s="74">
        <v>1</v>
      </c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5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>
        <f t="shared" si="19"/>
        <v>113</v>
      </c>
      <c r="GK144" s="74">
        <f t="shared" si="20"/>
        <v>0</v>
      </c>
      <c r="GL144" s="74"/>
      <c r="GM144" s="74"/>
      <c r="GN144" s="74"/>
      <c r="GO144" s="74"/>
      <c r="GP144" s="74">
        <v>1</v>
      </c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5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>
        <f t="shared" si="19"/>
        <v>114</v>
      </c>
      <c r="GK145" s="74">
        <f t="shared" si="20"/>
        <v>0</v>
      </c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5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>
        <f t="shared" si="19"/>
        <v>115</v>
      </c>
      <c r="GK146" s="74">
        <f t="shared" si="20"/>
        <v>0</v>
      </c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5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>
        <f t="shared" si="19"/>
        <v>116</v>
      </c>
      <c r="GK147" s="74">
        <f t="shared" si="20"/>
        <v>1</v>
      </c>
      <c r="GL147" s="74"/>
      <c r="GM147" s="74">
        <v>1</v>
      </c>
      <c r="GN147" s="74">
        <v>1</v>
      </c>
      <c r="GO147" s="74">
        <v>1</v>
      </c>
      <c r="GP147" s="74">
        <v>1</v>
      </c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5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>
        <f t="shared" si="19"/>
        <v>117</v>
      </c>
      <c r="GK148" s="74">
        <f t="shared" si="20"/>
        <v>0</v>
      </c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5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>
        <f t="shared" si="19"/>
        <v>118</v>
      </c>
      <c r="GK149" s="74">
        <f t="shared" si="20"/>
        <v>0</v>
      </c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5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>
        <f t="shared" si="19"/>
        <v>119</v>
      </c>
      <c r="GK150" s="74">
        <f t="shared" si="20"/>
        <v>0</v>
      </c>
      <c r="GL150" s="74"/>
      <c r="GM150" s="74"/>
      <c r="GN150" s="74"/>
      <c r="GO150" s="74"/>
      <c r="GP150" s="74">
        <v>1</v>
      </c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5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>
        <f t="shared" si="19"/>
        <v>120</v>
      </c>
      <c r="GK151" s="74">
        <f t="shared" si="20"/>
        <v>0</v>
      </c>
      <c r="GL151" s="74"/>
      <c r="GM151" s="74"/>
      <c r="GN151" s="74"/>
      <c r="GO151" s="74">
        <v>1</v>
      </c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5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>
        <f t="shared" si="19"/>
        <v>121</v>
      </c>
      <c r="GK152" s="74">
        <f t="shared" si="20"/>
        <v>0</v>
      </c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5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>
        <f t="shared" si="19"/>
        <v>122</v>
      </c>
      <c r="GK153" s="74">
        <f t="shared" si="20"/>
        <v>0</v>
      </c>
      <c r="GL153" s="74"/>
      <c r="GM153" s="74"/>
      <c r="GN153" s="74">
        <v>1</v>
      </c>
      <c r="GO153" s="74"/>
      <c r="GP153" s="74">
        <v>1</v>
      </c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5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>
        <f t="shared" si="19"/>
        <v>123</v>
      </c>
      <c r="GK154" s="74">
        <f t="shared" si="20"/>
        <v>0</v>
      </c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5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>
        <f t="shared" si="19"/>
        <v>124</v>
      </c>
      <c r="GK155" s="74">
        <f t="shared" si="20"/>
        <v>0</v>
      </c>
      <c r="GL155" s="74"/>
      <c r="GM155" s="74"/>
      <c r="GN155" s="74"/>
      <c r="GO155" s="74">
        <v>1</v>
      </c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5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>
        <f t="shared" si="19"/>
        <v>125</v>
      </c>
      <c r="GK156" s="74">
        <f t="shared" si="20"/>
        <v>0</v>
      </c>
      <c r="GL156" s="74"/>
      <c r="GM156" s="74"/>
      <c r="GN156" s="74"/>
      <c r="GO156" s="74"/>
      <c r="GP156" s="74">
        <v>1</v>
      </c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5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>
        <f t="shared" si="19"/>
        <v>126</v>
      </c>
      <c r="GK157" s="74">
        <f t="shared" si="20"/>
        <v>0</v>
      </c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5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>
        <f t="shared" si="19"/>
        <v>127</v>
      </c>
      <c r="GK158" s="74">
        <f t="shared" si="20"/>
        <v>0</v>
      </c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5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>
        <f t="shared" si="19"/>
        <v>128</v>
      </c>
      <c r="GK159" s="74">
        <f t="shared" si="20"/>
        <v>1</v>
      </c>
      <c r="GL159" s="74"/>
      <c r="GM159" s="74">
        <v>1</v>
      </c>
      <c r="GN159" s="74">
        <v>1</v>
      </c>
      <c r="GO159" s="74">
        <v>1</v>
      </c>
      <c r="GP159" s="74">
        <v>1</v>
      </c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5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>
        <f t="shared" si="19"/>
        <v>129</v>
      </c>
      <c r="GK160" s="74">
        <f t="shared" si="20"/>
        <v>0</v>
      </c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5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>
        <f t="shared" si="19"/>
        <v>130</v>
      </c>
      <c r="GK161" s="74">
        <f t="shared" si="20"/>
        <v>0</v>
      </c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5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>
        <f t="shared" si="19"/>
        <v>131</v>
      </c>
      <c r="GK162" s="74">
        <f t="shared" si="20"/>
        <v>0</v>
      </c>
      <c r="GL162" s="74"/>
      <c r="GM162" s="74"/>
      <c r="GN162" s="74"/>
      <c r="GO162" s="74"/>
      <c r="GP162" s="74">
        <v>1</v>
      </c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5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>
        <f t="shared" si="19"/>
        <v>132</v>
      </c>
      <c r="GK163" s="74">
        <f t="shared" si="20"/>
        <v>0</v>
      </c>
      <c r="GL163" s="74"/>
      <c r="GM163" s="74"/>
      <c r="GN163" s="74"/>
      <c r="GO163" s="74">
        <v>1</v>
      </c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5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>
        <f t="shared" si="19"/>
        <v>133</v>
      </c>
      <c r="GK164" s="74">
        <f t="shared" si="20"/>
        <v>0</v>
      </c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5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>
        <f t="shared" si="19"/>
        <v>134</v>
      </c>
      <c r="GK165" s="74">
        <f t="shared" si="20"/>
        <v>0</v>
      </c>
      <c r="GL165" s="74"/>
      <c r="GM165" s="74"/>
      <c r="GN165" s="74">
        <v>1</v>
      </c>
      <c r="GO165" s="74"/>
      <c r="GP165" s="74">
        <v>1</v>
      </c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5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>
        <f t="shared" si="19"/>
        <v>135</v>
      </c>
      <c r="GK166" s="74">
        <f t="shared" si="20"/>
        <v>0</v>
      </c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5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>
        <f t="shared" si="19"/>
        <v>136</v>
      </c>
      <c r="GK167" s="74">
        <f t="shared" si="20"/>
        <v>0</v>
      </c>
      <c r="GL167" s="74"/>
      <c r="GM167" s="74"/>
      <c r="GN167" s="74"/>
      <c r="GO167" s="74">
        <v>1</v>
      </c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5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>
        <f t="shared" si="19"/>
        <v>137</v>
      </c>
      <c r="GK168" s="74">
        <f t="shared" si="20"/>
        <v>0</v>
      </c>
      <c r="GL168" s="74"/>
      <c r="GM168" s="74"/>
      <c r="GN168" s="74"/>
      <c r="GO168" s="74"/>
      <c r="GP168" s="74">
        <v>1</v>
      </c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5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>
        <f t="shared" si="19"/>
        <v>138</v>
      </c>
      <c r="GK169" s="74">
        <f t="shared" si="20"/>
        <v>0</v>
      </c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5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>
        <f t="shared" si="19"/>
        <v>139</v>
      </c>
      <c r="GK170" s="74">
        <f t="shared" si="20"/>
        <v>0</v>
      </c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5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>
        <f t="shared" si="19"/>
        <v>140</v>
      </c>
      <c r="GK171" s="74">
        <f t="shared" si="20"/>
        <v>1</v>
      </c>
      <c r="GL171" s="74"/>
      <c r="GM171" s="74">
        <v>1</v>
      </c>
      <c r="GN171" s="74">
        <v>1</v>
      </c>
      <c r="GO171" s="74">
        <v>1</v>
      </c>
      <c r="GP171" s="74">
        <v>1</v>
      </c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5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>
        <f t="shared" si="19"/>
        <v>141</v>
      </c>
      <c r="GK172" s="74">
        <f t="shared" si="20"/>
        <v>0</v>
      </c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5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>
        <f t="shared" si="19"/>
        <v>142</v>
      </c>
      <c r="GK173" s="74">
        <f t="shared" si="20"/>
        <v>0</v>
      </c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5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>
        <f t="shared" si="19"/>
        <v>143</v>
      </c>
      <c r="GK174" s="74">
        <f t="shared" si="20"/>
        <v>0</v>
      </c>
      <c r="GL174" s="74"/>
      <c r="GM174" s="74"/>
      <c r="GN174" s="74"/>
      <c r="GO174" s="74"/>
      <c r="GP174" s="74">
        <v>1</v>
      </c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5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>
        <v>1</v>
      </c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5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5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>
        <v>1</v>
      </c>
      <c r="GO177" s="74"/>
      <c r="GP177" s="74">
        <v>1</v>
      </c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5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5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>
        <v>1</v>
      </c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5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>
        <v>1</v>
      </c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5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5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5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>
        <v>1</v>
      </c>
      <c r="GN183" s="74">
        <v>1</v>
      </c>
      <c r="GO183" s="74">
        <v>1</v>
      </c>
      <c r="GP183" s="74">
        <v>1</v>
      </c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5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>
        <v>1</v>
      </c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5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>
        <v>1</v>
      </c>
      <c r="GN185" s="74">
        <v>1</v>
      </c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5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>
        <v>1</v>
      </c>
      <c r="GN186" s="74"/>
      <c r="GO186" s="74">
        <v>1</v>
      </c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5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>
        <v>1</v>
      </c>
      <c r="GN187" s="74">
        <v>1</v>
      </c>
      <c r="GO187" s="74"/>
      <c r="GP187" s="74">
        <v>1</v>
      </c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5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>
        <v>1</v>
      </c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5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>
        <v>1</v>
      </c>
      <c r="GN189" s="74">
        <v>1</v>
      </c>
      <c r="GO189" s="74">
        <v>1</v>
      </c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5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>
        <v>1</v>
      </c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5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>
        <v>1</v>
      </c>
      <c r="GN191" s="74">
        <v>1</v>
      </c>
      <c r="GO191" s="74"/>
      <c r="GP191" s="74">
        <v>1</v>
      </c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5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>
        <v>1</v>
      </c>
      <c r="GN192" s="74"/>
      <c r="GO192" s="74">
        <v>1</v>
      </c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5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>
        <v>1</v>
      </c>
      <c r="GN193" s="74">
        <v>1</v>
      </c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5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>
        <v>1</v>
      </c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5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>
        <v>1</v>
      </c>
      <c r="GN195" s="74">
        <v>1</v>
      </c>
      <c r="GO195" s="74">
        <v>1</v>
      </c>
      <c r="GP195" s="74">
        <v>1</v>
      </c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5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>
        <v>1</v>
      </c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5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>
        <v>1</v>
      </c>
      <c r="GN197" s="74">
        <v>1</v>
      </c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5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>
        <v>1</v>
      </c>
      <c r="GN198" s="74"/>
      <c r="GO198" s="74">
        <v>1</v>
      </c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5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>
        <v>1</v>
      </c>
      <c r="GN199" s="74">
        <v>1</v>
      </c>
      <c r="GO199" s="74"/>
      <c r="GP199" s="74">
        <v>1</v>
      </c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5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>
        <v>1</v>
      </c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5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>
        <v>1</v>
      </c>
      <c r="GN201" s="74">
        <v>1</v>
      </c>
      <c r="GO201" s="74">
        <v>1</v>
      </c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5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>
        <v>1</v>
      </c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5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>
        <v>1</v>
      </c>
      <c r="GN203" s="74">
        <v>1</v>
      </c>
      <c r="GO203" s="74"/>
      <c r="GP203" s="74">
        <v>1</v>
      </c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5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>
        <v>1</v>
      </c>
      <c r="GN204" s="74"/>
      <c r="GO204" s="74">
        <v>1</v>
      </c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5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>
        <v>1</v>
      </c>
      <c r="GN205" s="74">
        <v>1</v>
      </c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5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>
        <v>1</v>
      </c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5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>
        <v>1</v>
      </c>
      <c r="GN207" s="74">
        <v>1</v>
      </c>
      <c r="GO207" s="74">
        <v>1</v>
      </c>
      <c r="GP207" s="74">
        <v>1</v>
      </c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5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>
        <v>1</v>
      </c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5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>
        <v>1</v>
      </c>
      <c r="GN209" s="74">
        <v>1</v>
      </c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5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>
        <v>1</v>
      </c>
      <c r="GN210" s="74"/>
      <c r="GO210" s="74">
        <v>1</v>
      </c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5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>
        <v>1</v>
      </c>
      <c r="GN211" s="74">
        <v>1</v>
      </c>
      <c r="GO211" s="74"/>
      <c r="GP211" s="74">
        <v>1</v>
      </c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5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>
        <v>1</v>
      </c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5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>
        <v>1</v>
      </c>
      <c r="GN213" s="74">
        <v>1</v>
      </c>
      <c r="GO213" s="74">
        <v>1</v>
      </c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5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>
        <v>1</v>
      </c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5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>
        <v>1</v>
      </c>
      <c r="GN215" s="74">
        <v>1</v>
      </c>
      <c r="GO215" s="74"/>
      <c r="GP215" s="74">
        <v>1</v>
      </c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5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>
        <v>1</v>
      </c>
      <c r="GN216" s="74"/>
      <c r="GO216" s="74">
        <v>1</v>
      </c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5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>
        <v>1</v>
      </c>
      <c r="GN217" s="74">
        <v>1</v>
      </c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5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>
        <v>1</v>
      </c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5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>
        <v>1</v>
      </c>
      <c r="GN219" s="74">
        <v>1</v>
      </c>
      <c r="GO219" s="74">
        <v>1</v>
      </c>
      <c r="GP219" s="74">
        <v>1</v>
      </c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5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>
        <v>1</v>
      </c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5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>
        <v>1</v>
      </c>
      <c r="GN221" s="74">
        <v>1</v>
      </c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5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>
        <v>1</v>
      </c>
      <c r="GN222" s="74"/>
      <c r="GO222" s="74">
        <v>1</v>
      </c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5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>
        <v>1</v>
      </c>
      <c r="GN223" s="74"/>
      <c r="GO223" s="74"/>
      <c r="GP223" s="74">
        <v>1</v>
      </c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5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>
        <v>1</v>
      </c>
      <c r="GN224" s="74"/>
      <c r="GO224" s="74"/>
      <c r="GP224" s="74"/>
      <c r="GQ224" s="74"/>
      <c r="GR224" s="74"/>
      <c r="GS224" s="74"/>
      <c r="GT224" s="74"/>
      <c r="GU224" s="74"/>
      <c r="GV224" s="74"/>
      <c r="GW224" s="74"/>
      <c r="GX224" s="74"/>
      <c r="GY224" s="74"/>
      <c r="GZ224" s="74"/>
      <c r="HA224" s="74"/>
      <c r="HB224" s="74"/>
      <c r="HC224" s="74"/>
      <c r="HD224" s="74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5"/>
      <c r="FZ225" s="74"/>
      <c r="GA225" s="74"/>
      <c r="GB225" s="74"/>
      <c r="GC225" s="74"/>
      <c r="GD225" s="74"/>
      <c r="GE225" s="74"/>
      <c r="GF225" s="74"/>
      <c r="GG225" s="74"/>
      <c r="GH225" s="74"/>
      <c r="GI225" s="74"/>
      <c r="GJ225" s="74"/>
      <c r="GK225" s="74"/>
      <c r="GL225" s="74"/>
      <c r="GM225" s="74">
        <v>1</v>
      </c>
      <c r="GN225" s="74"/>
      <c r="GO225" s="74">
        <v>1</v>
      </c>
      <c r="GP225" s="74"/>
      <c r="GQ225" s="74"/>
      <c r="GR225" s="74"/>
      <c r="GS225" s="74"/>
      <c r="GT225" s="74"/>
      <c r="GU225" s="74"/>
      <c r="GV225" s="74"/>
      <c r="GW225" s="74"/>
      <c r="GX225" s="74"/>
      <c r="GY225" s="74"/>
      <c r="GZ225" s="74"/>
      <c r="HA225" s="74"/>
      <c r="HB225" s="74"/>
      <c r="HC225" s="74"/>
      <c r="HD225" s="74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5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>
        <v>1</v>
      </c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5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>
        <v>1</v>
      </c>
      <c r="GN227" s="74"/>
      <c r="GO227" s="74"/>
      <c r="GP227" s="74">
        <v>1</v>
      </c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5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>
        <v>1</v>
      </c>
      <c r="GN228" s="74"/>
      <c r="GO228" s="74">
        <v>1</v>
      </c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5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>
        <v>1</v>
      </c>
      <c r="GN229" s="74"/>
      <c r="GO229" s="74"/>
      <c r="GP229" s="74"/>
      <c r="GQ229" s="74"/>
      <c r="GR229" s="74"/>
      <c r="GS229" s="74"/>
      <c r="GT229" s="74"/>
      <c r="GU229" s="74"/>
      <c r="GV229" s="74"/>
      <c r="GW229" s="74"/>
      <c r="GX229" s="74"/>
      <c r="GY229" s="74"/>
      <c r="GZ229" s="74"/>
      <c r="HA229" s="74"/>
      <c r="HB229" s="74"/>
      <c r="HC229" s="74"/>
      <c r="HD229" s="74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5"/>
      <c r="FZ230" s="74"/>
      <c r="GA230" s="74"/>
      <c r="GB230" s="74"/>
      <c r="GC230" s="74"/>
      <c r="GD230" s="74"/>
      <c r="GE230" s="74"/>
      <c r="GF230" s="74"/>
      <c r="GG230" s="74"/>
      <c r="GH230" s="74"/>
      <c r="GI230" s="74"/>
      <c r="GJ230" s="74"/>
      <c r="GK230" s="74"/>
      <c r="GL230" s="74"/>
      <c r="GM230" s="74">
        <v>1</v>
      </c>
      <c r="GN230" s="74"/>
      <c r="GO230" s="74"/>
      <c r="GP230" s="74"/>
      <c r="GQ230" s="74"/>
      <c r="GR230" s="74"/>
      <c r="GS230" s="74"/>
      <c r="GT230" s="74"/>
      <c r="GU230" s="74"/>
      <c r="GV230" s="74"/>
      <c r="GW230" s="74"/>
      <c r="GX230" s="74"/>
      <c r="GY230" s="74"/>
      <c r="GZ230" s="74"/>
      <c r="HA230" s="74"/>
      <c r="HB230" s="74"/>
      <c r="HC230" s="74"/>
      <c r="HD230" s="74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5"/>
      <c r="FZ231" s="74"/>
      <c r="GA231" s="74"/>
      <c r="GB231" s="74"/>
      <c r="GC231" s="74"/>
      <c r="GD231" s="74"/>
      <c r="GE231" s="74"/>
      <c r="GF231" s="74"/>
      <c r="GG231" s="74"/>
      <c r="GH231" s="74"/>
      <c r="GI231" s="74"/>
      <c r="GJ231" s="74"/>
      <c r="GK231" s="74"/>
      <c r="GL231" s="74"/>
      <c r="GM231" s="74"/>
      <c r="GN231" s="74"/>
      <c r="GO231" s="74"/>
      <c r="GP231" s="74"/>
      <c r="GQ231" s="74"/>
      <c r="GR231" s="74"/>
      <c r="GS231" s="74"/>
      <c r="GT231" s="74"/>
      <c r="GU231" s="74"/>
      <c r="GV231" s="74"/>
      <c r="GW231" s="74"/>
      <c r="GX231" s="74"/>
      <c r="GY231" s="74"/>
      <c r="GZ231" s="74"/>
      <c r="HA231" s="74"/>
      <c r="HB231" s="74"/>
      <c r="HC231" s="74"/>
      <c r="HD231" s="74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5"/>
      <c r="FZ232" s="74"/>
      <c r="GA232" s="74"/>
      <c r="GB232" s="74"/>
      <c r="GC232" s="74"/>
      <c r="GD232" s="74"/>
      <c r="GE232" s="74"/>
      <c r="GF232" s="74"/>
      <c r="GG232" s="74"/>
      <c r="GH232" s="74"/>
      <c r="GI232" s="74"/>
      <c r="GJ232" s="74"/>
      <c r="GK232" s="74"/>
      <c r="GL232" s="74"/>
      <c r="GM232" s="74"/>
      <c r="GN232" s="74"/>
      <c r="GO232" s="74">
        <v>1</v>
      </c>
      <c r="GP232" s="74">
        <v>1</v>
      </c>
      <c r="GQ232" s="74"/>
      <c r="GR232" s="74"/>
      <c r="GS232" s="74"/>
      <c r="GT232" s="74"/>
      <c r="GU232" s="74"/>
      <c r="GV232" s="74"/>
      <c r="GW232" s="74"/>
      <c r="GX232" s="74"/>
      <c r="GY232" s="74"/>
      <c r="GZ232" s="74"/>
      <c r="HA232" s="74"/>
      <c r="HB232" s="74"/>
      <c r="HC232" s="74"/>
      <c r="HD232" s="74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5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5"/>
      <c r="FZ234" s="74"/>
      <c r="GA234" s="74"/>
      <c r="GB234" s="74"/>
      <c r="GC234" s="74"/>
      <c r="GD234" s="74"/>
      <c r="GE234" s="74"/>
      <c r="GF234" s="74"/>
      <c r="GG234" s="74"/>
      <c r="GH234" s="74"/>
      <c r="GI234" s="74"/>
      <c r="GJ234" s="74"/>
      <c r="GK234" s="74"/>
      <c r="GL234" s="74"/>
      <c r="GM234" s="74"/>
      <c r="GN234" s="74"/>
      <c r="GO234" s="74"/>
      <c r="GP234" s="74"/>
      <c r="GQ234" s="74"/>
      <c r="GR234" s="74"/>
      <c r="GS234" s="74"/>
      <c r="GT234" s="74"/>
      <c r="GU234" s="74"/>
      <c r="GV234" s="74"/>
      <c r="GW234" s="74"/>
      <c r="GX234" s="74"/>
      <c r="GY234" s="74"/>
      <c r="GZ234" s="74"/>
      <c r="HA234" s="74"/>
      <c r="HB234" s="74"/>
      <c r="HC234" s="74"/>
      <c r="HD234" s="74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5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5"/>
      <c r="FZ236" s="74"/>
      <c r="GA236" s="74"/>
      <c r="GB236" s="74"/>
      <c r="GC236" s="74"/>
      <c r="GD236" s="74"/>
      <c r="GE236" s="74"/>
      <c r="GF236" s="74"/>
      <c r="GG236" s="74"/>
      <c r="GH236" s="74"/>
      <c r="GI236" s="74"/>
      <c r="GJ236" s="74"/>
      <c r="GK236" s="74"/>
      <c r="GL236" s="74"/>
      <c r="GM236" s="74"/>
      <c r="GN236" s="74"/>
      <c r="GO236" s="74"/>
      <c r="GP236" s="74"/>
      <c r="GQ236" s="74"/>
      <c r="GR236" s="74"/>
      <c r="GS236" s="74"/>
      <c r="GT236" s="74"/>
      <c r="GU236" s="74"/>
      <c r="GV236" s="74"/>
      <c r="GW236" s="74"/>
      <c r="GX236" s="74"/>
      <c r="GY236" s="74"/>
      <c r="GZ236" s="74"/>
      <c r="HA236" s="74"/>
      <c r="HB236" s="74"/>
      <c r="HC236" s="74"/>
      <c r="HD236" s="74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5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5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5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5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5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5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74"/>
      <c r="GX242" s="74"/>
      <c r="GY242" s="74"/>
      <c r="GZ242" s="74"/>
      <c r="HA242" s="74"/>
      <c r="HB242" s="74"/>
      <c r="HC242" s="74"/>
      <c r="HD242" s="74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5"/>
      <c r="FZ243" s="74"/>
      <c r="GA243" s="74"/>
      <c r="GB243" s="74"/>
      <c r="GC243" s="74"/>
      <c r="GD243" s="74"/>
      <c r="GE243" s="74"/>
      <c r="GF243" s="74"/>
      <c r="GG243" s="74"/>
      <c r="GH243" s="74"/>
      <c r="GI243" s="74"/>
      <c r="GJ243" s="74"/>
      <c r="GK243" s="74"/>
      <c r="GL243" s="74"/>
      <c r="GM243" s="74"/>
      <c r="GN243" s="74"/>
      <c r="GO243" s="74"/>
      <c r="GP243" s="74"/>
      <c r="GQ243" s="74"/>
      <c r="GR243" s="74"/>
      <c r="GS243" s="74"/>
      <c r="GT243" s="74"/>
      <c r="GU243" s="74"/>
      <c r="GV243" s="74"/>
      <c r="GW243" s="74"/>
      <c r="GX243" s="74"/>
      <c r="GY243" s="74"/>
      <c r="GZ243" s="74"/>
      <c r="HA243" s="74"/>
      <c r="HB243" s="74"/>
      <c r="HC243" s="74"/>
      <c r="HD243" s="74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5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74"/>
      <c r="GX244" s="74"/>
      <c r="GY244" s="74"/>
      <c r="GZ244" s="74"/>
      <c r="HA244" s="74"/>
      <c r="HB244" s="74"/>
      <c r="HC244" s="74"/>
      <c r="HD244" s="74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5"/>
      <c r="FZ245" s="74"/>
      <c r="GA245" s="74"/>
      <c r="GB245" s="74"/>
      <c r="GC245" s="74"/>
      <c r="GD245" s="74"/>
      <c r="GE245" s="74"/>
      <c r="GF245" s="74"/>
      <c r="GG245" s="74"/>
      <c r="GH245" s="74"/>
      <c r="GI245" s="74"/>
      <c r="GJ245" s="74"/>
      <c r="GK245" s="74"/>
      <c r="GL245" s="74"/>
      <c r="GM245" s="74"/>
      <c r="GN245" s="74"/>
      <c r="GO245" s="74"/>
      <c r="GP245" s="74"/>
      <c r="GQ245" s="74"/>
      <c r="GR245" s="74"/>
      <c r="GS245" s="74"/>
      <c r="GT245" s="74"/>
      <c r="GU245" s="74"/>
      <c r="GV245" s="74"/>
      <c r="GW245" s="74"/>
      <c r="GX245" s="74"/>
      <c r="GY245" s="74"/>
      <c r="GZ245" s="74"/>
      <c r="HA245" s="74"/>
      <c r="HB245" s="74"/>
      <c r="HC245" s="74"/>
      <c r="HD245" s="74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5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5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74"/>
      <c r="GX247" s="74"/>
      <c r="GY247" s="74"/>
      <c r="GZ247" s="74"/>
      <c r="HA247" s="74"/>
      <c r="HB247" s="74"/>
      <c r="HC247" s="74"/>
      <c r="HD247" s="74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5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74"/>
      <c r="GX248" s="74"/>
      <c r="GY248" s="74"/>
      <c r="GZ248" s="74"/>
      <c r="HA248" s="74"/>
      <c r="HB248" s="74"/>
      <c r="HC248" s="74"/>
      <c r="HD248" s="74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5"/>
      <c r="FZ249" s="74"/>
      <c r="GA249" s="74"/>
      <c r="GB249" s="74"/>
      <c r="GC249" s="74"/>
      <c r="GD249" s="74"/>
      <c r="GE249" s="74"/>
      <c r="GF249" s="74"/>
      <c r="GG249" s="74"/>
      <c r="GH249" s="74"/>
      <c r="GI249" s="74"/>
      <c r="GJ249" s="74"/>
      <c r="GK249" s="74"/>
      <c r="GL249" s="74"/>
      <c r="GM249" s="74"/>
      <c r="GN249" s="74"/>
      <c r="GO249" s="74"/>
      <c r="GP249" s="74"/>
      <c r="GQ249" s="74"/>
      <c r="GR249" s="74"/>
      <c r="GS249" s="74"/>
      <c r="GT249" s="74"/>
      <c r="GU249" s="74"/>
      <c r="GV249" s="74"/>
      <c r="GW249" s="74"/>
      <c r="GX249" s="74"/>
      <c r="GY249" s="74"/>
      <c r="GZ249" s="74"/>
      <c r="HA249" s="74"/>
      <c r="HB249" s="74"/>
      <c r="HC249" s="74"/>
      <c r="HD249" s="74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5"/>
      <c r="FZ250" s="74"/>
      <c r="GA250" s="74"/>
      <c r="GB250" s="74"/>
      <c r="GC250" s="74"/>
      <c r="GD250" s="74"/>
      <c r="GE250" s="74"/>
      <c r="GF250" s="74"/>
      <c r="GG250" s="74"/>
      <c r="GH250" s="74"/>
      <c r="GI250" s="74"/>
      <c r="GJ250" s="74"/>
      <c r="GK250" s="74"/>
      <c r="GL250" s="74"/>
      <c r="GM250" s="74"/>
      <c r="GN250" s="74"/>
      <c r="GO250" s="74"/>
      <c r="GP250" s="74"/>
      <c r="GQ250" s="74"/>
      <c r="GR250" s="74"/>
      <c r="GS250" s="74"/>
      <c r="GT250" s="74"/>
      <c r="GU250" s="74"/>
      <c r="GV250" s="74"/>
      <c r="GW250" s="74"/>
      <c r="GX250" s="74"/>
      <c r="GY250" s="74"/>
      <c r="GZ250" s="74"/>
      <c r="HA250" s="74"/>
      <c r="HB250" s="74"/>
      <c r="HC250" s="74"/>
      <c r="HD250" s="74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5"/>
      <c r="FZ251" s="74"/>
      <c r="GA251" s="74"/>
      <c r="GB251" s="74"/>
      <c r="GC251" s="74"/>
      <c r="GD251" s="74"/>
      <c r="GE251" s="74"/>
      <c r="GF251" s="74"/>
      <c r="GG251" s="74"/>
      <c r="GH251" s="74"/>
      <c r="GI251" s="74"/>
      <c r="GJ251" s="74"/>
      <c r="GK251" s="74"/>
      <c r="GL251" s="74"/>
      <c r="GM251" s="74"/>
      <c r="GN251" s="74"/>
      <c r="GO251" s="74"/>
      <c r="GP251" s="74"/>
      <c r="GQ251" s="74"/>
      <c r="GR251" s="74"/>
      <c r="GS251" s="74"/>
      <c r="GT251" s="74"/>
      <c r="GU251" s="74"/>
      <c r="GV251" s="74"/>
      <c r="GW251" s="74"/>
      <c r="GX251" s="74"/>
      <c r="GY251" s="74"/>
      <c r="GZ251" s="74"/>
      <c r="HA251" s="74"/>
      <c r="HB251" s="74"/>
      <c r="HC251" s="74"/>
      <c r="HD251" s="74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5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74"/>
      <c r="GX252" s="74"/>
      <c r="GY252" s="74"/>
      <c r="GZ252" s="74"/>
      <c r="HA252" s="74"/>
      <c r="HB252" s="74"/>
      <c r="HC252" s="74"/>
      <c r="HD252" s="74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5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5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74"/>
      <c r="GX254" s="74"/>
      <c r="GY254" s="74"/>
      <c r="GZ254" s="74"/>
      <c r="HA254" s="74"/>
      <c r="HB254" s="74"/>
      <c r="HC254" s="74"/>
      <c r="HD254" s="74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5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74"/>
      <c r="GX255" s="74"/>
      <c r="GY255" s="74"/>
      <c r="GZ255" s="74"/>
      <c r="HA255" s="74"/>
      <c r="HB255" s="74"/>
      <c r="HC255" s="74"/>
      <c r="HD255" s="74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5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5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74"/>
      <c r="GX257" s="74"/>
      <c r="GY257" s="74"/>
      <c r="GZ257" s="74"/>
      <c r="HA257" s="74"/>
      <c r="HB257" s="74"/>
      <c r="HC257" s="74"/>
      <c r="HD257" s="74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5"/>
      <c r="FZ258" s="74"/>
      <c r="GA258" s="74"/>
      <c r="GB258" s="74"/>
      <c r="GC258" s="74"/>
      <c r="GD258" s="74"/>
      <c r="GE258" s="74"/>
      <c r="GF258" s="74"/>
      <c r="GG258" s="74"/>
      <c r="GH258" s="74"/>
      <c r="GI258" s="74"/>
      <c r="GJ258" s="74"/>
      <c r="GK258" s="74"/>
      <c r="GL258" s="74"/>
      <c r="GM258" s="74"/>
      <c r="GN258" s="74"/>
      <c r="GO258" s="74"/>
      <c r="GP258" s="74"/>
      <c r="GQ258" s="74"/>
      <c r="GR258" s="74"/>
      <c r="GS258" s="74"/>
      <c r="GT258" s="74"/>
      <c r="GU258" s="74"/>
      <c r="GV258" s="74"/>
      <c r="GW258" s="74"/>
      <c r="GX258" s="74"/>
      <c r="GY258" s="74"/>
      <c r="GZ258" s="74"/>
      <c r="HA258" s="74"/>
      <c r="HB258" s="74"/>
      <c r="HC258" s="74"/>
      <c r="HD258" s="74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5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5"/>
      <c r="FZ260" s="74"/>
      <c r="GA260" s="74"/>
      <c r="GB260" s="74"/>
      <c r="GC260" s="74"/>
      <c r="GD260" s="74"/>
      <c r="GE260" s="74"/>
      <c r="GF260" s="74"/>
      <c r="GG260" s="74"/>
      <c r="GH260" s="74"/>
      <c r="GI260" s="74"/>
      <c r="GJ260" s="74"/>
      <c r="GK260" s="74"/>
      <c r="GL260" s="74"/>
      <c r="GM260" s="74"/>
      <c r="GN260" s="74"/>
      <c r="GO260" s="74"/>
      <c r="GP260" s="74"/>
      <c r="GQ260" s="74"/>
      <c r="GR260" s="74"/>
      <c r="GS260" s="74"/>
      <c r="GT260" s="74"/>
      <c r="GU260" s="74"/>
      <c r="GV260" s="74"/>
      <c r="GW260" s="74"/>
      <c r="GX260" s="74"/>
      <c r="GY260" s="74"/>
      <c r="GZ260" s="74"/>
      <c r="HA260" s="74"/>
      <c r="HB260" s="74"/>
      <c r="HC260" s="74"/>
      <c r="HD260" s="74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5"/>
      <c r="FZ261" s="74"/>
      <c r="GA261" s="74"/>
      <c r="GB261" s="74"/>
      <c r="GC261" s="74"/>
      <c r="GD261" s="74"/>
      <c r="GE261" s="74"/>
      <c r="GF261" s="74"/>
      <c r="GG261" s="74"/>
      <c r="GH261" s="74"/>
      <c r="GI261" s="74"/>
      <c r="GJ261" s="74"/>
      <c r="GK261" s="74"/>
      <c r="GL261" s="74"/>
      <c r="GM261" s="74"/>
      <c r="GN261" s="74"/>
      <c r="GO261" s="74"/>
      <c r="GP261" s="74"/>
      <c r="GQ261" s="74"/>
      <c r="GR261" s="74"/>
      <c r="GS261" s="74"/>
      <c r="GT261" s="74"/>
      <c r="GU261" s="74"/>
      <c r="GV261" s="74"/>
      <c r="GW261" s="74"/>
      <c r="GX261" s="74"/>
      <c r="GY261" s="74"/>
      <c r="GZ261" s="74"/>
      <c r="HA261" s="74"/>
      <c r="HB261" s="74"/>
      <c r="HC261" s="74"/>
      <c r="HD261" s="74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5"/>
      <c r="FZ262" s="74"/>
      <c r="GA262" s="74"/>
      <c r="GB262" s="74"/>
      <c r="GC262" s="74"/>
      <c r="GD262" s="74"/>
      <c r="GE262" s="74"/>
      <c r="GF262" s="74"/>
      <c r="GG262" s="74"/>
      <c r="GH262" s="74"/>
      <c r="GI262" s="74"/>
      <c r="GJ262" s="74"/>
      <c r="GK262" s="74"/>
      <c r="GL262" s="74"/>
      <c r="GM262" s="74"/>
      <c r="GN262" s="74"/>
      <c r="GO262" s="74"/>
      <c r="GP262" s="74"/>
      <c r="GQ262" s="74"/>
      <c r="GR262" s="74"/>
      <c r="GS262" s="74"/>
      <c r="GT262" s="74"/>
      <c r="GU262" s="74"/>
      <c r="GV262" s="74"/>
      <c r="GW262" s="74"/>
      <c r="GX262" s="74"/>
      <c r="GY262" s="74"/>
      <c r="GZ262" s="74"/>
      <c r="HA262" s="74"/>
      <c r="HB262" s="74"/>
      <c r="HC262" s="74"/>
      <c r="HD262" s="74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5"/>
      <c r="FZ263" s="74"/>
      <c r="GA263" s="74"/>
      <c r="GB263" s="74"/>
      <c r="GC263" s="74"/>
      <c r="GD263" s="74"/>
      <c r="GE263" s="74"/>
      <c r="GF263" s="74"/>
      <c r="GG263" s="74"/>
      <c r="GH263" s="74"/>
      <c r="GI263" s="74"/>
      <c r="GJ263" s="74"/>
      <c r="GK263" s="74"/>
      <c r="GL263" s="74"/>
      <c r="GM263" s="74"/>
      <c r="GN263" s="74"/>
      <c r="GO263" s="74"/>
      <c r="GP263" s="74"/>
      <c r="GQ263" s="74"/>
      <c r="GR263" s="74"/>
      <c r="GS263" s="74"/>
      <c r="GT263" s="74"/>
      <c r="GU263" s="74"/>
      <c r="GV263" s="74"/>
      <c r="GW263" s="74"/>
      <c r="GX263" s="74"/>
      <c r="GY263" s="74"/>
      <c r="GZ263" s="74"/>
      <c r="HA263" s="74"/>
      <c r="HB263" s="74"/>
      <c r="HC263" s="74"/>
      <c r="HD263" s="74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5"/>
      <c r="FZ264" s="74"/>
      <c r="GA264" s="74"/>
      <c r="GB264" s="74"/>
      <c r="GC264" s="74"/>
      <c r="GD264" s="74"/>
      <c r="GE264" s="74"/>
      <c r="GF264" s="74"/>
      <c r="GG264" s="74"/>
      <c r="GH264" s="74"/>
      <c r="GI264" s="74"/>
      <c r="GJ264" s="74"/>
      <c r="GK264" s="74"/>
      <c r="GL264" s="74"/>
      <c r="GM264" s="74"/>
      <c r="GN264" s="74"/>
      <c r="GO264" s="74"/>
      <c r="GP264" s="74"/>
      <c r="GQ264" s="74"/>
      <c r="GR264" s="74"/>
      <c r="GS264" s="74"/>
      <c r="GT264" s="74"/>
      <c r="GU264" s="74"/>
      <c r="GV264" s="74"/>
      <c r="GW264" s="74"/>
      <c r="GX264" s="74"/>
      <c r="GY264" s="74"/>
      <c r="GZ264" s="74"/>
      <c r="HA264" s="74"/>
      <c r="HB264" s="74"/>
      <c r="HC264" s="74"/>
      <c r="HD264" s="74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5"/>
      <c r="FZ265" s="74"/>
      <c r="GA265" s="74"/>
      <c r="GB265" s="74"/>
      <c r="GC265" s="74"/>
      <c r="GD265" s="74"/>
      <c r="GE265" s="74"/>
      <c r="GF265" s="74"/>
      <c r="GG265" s="74"/>
      <c r="GH265" s="74"/>
      <c r="GI265" s="74"/>
      <c r="GJ265" s="74"/>
      <c r="GK265" s="74"/>
      <c r="GL265" s="74"/>
      <c r="GM265" s="74"/>
      <c r="GN265" s="74"/>
      <c r="GO265" s="74"/>
      <c r="GP265" s="74"/>
      <c r="GQ265" s="74"/>
      <c r="GR265" s="74"/>
      <c r="GS265" s="74"/>
      <c r="GT265" s="74"/>
      <c r="GU265" s="74"/>
      <c r="GV265" s="74"/>
      <c r="GW265" s="74"/>
      <c r="GX265" s="74"/>
      <c r="GY265" s="74"/>
      <c r="GZ265" s="74"/>
      <c r="HA265" s="74"/>
      <c r="HB265" s="74"/>
      <c r="HC265" s="74"/>
      <c r="HD265" s="74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5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74"/>
      <c r="GX266" s="74"/>
      <c r="GY266" s="74"/>
      <c r="GZ266" s="74"/>
      <c r="HA266" s="74"/>
      <c r="HB266" s="74"/>
      <c r="HC266" s="74"/>
      <c r="HD266" s="74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5"/>
      <c r="FZ267" s="74"/>
      <c r="GA267" s="74"/>
      <c r="GB267" s="74"/>
      <c r="GC267" s="74"/>
      <c r="GD267" s="74"/>
      <c r="GE267" s="74"/>
      <c r="GF267" s="74"/>
      <c r="GG267" s="74"/>
      <c r="GH267" s="74"/>
      <c r="GI267" s="74"/>
      <c r="GJ267" s="74"/>
      <c r="GK267" s="74"/>
      <c r="GL267" s="74"/>
      <c r="GM267" s="74"/>
      <c r="GN267" s="74"/>
      <c r="GO267" s="74"/>
      <c r="GP267" s="74"/>
      <c r="GQ267" s="74"/>
      <c r="GR267" s="74"/>
      <c r="GS267" s="74"/>
      <c r="GT267" s="74"/>
      <c r="GU267" s="74"/>
      <c r="GV267" s="74"/>
      <c r="GW267" s="74"/>
      <c r="GX267" s="74"/>
      <c r="GY267" s="74"/>
      <c r="GZ267" s="74"/>
      <c r="HA267" s="74"/>
      <c r="HB267" s="74"/>
      <c r="HC267" s="74"/>
      <c r="HD267" s="74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5"/>
      <c r="FZ268" s="74"/>
      <c r="GA268" s="74"/>
      <c r="GB268" s="74"/>
      <c r="GC268" s="74"/>
      <c r="GD268" s="74"/>
      <c r="GE268" s="74"/>
      <c r="GF268" s="74"/>
      <c r="GG268" s="74"/>
      <c r="GH268" s="74"/>
      <c r="GI268" s="74"/>
      <c r="GJ268" s="74"/>
      <c r="GK268" s="74"/>
      <c r="GL268" s="74"/>
      <c r="GM268" s="74"/>
      <c r="GN268" s="74"/>
      <c r="GO268" s="74"/>
      <c r="GP268" s="74"/>
      <c r="GQ268" s="74"/>
      <c r="GR268" s="74"/>
      <c r="GS268" s="74"/>
      <c r="GT268" s="74"/>
      <c r="GU268" s="74"/>
      <c r="GV268" s="74"/>
      <c r="GW268" s="74"/>
      <c r="GX268" s="74"/>
      <c r="GY268" s="74"/>
      <c r="GZ268" s="74"/>
      <c r="HA268" s="74"/>
      <c r="HB268" s="74"/>
      <c r="HC268" s="74"/>
      <c r="HD268" s="74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5"/>
      <c r="FZ269" s="74"/>
      <c r="GA269" s="74"/>
      <c r="GB269" s="74"/>
      <c r="GC269" s="74"/>
      <c r="GD269" s="74"/>
      <c r="GE269" s="74"/>
      <c r="GF269" s="74"/>
      <c r="GG269" s="74"/>
      <c r="GH269" s="74"/>
      <c r="GI269" s="74"/>
      <c r="GJ269" s="74"/>
      <c r="GK269" s="74"/>
      <c r="GL269" s="74"/>
      <c r="GM269" s="74"/>
      <c r="GN269" s="74"/>
      <c r="GO269" s="74"/>
      <c r="GP269" s="74"/>
      <c r="GQ269" s="74"/>
      <c r="GR269" s="74"/>
      <c r="GS269" s="74"/>
      <c r="GT269" s="74"/>
      <c r="GU269" s="74"/>
      <c r="GV269" s="74"/>
      <c r="GW269" s="74"/>
      <c r="GX269" s="74"/>
      <c r="GY269" s="74"/>
      <c r="GZ269" s="74"/>
      <c r="HA269" s="74"/>
      <c r="HB269" s="74"/>
      <c r="HC269" s="74"/>
      <c r="HD269" s="74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5"/>
      <c r="FZ270" s="74"/>
      <c r="GA270" s="74"/>
      <c r="GB270" s="74"/>
      <c r="GC270" s="74"/>
      <c r="GD270" s="74"/>
      <c r="GE270" s="74"/>
      <c r="GF270" s="74"/>
      <c r="GG270" s="74"/>
      <c r="GH270" s="74"/>
      <c r="GI270" s="74"/>
      <c r="GJ270" s="74"/>
      <c r="GK270" s="74"/>
      <c r="GL270" s="74"/>
      <c r="GM270" s="74"/>
      <c r="GN270" s="74"/>
      <c r="GO270" s="74"/>
      <c r="GP270" s="74"/>
      <c r="GQ270" s="74"/>
      <c r="GR270" s="74"/>
      <c r="GS270" s="74"/>
      <c r="GT270" s="74"/>
      <c r="GU270" s="74"/>
      <c r="GV270" s="74"/>
      <c r="GW270" s="74"/>
      <c r="GX270" s="74"/>
      <c r="GY270" s="74"/>
      <c r="GZ270" s="74"/>
      <c r="HA270" s="74"/>
      <c r="HB270" s="74"/>
      <c r="HC270" s="74"/>
      <c r="HD270" s="74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5"/>
      <c r="FZ271" s="74"/>
      <c r="GA271" s="74"/>
      <c r="GB271" s="74"/>
      <c r="GC271" s="74"/>
      <c r="GD271" s="74"/>
      <c r="GE271" s="74"/>
      <c r="GF271" s="74"/>
      <c r="GG271" s="74"/>
      <c r="GH271" s="74"/>
      <c r="GI271" s="74"/>
      <c r="GJ271" s="74"/>
      <c r="GK271" s="74"/>
      <c r="GL271" s="74"/>
      <c r="GM271" s="74"/>
      <c r="GN271" s="74"/>
      <c r="GO271" s="74"/>
      <c r="GP271" s="74"/>
      <c r="GQ271" s="74"/>
      <c r="GR271" s="74"/>
      <c r="GS271" s="74"/>
      <c r="GT271" s="74"/>
      <c r="GU271" s="74"/>
      <c r="GV271" s="74"/>
      <c r="GW271" s="74"/>
      <c r="GX271" s="74"/>
      <c r="GY271" s="74"/>
      <c r="GZ271" s="74"/>
      <c r="HA271" s="74"/>
      <c r="HB271" s="74"/>
      <c r="HC271" s="74"/>
      <c r="HD271" s="74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5"/>
      <c r="FZ272" s="74"/>
      <c r="GA272" s="74"/>
      <c r="GB272" s="74"/>
      <c r="GC272" s="74"/>
      <c r="GD272" s="74"/>
      <c r="GE272" s="74"/>
      <c r="GF272" s="74"/>
      <c r="GG272" s="74"/>
      <c r="GH272" s="74"/>
      <c r="GI272" s="74"/>
      <c r="GJ272" s="74"/>
      <c r="GK272" s="74"/>
      <c r="GL272" s="74"/>
      <c r="GM272" s="74"/>
      <c r="GN272" s="74"/>
      <c r="GO272" s="74"/>
      <c r="GP272" s="74"/>
      <c r="GQ272" s="74"/>
      <c r="GR272" s="74"/>
      <c r="GS272" s="74"/>
      <c r="GT272" s="74"/>
      <c r="GU272" s="74"/>
      <c r="GV272" s="74"/>
      <c r="GW272" s="74"/>
      <c r="GX272" s="74"/>
      <c r="GY272" s="74"/>
      <c r="GZ272" s="74"/>
      <c r="HA272" s="74"/>
      <c r="HB272" s="74"/>
      <c r="HC272" s="74"/>
      <c r="HD272" s="74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5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74"/>
      <c r="GX273" s="74"/>
      <c r="GY273" s="74"/>
      <c r="GZ273" s="74"/>
      <c r="HA273" s="74"/>
      <c r="HB273" s="74"/>
      <c r="HC273" s="74"/>
      <c r="HD273" s="74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5"/>
      <c r="FZ274" s="74"/>
      <c r="GA274" s="74"/>
      <c r="GB274" s="74"/>
      <c r="GC274" s="74"/>
      <c r="GD274" s="74"/>
      <c r="GE274" s="74"/>
      <c r="GF274" s="74"/>
      <c r="GG274" s="74"/>
      <c r="GH274" s="74"/>
      <c r="GI274" s="74"/>
      <c r="GJ274" s="74"/>
      <c r="GK274" s="74"/>
      <c r="GL274" s="74"/>
      <c r="GM274" s="74"/>
      <c r="GN274" s="74"/>
      <c r="GO274" s="74"/>
      <c r="GP274" s="74"/>
      <c r="GQ274" s="74"/>
      <c r="GR274" s="74"/>
      <c r="GS274" s="74"/>
      <c r="GT274" s="74"/>
      <c r="GU274" s="74"/>
      <c r="GV274" s="74"/>
      <c r="GW274" s="74"/>
      <c r="GX274" s="74"/>
      <c r="GY274" s="74"/>
      <c r="GZ274" s="74"/>
      <c r="HA274" s="74"/>
      <c r="HB274" s="74"/>
      <c r="HC274" s="74"/>
      <c r="HD274" s="74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5"/>
      <c r="FZ275" s="74"/>
      <c r="GA275" s="74"/>
      <c r="GB275" s="74"/>
      <c r="GC275" s="74"/>
      <c r="GD275" s="74"/>
      <c r="GE275" s="74"/>
      <c r="GF275" s="74"/>
      <c r="GG275" s="74"/>
      <c r="GH275" s="74"/>
      <c r="GI275" s="74"/>
      <c r="GJ275" s="74"/>
      <c r="GK275" s="74"/>
      <c r="GL275" s="74"/>
      <c r="GM275" s="74"/>
      <c r="GN275" s="74"/>
      <c r="GO275" s="74"/>
      <c r="GP275" s="74"/>
      <c r="GQ275" s="74"/>
      <c r="GR275" s="74"/>
      <c r="GS275" s="74"/>
      <c r="GT275" s="74"/>
      <c r="GU275" s="74"/>
      <c r="GV275" s="74"/>
      <c r="GW275" s="74"/>
      <c r="GX275" s="74"/>
      <c r="GY275" s="74"/>
      <c r="GZ275" s="74"/>
      <c r="HA275" s="74"/>
      <c r="HB275" s="74"/>
      <c r="HC275" s="74"/>
      <c r="HD275" s="74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5"/>
      <c r="FZ276" s="74"/>
      <c r="GA276" s="74"/>
      <c r="GB276" s="74"/>
      <c r="GC276" s="74"/>
      <c r="GD276" s="74"/>
      <c r="GE276" s="74"/>
      <c r="GF276" s="74"/>
      <c r="GG276" s="74"/>
      <c r="GH276" s="74"/>
      <c r="GI276" s="74"/>
      <c r="GJ276" s="74"/>
      <c r="GK276" s="74"/>
      <c r="GL276" s="74"/>
      <c r="GM276" s="74"/>
      <c r="GN276" s="74"/>
      <c r="GO276" s="74"/>
      <c r="GP276" s="74"/>
      <c r="GQ276" s="74"/>
      <c r="GR276" s="74"/>
      <c r="GS276" s="74"/>
      <c r="GT276" s="74"/>
      <c r="GU276" s="74"/>
      <c r="GV276" s="74"/>
      <c r="GW276" s="74"/>
      <c r="GX276" s="74"/>
      <c r="GY276" s="74"/>
      <c r="GZ276" s="74"/>
      <c r="HA276" s="74"/>
      <c r="HB276" s="74"/>
      <c r="HC276" s="74"/>
      <c r="HD276" s="74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5"/>
      <c r="FZ277" s="74"/>
      <c r="GA277" s="74"/>
      <c r="GB277" s="74"/>
      <c r="GC277" s="74"/>
      <c r="GD277" s="74"/>
      <c r="GE277" s="74"/>
      <c r="GF277" s="74"/>
      <c r="GG277" s="74"/>
      <c r="GH277" s="74"/>
      <c r="GI277" s="74"/>
      <c r="GJ277" s="74"/>
      <c r="GK277" s="74"/>
      <c r="GL277" s="74"/>
      <c r="GM277" s="74"/>
      <c r="GN277" s="74"/>
      <c r="GO277" s="74"/>
      <c r="GP277" s="74"/>
      <c r="GQ277" s="74"/>
      <c r="GR277" s="74"/>
      <c r="GS277" s="74"/>
      <c r="GT277" s="74"/>
      <c r="GU277" s="74"/>
      <c r="GV277" s="74"/>
      <c r="GW277" s="74"/>
      <c r="GX277" s="74"/>
      <c r="GY277" s="74"/>
      <c r="GZ277" s="74"/>
      <c r="HA277" s="74"/>
      <c r="HB277" s="74"/>
      <c r="HC277" s="74"/>
      <c r="HD277" s="74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5"/>
      <c r="FZ278" s="74"/>
      <c r="GA278" s="74"/>
      <c r="GB278" s="74"/>
      <c r="GC278" s="74"/>
      <c r="GD278" s="74"/>
      <c r="GE278" s="74"/>
      <c r="GF278" s="74"/>
      <c r="GG278" s="74"/>
      <c r="GH278" s="74"/>
      <c r="GI278" s="74"/>
      <c r="GJ278" s="74"/>
      <c r="GK278" s="74"/>
      <c r="GL278" s="74"/>
      <c r="GM278" s="74"/>
      <c r="GN278" s="74"/>
      <c r="GO278" s="74"/>
      <c r="GP278" s="74"/>
      <c r="GQ278" s="74"/>
      <c r="GR278" s="74"/>
      <c r="GS278" s="74"/>
      <c r="GT278" s="74"/>
      <c r="GU278" s="74"/>
      <c r="GV278" s="74"/>
      <c r="GW278" s="74"/>
      <c r="GX278" s="74"/>
      <c r="GY278" s="74"/>
      <c r="GZ278" s="74"/>
      <c r="HA278" s="74"/>
      <c r="HB278" s="74"/>
      <c r="HC278" s="74"/>
      <c r="HD278" s="74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5"/>
      <c r="FZ279" s="74"/>
      <c r="GA279" s="74"/>
      <c r="GB279" s="74"/>
      <c r="GC279" s="74"/>
      <c r="GD279" s="74"/>
      <c r="GE279" s="74"/>
      <c r="GF279" s="74"/>
      <c r="GG279" s="74"/>
      <c r="GH279" s="74"/>
      <c r="GI279" s="74"/>
      <c r="GJ279" s="74"/>
      <c r="GK279" s="74"/>
      <c r="GL279" s="74"/>
      <c r="GM279" s="74"/>
      <c r="GN279" s="74"/>
      <c r="GO279" s="74"/>
      <c r="GP279" s="74"/>
      <c r="GQ279" s="74"/>
      <c r="GR279" s="74"/>
      <c r="GS279" s="74"/>
      <c r="GT279" s="74"/>
      <c r="GU279" s="74"/>
      <c r="GV279" s="74"/>
      <c r="GW279" s="74"/>
      <c r="GX279" s="74"/>
      <c r="GY279" s="74"/>
      <c r="GZ279" s="74"/>
      <c r="HA279" s="74"/>
      <c r="HB279" s="74"/>
      <c r="HC279" s="74"/>
      <c r="HD279" s="74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5"/>
      <c r="FZ280" s="74"/>
      <c r="GA280" s="74"/>
      <c r="GB280" s="74"/>
      <c r="GC280" s="74"/>
      <c r="GD280" s="74"/>
      <c r="GE280" s="74"/>
      <c r="GF280" s="74"/>
      <c r="GG280" s="74"/>
      <c r="GH280" s="74"/>
      <c r="GI280" s="74"/>
      <c r="GJ280" s="74"/>
      <c r="GK280" s="74"/>
      <c r="GL280" s="74"/>
      <c r="GM280" s="74"/>
      <c r="GN280" s="74"/>
      <c r="GO280" s="74"/>
      <c r="GP280" s="74"/>
      <c r="GQ280" s="74"/>
      <c r="GR280" s="74"/>
      <c r="GS280" s="74"/>
      <c r="GT280" s="74"/>
      <c r="GU280" s="74"/>
      <c r="GV280" s="74"/>
      <c r="GW280" s="74"/>
      <c r="GX280" s="74"/>
      <c r="GY280" s="74"/>
      <c r="GZ280" s="74"/>
      <c r="HA280" s="74"/>
      <c r="HB280" s="74"/>
      <c r="HC280" s="74"/>
      <c r="HD280" s="74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5"/>
      <c r="FZ281" s="74"/>
      <c r="GA281" s="74"/>
      <c r="GB281" s="74"/>
      <c r="GC281" s="74"/>
      <c r="GD281" s="74"/>
      <c r="GE281" s="74"/>
      <c r="GF281" s="74"/>
      <c r="GG281" s="74"/>
      <c r="GH281" s="74"/>
      <c r="GI281" s="74"/>
      <c r="GJ281" s="74"/>
      <c r="GK281" s="74"/>
      <c r="GL281" s="74"/>
      <c r="GM281" s="74"/>
      <c r="GN281" s="74"/>
      <c r="GO281" s="74"/>
      <c r="GP281" s="74"/>
      <c r="GQ281" s="74"/>
      <c r="GR281" s="74"/>
      <c r="GS281" s="74"/>
      <c r="GT281" s="74"/>
      <c r="GU281" s="74"/>
      <c r="GV281" s="74"/>
      <c r="GW281" s="74"/>
      <c r="GX281" s="74"/>
      <c r="GY281" s="74"/>
      <c r="GZ281" s="74"/>
      <c r="HA281" s="74"/>
      <c r="HB281" s="74"/>
      <c r="HC281" s="74"/>
      <c r="HD281" s="74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5"/>
      <c r="FZ282" s="74"/>
      <c r="GA282" s="74"/>
      <c r="GB282" s="74"/>
      <c r="GC282" s="74"/>
      <c r="GD282" s="74"/>
      <c r="GE282" s="74"/>
      <c r="GF282" s="74"/>
      <c r="GG282" s="74"/>
      <c r="GH282" s="74"/>
      <c r="GI282" s="74"/>
      <c r="GJ282" s="74"/>
      <c r="GK282" s="74"/>
      <c r="GL282" s="74"/>
      <c r="GM282" s="74"/>
      <c r="GN282" s="74"/>
      <c r="GO282" s="74"/>
      <c r="GP282" s="74"/>
      <c r="GQ282" s="74"/>
      <c r="GR282" s="74"/>
      <c r="GS282" s="74"/>
      <c r="GT282" s="74"/>
      <c r="GU282" s="74"/>
      <c r="GV282" s="74"/>
      <c r="GW282" s="74"/>
      <c r="GX282" s="74"/>
      <c r="GY282" s="74"/>
      <c r="GZ282" s="74"/>
      <c r="HA282" s="74"/>
      <c r="HB282" s="74"/>
      <c r="HC282" s="74"/>
      <c r="HD282" s="74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5"/>
      <c r="FZ283" s="74"/>
      <c r="GA283" s="74"/>
      <c r="GB283" s="74"/>
      <c r="GC283" s="74"/>
      <c r="GD283" s="74"/>
      <c r="GE283" s="74"/>
      <c r="GF283" s="74"/>
      <c r="GG283" s="74"/>
      <c r="GH283" s="74"/>
      <c r="GI283" s="74"/>
      <c r="GJ283" s="74"/>
      <c r="GK283" s="74"/>
      <c r="GL283" s="74"/>
      <c r="GM283" s="74"/>
      <c r="GN283" s="74"/>
      <c r="GO283" s="74"/>
      <c r="GP283" s="74"/>
      <c r="GQ283" s="74"/>
      <c r="GR283" s="74"/>
      <c r="GS283" s="74"/>
      <c r="GT283" s="74"/>
      <c r="GU283" s="74"/>
      <c r="GV283" s="74"/>
      <c r="GW283" s="74"/>
      <c r="GX283" s="74"/>
      <c r="GY283" s="74"/>
      <c r="GZ283" s="74"/>
      <c r="HA283" s="74"/>
      <c r="HB283" s="74"/>
      <c r="HC283" s="74"/>
      <c r="HD283" s="74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5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74"/>
      <c r="GX284" s="74"/>
      <c r="GY284" s="74"/>
      <c r="GZ284" s="74"/>
      <c r="HA284" s="74"/>
      <c r="HB284" s="74"/>
      <c r="HC284" s="74"/>
      <c r="HD284" s="74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5"/>
      <c r="FZ285" s="74"/>
      <c r="GA285" s="74"/>
      <c r="GB285" s="74"/>
      <c r="GC285" s="74"/>
      <c r="GD285" s="74"/>
      <c r="GE285" s="74"/>
      <c r="GF285" s="74"/>
      <c r="GG285" s="74"/>
      <c r="GH285" s="74"/>
      <c r="GI285" s="74"/>
      <c r="GJ285" s="74"/>
      <c r="GK285" s="74"/>
      <c r="GL285" s="74"/>
      <c r="GM285" s="74"/>
      <c r="GN285" s="74"/>
      <c r="GO285" s="74"/>
      <c r="GP285" s="74"/>
      <c r="GQ285" s="74"/>
      <c r="GR285" s="74"/>
      <c r="GS285" s="74"/>
      <c r="GT285" s="74"/>
      <c r="GU285" s="74"/>
      <c r="GV285" s="74"/>
      <c r="GW285" s="74"/>
      <c r="GX285" s="74"/>
      <c r="GY285" s="74"/>
      <c r="GZ285" s="74"/>
      <c r="HA285" s="74"/>
      <c r="HB285" s="74"/>
      <c r="HC285" s="74"/>
      <c r="HD285" s="74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5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74"/>
      <c r="GX286" s="74"/>
      <c r="GY286" s="74"/>
      <c r="GZ286" s="74"/>
      <c r="HA286" s="74"/>
      <c r="HB286" s="74"/>
      <c r="HC286" s="74"/>
      <c r="HD286" s="74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5"/>
      <c r="FZ287" s="74"/>
      <c r="GA287" s="74"/>
      <c r="GB287" s="74"/>
      <c r="GC287" s="74"/>
      <c r="GD287" s="74"/>
      <c r="GE287" s="74"/>
      <c r="GF287" s="74"/>
      <c r="GG287" s="74"/>
      <c r="GH287" s="74"/>
      <c r="GI287" s="74"/>
      <c r="GJ287" s="74"/>
      <c r="GK287" s="74"/>
      <c r="GL287" s="74"/>
      <c r="GM287" s="74"/>
      <c r="GN287" s="74"/>
      <c r="GO287" s="74"/>
      <c r="GP287" s="74"/>
      <c r="GQ287" s="74"/>
      <c r="GR287" s="74"/>
      <c r="GS287" s="74"/>
      <c r="GT287" s="74"/>
      <c r="GU287" s="74"/>
      <c r="GV287" s="74"/>
      <c r="GW287" s="74"/>
      <c r="GX287" s="74"/>
      <c r="GY287" s="74"/>
      <c r="GZ287" s="74"/>
      <c r="HA287" s="74"/>
      <c r="HB287" s="74"/>
      <c r="HC287" s="74"/>
      <c r="HD287" s="74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5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74"/>
      <c r="GX288" s="74"/>
      <c r="GY288" s="74"/>
      <c r="GZ288" s="74"/>
      <c r="HA288" s="74"/>
      <c r="HB288" s="74"/>
      <c r="HC288" s="74"/>
      <c r="HD288" s="74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5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74"/>
      <c r="GX289" s="74"/>
      <c r="GY289" s="74"/>
      <c r="GZ289" s="74"/>
      <c r="HA289" s="74"/>
      <c r="HB289" s="74"/>
      <c r="HC289" s="74"/>
      <c r="HD289" s="74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5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5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5"/>
      <c r="FZ292" s="74"/>
      <c r="GA292" s="74"/>
      <c r="GB292" s="74"/>
      <c r="GC292" s="74"/>
      <c r="GD292" s="74"/>
      <c r="GE292" s="74"/>
      <c r="GF292" s="74"/>
      <c r="GG292" s="74"/>
      <c r="GH292" s="74"/>
      <c r="GI292" s="74"/>
      <c r="GJ292" s="74"/>
      <c r="GK292" s="74"/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5"/>
      <c r="FZ293" s="74"/>
      <c r="GA293" s="74"/>
      <c r="GB293" s="74"/>
      <c r="GC293" s="74"/>
      <c r="GD293" s="74"/>
      <c r="GE293" s="74"/>
      <c r="GF293" s="74"/>
      <c r="GG293" s="74"/>
      <c r="GH293" s="74"/>
      <c r="GI293" s="74"/>
      <c r="GJ293" s="74"/>
      <c r="GK293" s="74"/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74"/>
      <c r="GX293" s="74"/>
      <c r="GY293" s="74"/>
      <c r="GZ293" s="74"/>
      <c r="HA293" s="74"/>
      <c r="HB293" s="74"/>
      <c r="HC293" s="74"/>
      <c r="HD293" s="74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5"/>
      <c r="FZ294" s="74"/>
      <c r="GA294" s="74"/>
      <c r="GB294" s="74"/>
      <c r="GC294" s="74"/>
      <c r="GD294" s="74"/>
      <c r="GE294" s="74"/>
      <c r="GF294" s="74"/>
      <c r="GG294" s="74"/>
      <c r="GH294" s="74"/>
      <c r="GI294" s="74"/>
      <c r="GJ294" s="74"/>
      <c r="GK294" s="74"/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5"/>
      <c r="FZ295" s="74"/>
      <c r="GA295" s="74"/>
      <c r="GB295" s="74"/>
      <c r="GC295" s="74"/>
      <c r="GD295" s="74"/>
      <c r="GE295" s="74"/>
      <c r="GF295" s="74"/>
      <c r="GG295" s="74"/>
      <c r="GH295" s="74"/>
      <c r="GI295" s="74"/>
      <c r="GJ295" s="74"/>
      <c r="GK295" s="74"/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5"/>
      <c r="FZ296" s="74"/>
      <c r="GA296" s="74"/>
      <c r="GB296" s="74"/>
      <c r="GC296" s="74"/>
      <c r="GD296" s="74"/>
      <c r="GE296" s="74"/>
      <c r="GF296" s="74"/>
      <c r="GG296" s="74"/>
      <c r="GH296" s="74"/>
      <c r="GI296" s="74"/>
      <c r="GJ296" s="74"/>
      <c r="GK296" s="74"/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74"/>
      <c r="GX296" s="74"/>
      <c r="GY296" s="74"/>
      <c r="GZ296" s="74"/>
      <c r="HA296" s="74"/>
      <c r="HB296" s="74"/>
      <c r="HC296" s="74"/>
      <c r="HD296" s="74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5"/>
      <c r="FZ297" s="74"/>
      <c r="GA297" s="74"/>
      <c r="GB297" s="74"/>
      <c r="GC297" s="74"/>
      <c r="GD297" s="74"/>
      <c r="GE297" s="74"/>
      <c r="GF297" s="74"/>
      <c r="GG297" s="74"/>
      <c r="GH297" s="74"/>
      <c r="GI297" s="74"/>
      <c r="GJ297" s="74"/>
      <c r="GK297" s="74"/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74"/>
      <c r="GX297" s="74"/>
      <c r="GY297" s="74"/>
      <c r="GZ297" s="74"/>
      <c r="HA297" s="74"/>
      <c r="HB297" s="74"/>
      <c r="HC297" s="74"/>
      <c r="HD297" s="74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5"/>
      <c r="FZ298" s="74"/>
      <c r="GA298" s="74"/>
      <c r="GB298" s="74"/>
      <c r="GC298" s="74"/>
      <c r="GD298" s="74"/>
      <c r="GE298" s="74"/>
      <c r="GF298" s="74"/>
      <c r="GG298" s="74"/>
      <c r="GH298" s="74"/>
      <c r="GI298" s="74"/>
      <c r="GJ298" s="74"/>
      <c r="GK298" s="74"/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5"/>
      <c r="FZ299" s="74"/>
      <c r="GA299" s="74"/>
      <c r="GB299" s="74"/>
      <c r="GC299" s="74"/>
      <c r="GD299" s="74"/>
      <c r="GE299" s="74"/>
      <c r="GF299" s="74"/>
      <c r="GG299" s="74"/>
      <c r="GH299" s="74"/>
      <c r="GI299" s="74"/>
      <c r="GJ299" s="74"/>
      <c r="GK299" s="74"/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74"/>
      <c r="GX299" s="74"/>
      <c r="GY299" s="74"/>
      <c r="GZ299" s="74"/>
      <c r="HA299" s="74"/>
      <c r="HB299" s="74"/>
      <c r="HC299" s="74"/>
      <c r="HD299" s="74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5"/>
      <c r="FZ300" s="74"/>
      <c r="GA300" s="74"/>
      <c r="GB300" s="74"/>
      <c r="GC300" s="74"/>
      <c r="GD300" s="74"/>
      <c r="GE300" s="74"/>
      <c r="GF300" s="74"/>
      <c r="GG300" s="74"/>
      <c r="GH300" s="74"/>
      <c r="GI300" s="74"/>
      <c r="GJ300" s="74"/>
      <c r="GK300" s="74"/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5"/>
      <c r="FZ301" s="74"/>
      <c r="GA301" s="74"/>
      <c r="GB301" s="74"/>
      <c r="GC301" s="74"/>
      <c r="GD301" s="74"/>
      <c r="GE301" s="74"/>
      <c r="GF301" s="74"/>
      <c r="GG301" s="74"/>
      <c r="GH301" s="74"/>
      <c r="GI301" s="74"/>
      <c r="GJ301" s="74"/>
      <c r="GK301" s="74"/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5"/>
      <c r="FZ302" s="74"/>
      <c r="GA302" s="74"/>
      <c r="GB302" s="74"/>
      <c r="GC302" s="74"/>
      <c r="GD302" s="74"/>
      <c r="GE302" s="74"/>
      <c r="GF302" s="74"/>
      <c r="GG302" s="74"/>
      <c r="GH302" s="74"/>
      <c r="GI302" s="74"/>
      <c r="GJ302" s="74"/>
      <c r="GK302" s="74"/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5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5"/>
      <c r="FZ304" s="74"/>
      <c r="GA304" s="74"/>
      <c r="GB304" s="74"/>
      <c r="GC304" s="74"/>
      <c r="GD304" s="74"/>
      <c r="GE304" s="74"/>
      <c r="GF304" s="74"/>
      <c r="GG304" s="74"/>
      <c r="GH304" s="74"/>
      <c r="GI304" s="74"/>
      <c r="GJ304" s="74"/>
      <c r="GK304" s="74"/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74"/>
      <c r="GX304" s="74"/>
      <c r="GY304" s="74"/>
      <c r="GZ304" s="74"/>
      <c r="HA304" s="74"/>
      <c r="HB304" s="74"/>
      <c r="HC304" s="74"/>
      <c r="HD304" s="74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5"/>
      <c r="FZ305" s="74"/>
      <c r="GA305" s="74"/>
      <c r="GB305" s="74"/>
      <c r="GC305" s="74"/>
      <c r="GD305" s="74"/>
      <c r="GE305" s="74"/>
      <c r="GF305" s="74"/>
      <c r="GG305" s="74"/>
      <c r="GH305" s="74"/>
      <c r="GI305" s="74"/>
      <c r="GJ305" s="74"/>
      <c r="GK305" s="74"/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74"/>
      <c r="GX305" s="74"/>
      <c r="GY305" s="74"/>
      <c r="GZ305" s="74"/>
      <c r="HA305" s="74"/>
      <c r="HB305" s="74"/>
      <c r="HC305" s="74"/>
      <c r="HD305" s="74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5"/>
      <c r="FZ306" s="74"/>
      <c r="GA306" s="74"/>
      <c r="GB306" s="74"/>
      <c r="GC306" s="74"/>
      <c r="GD306" s="74"/>
      <c r="GE306" s="74"/>
      <c r="GF306" s="74"/>
      <c r="GG306" s="74"/>
      <c r="GH306" s="74"/>
      <c r="GI306" s="74"/>
      <c r="GJ306" s="74"/>
      <c r="GK306" s="74"/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74"/>
      <c r="GX306" s="74"/>
      <c r="GY306" s="74"/>
      <c r="GZ306" s="74"/>
      <c r="HA306" s="74"/>
      <c r="HB306" s="74"/>
      <c r="HC306" s="74"/>
      <c r="HD306" s="74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5"/>
      <c r="FZ307" s="74"/>
      <c r="GA307" s="74"/>
      <c r="GB307" s="74"/>
      <c r="GC307" s="74"/>
      <c r="GD307" s="74"/>
      <c r="GE307" s="74"/>
      <c r="GF307" s="74"/>
      <c r="GG307" s="74"/>
      <c r="GH307" s="74"/>
      <c r="GI307" s="74"/>
      <c r="GJ307" s="74"/>
      <c r="GK307" s="74"/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74"/>
      <c r="GX307" s="74"/>
      <c r="GY307" s="74"/>
      <c r="GZ307" s="74"/>
      <c r="HA307" s="74"/>
      <c r="HB307" s="74"/>
      <c r="HC307" s="74"/>
      <c r="HD307" s="74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5"/>
      <c r="FZ308" s="74"/>
      <c r="GA308" s="74"/>
      <c r="GB308" s="74"/>
      <c r="GC308" s="74"/>
      <c r="GD308" s="74"/>
      <c r="GE308" s="74"/>
      <c r="GF308" s="74"/>
      <c r="GG308" s="74"/>
      <c r="GH308" s="74"/>
      <c r="GI308" s="74"/>
      <c r="GJ308" s="74"/>
      <c r="GK308" s="74"/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74"/>
      <c r="GX308" s="74"/>
      <c r="GY308" s="74"/>
      <c r="GZ308" s="74"/>
      <c r="HA308" s="74"/>
      <c r="HB308" s="74"/>
      <c r="HC308" s="74"/>
      <c r="HD308" s="74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5"/>
      <c r="FZ309" s="74"/>
      <c r="GA309" s="74"/>
      <c r="GB309" s="74"/>
      <c r="GC309" s="74"/>
      <c r="GD309" s="74"/>
      <c r="GE309" s="74"/>
      <c r="GF309" s="74"/>
      <c r="GG309" s="74"/>
      <c r="GH309" s="74"/>
      <c r="GI309" s="74"/>
      <c r="GJ309" s="74"/>
      <c r="GK309" s="74"/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5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5"/>
      <c r="FZ311" s="74"/>
      <c r="GA311" s="74"/>
      <c r="GB311" s="74"/>
      <c r="GC311" s="74"/>
      <c r="GD311" s="74"/>
      <c r="GE311" s="74"/>
      <c r="GF311" s="74"/>
      <c r="GG311" s="74"/>
      <c r="GH311" s="74"/>
      <c r="GI311" s="74"/>
      <c r="GJ311" s="74"/>
      <c r="GK311" s="74"/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74"/>
      <c r="GX311" s="74"/>
      <c r="GY311" s="74"/>
      <c r="GZ311" s="74"/>
      <c r="HA311" s="74"/>
      <c r="HB311" s="74"/>
      <c r="HC311" s="74"/>
      <c r="HD311" s="74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5"/>
      <c r="FZ312" s="74"/>
      <c r="GA312" s="74"/>
      <c r="GB312" s="74"/>
      <c r="GC312" s="74"/>
      <c r="GD312" s="74"/>
      <c r="GE312" s="74"/>
      <c r="GF312" s="74"/>
      <c r="GG312" s="74"/>
      <c r="GH312" s="74"/>
      <c r="GI312" s="74"/>
      <c r="GJ312" s="74"/>
      <c r="GK312" s="74"/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74"/>
      <c r="GX312" s="74"/>
      <c r="GY312" s="74"/>
      <c r="GZ312" s="74"/>
      <c r="HA312" s="74"/>
      <c r="HB312" s="74"/>
      <c r="HC312" s="74"/>
      <c r="HD312" s="74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5"/>
      <c r="FZ313" s="74"/>
      <c r="GA313" s="74"/>
      <c r="GB313" s="74"/>
      <c r="GC313" s="74"/>
      <c r="GD313" s="74"/>
      <c r="GE313" s="74"/>
      <c r="GF313" s="74"/>
      <c r="GG313" s="74"/>
      <c r="GH313" s="74"/>
      <c r="GI313" s="74"/>
      <c r="GJ313" s="74"/>
      <c r="GK313" s="74"/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74"/>
      <c r="GX313" s="74"/>
      <c r="GY313" s="74"/>
      <c r="GZ313" s="74"/>
      <c r="HA313" s="74"/>
      <c r="HB313" s="74"/>
      <c r="HC313" s="74"/>
      <c r="HD313" s="74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5"/>
      <c r="FZ314" s="74"/>
      <c r="GA314" s="74"/>
      <c r="GB314" s="74"/>
      <c r="GC314" s="74"/>
      <c r="GD314" s="74"/>
      <c r="GE314" s="74"/>
      <c r="GF314" s="74"/>
      <c r="GG314" s="74"/>
      <c r="GH314" s="74"/>
      <c r="GI314" s="74"/>
      <c r="GJ314" s="74"/>
      <c r="GK314" s="74"/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74"/>
      <c r="GX314" s="74"/>
      <c r="GY314" s="74"/>
      <c r="GZ314" s="74"/>
      <c r="HA314" s="74"/>
      <c r="HB314" s="74"/>
      <c r="HC314" s="74"/>
      <c r="HD314" s="74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5"/>
      <c r="FZ315" s="74"/>
      <c r="GA315" s="74"/>
      <c r="GB315" s="74"/>
      <c r="GC315" s="74"/>
      <c r="GD315" s="74"/>
      <c r="GE315" s="74"/>
      <c r="GF315" s="74"/>
      <c r="GG315" s="74"/>
      <c r="GH315" s="74"/>
      <c r="GI315" s="74"/>
      <c r="GJ315" s="74"/>
      <c r="GK315" s="74"/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74"/>
      <c r="GX315" s="74"/>
      <c r="GY315" s="74"/>
      <c r="GZ315" s="74"/>
      <c r="HA315" s="74"/>
      <c r="HB315" s="74"/>
      <c r="HC315" s="74"/>
      <c r="HD315" s="74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5"/>
      <c r="FZ316" s="74"/>
      <c r="GA316" s="74"/>
      <c r="GB316" s="74"/>
      <c r="GC316" s="74"/>
      <c r="GD316" s="74"/>
      <c r="GE316" s="74"/>
      <c r="GF316" s="74"/>
      <c r="GG316" s="74"/>
      <c r="GH316" s="74"/>
      <c r="GI316" s="74"/>
      <c r="GJ316" s="74"/>
      <c r="GK316" s="74"/>
      <c r="GL316" s="74"/>
      <c r="GM316" s="74"/>
      <c r="GN316" s="74"/>
      <c r="GO316" s="74"/>
      <c r="GP316" s="74"/>
      <c r="GQ316" s="74"/>
      <c r="GR316" s="74"/>
      <c r="GS316" s="74"/>
      <c r="GT316" s="74"/>
      <c r="GU316" s="74"/>
      <c r="GV316" s="74"/>
      <c r="GW316" s="74"/>
      <c r="GX316" s="74"/>
      <c r="GY316" s="74"/>
      <c r="GZ316" s="74"/>
      <c r="HA316" s="74"/>
      <c r="HB316" s="74"/>
      <c r="HC316" s="74"/>
      <c r="HD316" s="74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5"/>
      <c r="FZ317" s="74"/>
      <c r="GA317" s="74"/>
      <c r="GB317" s="74"/>
      <c r="GC317" s="74"/>
      <c r="GD317" s="74"/>
      <c r="GE317" s="74"/>
      <c r="GF317" s="74"/>
      <c r="GG317" s="74"/>
      <c r="GH317" s="74"/>
      <c r="GI317" s="74"/>
      <c r="GJ317" s="74"/>
      <c r="GK317" s="74"/>
      <c r="GL317" s="74"/>
      <c r="GM317" s="74"/>
      <c r="GN317" s="74"/>
      <c r="GO317" s="74"/>
      <c r="GP317" s="74"/>
      <c r="GQ317" s="74"/>
      <c r="GR317" s="74"/>
      <c r="GS317" s="74"/>
      <c r="GT317" s="74"/>
      <c r="GU317" s="74"/>
      <c r="GV317" s="74"/>
      <c r="GW317" s="74"/>
      <c r="GX317" s="74"/>
      <c r="GY317" s="74"/>
      <c r="GZ317" s="74"/>
      <c r="HA317" s="74"/>
      <c r="HB317" s="74"/>
      <c r="HC317" s="74"/>
      <c r="HD317" s="74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5"/>
      <c r="FZ318" s="74"/>
      <c r="GA318" s="74"/>
      <c r="GB318" s="74"/>
      <c r="GC318" s="74"/>
      <c r="GD318" s="74"/>
      <c r="GE318" s="74"/>
      <c r="GF318" s="74"/>
      <c r="GG318" s="74"/>
      <c r="GH318" s="74"/>
      <c r="GI318" s="74"/>
      <c r="GJ318" s="74"/>
      <c r="GK318" s="74"/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74"/>
      <c r="GX318" s="74"/>
      <c r="GY318" s="74"/>
      <c r="GZ318" s="74"/>
      <c r="HA318" s="74"/>
      <c r="HB318" s="74"/>
      <c r="HC318" s="74"/>
      <c r="HD318" s="74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5"/>
      <c r="FZ319" s="74"/>
      <c r="GA319" s="74"/>
      <c r="GB319" s="74"/>
      <c r="GC319" s="74"/>
      <c r="GD319" s="74"/>
      <c r="GE319" s="74"/>
      <c r="GF319" s="74"/>
      <c r="GG319" s="74"/>
      <c r="GH319" s="74"/>
      <c r="GI319" s="74"/>
      <c r="GJ319" s="74"/>
      <c r="GK319" s="74"/>
      <c r="GL319" s="74"/>
      <c r="GM319" s="74"/>
      <c r="GN319" s="74"/>
      <c r="GO319" s="74"/>
      <c r="GP319" s="74"/>
      <c r="GQ319" s="74"/>
      <c r="GR319" s="74"/>
      <c r="GS319" s="74"/>
      <c r="GT319" s="74"/>
      <c r="GU319" s="74"/>
      <c r="GV319" s="74"/>
      <c r="GW319" s="74"/>
      <c r="GX319" s="74"/>
      <c r="GY319" s="74"/>
      <c r="GZ319" s="74"/>
      <c r="HA319" s="74"/>
      <c r="HB319" s="74"/>
      <c r="HC319" s="74"/>
      <c r="HD319" s="74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5"/>
      <c r="FZ320" s="74"/>
      <c r="GA320" s="74"/>
      <c r="GB320" s="74"/>
      <c r="GC320" s="74"/>
      <c r="GD320" s="74"/>
      <c r="GE320" s="74"/>
      <c r="GF320" s="74"/>
      <c r="GG320" s="74"/>
      <c r="GH320" s="74"/>
      <c r="GI320" s="74"/>
      <c r="GJ320" s="74"/>
      <c r="GK320" s="74"/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74"/>
      <c r="GX320" s="74"/>
      <c r="GY320" s="74"/>
      <c r="GZ320" s="74"/>
      <c r="HA320" s="74"/>
      <c r="HB320" s="74"/>
      <c r="HC320" s="74"/>
      <c r="HD320" s="74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5"/>
      <c r="FZ321" s="74"/>
      <c r="GA321" s="74"/>
      <c r="GB321" s="74"/>
      <c r="GC321" s="74"/>
      <c r="GD321" s="74"/>
      <c r="GE321" s="74"/>
      <c r="GF321" s="74"/>
      <c r="GG321" s="74"/>
      <c r="GH321" s="74"/>
      <c r="GI321" s="74"/>
      <c r="GJ321" s="74"/>
      <c r="GK321" s="74"/>
      <c r="GL321" s="74"/>
      <c r="GM321" s="74"/>
      <c r="GN321" s="74"/>
      <c r="GO321" s="74"/>
      <c r="GP321" s="74"/>
      <c r="GQ321" s="74"/>
      <c r="GR321" s="74"/>
      <c r="GS321" s="74"/>
      <c r="GT321" s="74"/>
      <c r="GU321" s="74"/>
      <c r="GV321" s="74"/>
      <c r="GW321" s="74"/>
      <c r="GX321" s="74"/>
      <c r="GY321" s="74"/>
      <c r="GZ321" s="74"/>
      <c r="HA321" s="74"/>
      <c r="HB321" s="74"/>
      <c r="HC321" s="74"/>
      <c r="HD321" s="74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5"/>
      <c r="FZ322" s="74"/>
      <c r="GA322" s="74"/>
      <c r="GB322" s="74"/>
      <c r="GC322" s="74"/>
      <c r="GD322" s="74"/>
      <c r="GE322" s="74"/>
      <c r="GF322" s="74"/>
      <c r="GG322" s="74"/>
      <c r="GH322" s="74"/>
      <c r="GI322" s="74"/>
      <c r="GJ322" s="74"/>
      <c r="GK322" s="74"/>
      <c r="GL322" s="74"/>
      <c r="GM322" s="74"/>
      <c r="GN322" s="74"/>
      <c r="GO322" s="74"/>
      <c r="GP322" s="74"/>
      <c r="GQ322" s="74"/>
      <c r="GR322" s="74"/>
      <c r="GS322" s="74"/>
      <c r="GT322" s="74"/>
      <c r="GU322" s="74"/>
      <c r="GV322" s="74"/>
      <c r="GW322" s="74"/>
      <c r="GX322" s="74"/>
      <c r="GY322" s="74"/>
      <c r="GZ322" s="74"/>
      <c r="HA322" s="74"/>
      <c r="HB322" s="74"/>
      <c r="HC322" s="74"/>
      <c r="HD322" s="74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5"/>
      <c r="FZ323" s="74"/>
      <c r="GA323" s="74"/>
      <c r="GB323" s="74"/>
      <c r="GC323" s="74"/>
      <c r="GD323" s="74"/>
      <c r="GE323" s="74"/>
      <c r="GF323" s="74"/>
      <c r="GG323" s="74"/>
      <c r="GH323" s="74"/>
      <c r="GI323" s="74"/>
      <c r="GJ323" s="74"/>
      <c r="GK323" s="74"/>
      <c r="GL323" s="74"/>
      <c r="GM323" s="74"/>
      <c r="GN323" s="74"/>
      <c r="GO323" s="74"/>
      <c r="GP323" s="74"/>
      <c r="GQ323" s="74"/>
      <c r="GR323" s="74"/>
      <c r="GS323" s="74"/>
      <c r="GT323" s="74"/>
      <c r="GU323" s="74"/>
      <c r="GV323" s="74"/>
      <c r="GW323" s="74"/>
      <c r="GX323" s="74"/>
      <c r="GY323" s="74"/>
      <c r="GZ323" s="74"/>
      <c r="HA323" s="74"/>
      <c r="HB323" s="74"/>
      <c r="HC323" s="74"/>
      <c r="HD323" s="74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5"/>
      <c r="FZ324" s="74"/>
      <c r="GA324" s="74"/>
      <c r="GB324" s="74"/>
      <c r="GC324" s="74"/>
      <c r="GD324" s="74"/>
      <c r="GE324" s="74"/>
      <c r="GF324" s="74"/>
      <c r="GG324" s="74"/>
      <c r="GH324" s="74"/>
      <c r="GI324" s="74"/>
      <c r="GJ324" s="74"/>
      <c r="GK324" s="74"/>
      <c r="GL324" s="74"/>
      <c r="GM324" s="74"/>
      <c r="GN324" s="74"/>
      <c r="GO324" s="74"/>
      <c r="GP324" s="74"/>
      <c r="GQ324" s="74"/>
      <c r="GR324" s="74"/>
      <c r="GS324" s="74"/>
      <c r="GT324" s="74"/>
      <c r="GU324" s="74"/>
      <c r="GV324" s="74"/>
      <c r="GW324" s="74"/>
      <c r="GX324" s="74"/>
      <c r="GY324" s="74"/>
      <c r="GZ324" s="74"/>
      <c r="HA324" s="74"/>
      <c r="HB324" s="74"/>
      <c r="HC324" s="74"/>
      <c r="HD324" s="74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5"/>
      <c r="FZ325" s="74"/>
      <c r="GA325" s="74"/>
      <c r="GB325" s="74"/>
      <c r="GC325" s="74"/>
      <c r="GD325" s="74"/>
      <c r="GE325" s="74"/>
      <c r="GF325" s="74"/>
      <c r="GG325" s="74"/>
      <c r="GH325" s="74"/>
      <c r="GI325" s="74"/>
      <c r="GJ325" s="74"/>
      <c r="GK325" s="74"/>
      <c r="GL325" s="74"/>
      <c r="GM325" s="74"/>
      <c r="GN325" s="74"/>
      <c r="GO325" s="74"/>
      <c r="GP325" s="74"/>
      <c r="GQ325" s="74"/>
      <c r="GR325" s="74"/>
      <c r="GS325" s="74"/>
      <c r="GT325" s="74"/>
      <c r="GU325" s="74"/>
      <c r="GV325" s="74"/>
      <c r="GW325" s="74"/>
      <c r="GX325" s="74"/>
      <c r="GY325" s="74"/>
      <c r="GZ325" s="74"/>
      <c r="HA325" s="74"/>
      <c r="HB325" s="74"/>
      <c r="HC325" s="74"/>
      <c r="HD325" s="74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5"/>
      <c r="FZ326" s="74"/>
      <c r="GA326" s="74"/>
      <c r="GB326" s="74"/>
      <c r="GC326" s="74"/>
      <c r="GD326" s="74"/>
      <c r="GE326" s="74"/>
      <c r="GF326" s="74"/>
      <c r="GG326" s="74"/>
      <c r="GH326" s="74"/>
      <c r="GI326" s="74"/>
      <c r="GJ326" s="74"/>
      <c r="GK326" s="74"/>
      <c r="GL326" s="74"/>
      <c r="GM326" s="74"/>
      <c r="GN326" s="74"/>
      <c r="GO326" s="74"/>
      <c r="GP326" s="74"/>
      <c r="GQ326" s="74"/>
      <c r="GR326" s="74"/>
      <c r="GS326" s="74"/>
      <c r="GT326" s="74"/>
      <c r="GU326" s="74"/>
      <c r="GV326" s="74"/>
      <c r="GW326" s="74"/>
      <c r="GX326" s="74"/>
      <c r="GY326" s="74"/>
      <c r="GZ326" s="74"/>
      <c r="HA326" s="74"/>
      <c r="HB326" s="74"/>
      <c r="HC326" s="74"/>
      <c r="HD326" s="74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5"/>
      <c r="FZ327" s="74"/>
      <c r="GA327" s="74"/>
      <c r="GB327" s="74"/>
      <c r="GC327" s="74"/>
      <c r="GD327" s="74"/>
      <c r="GE327" s="74"/>
      <c r="GF327" s="74"/>
      <c r="GG327" s="74"/>
      <c r="GH327" s="74"/>
      <c r="GI327" s="74"/>
      <c r="GJ327" s="74"/>
      <c r="GK327" s="74"/>
      <c r="GL327" s="74"/>
      <c r="GM327" s="74"/>
      <c r="GN327" s="74"/>
      <c r="GO327" s="74"/>
      <c r="GP327" s="74"/>
      <c r="GQ327" s="74"/>
      <c r="GR327" s="74"/>
      <c r="GS327" s="74"/>
      <c r="GT327" s="74"/>
      <c r="GU327" s="74"/>
      <c r="GV327" s="74"/>
      <c r="GW327" s="74"/>
      <c r="GX327" s="74"/>
      <c r="GY327" s="74"/>
      <c r="GZ327" s="74"/>
      <c r="HA327" s="74"/>
      <c r="HB327" s="74"/>
      <c r="HC327" s="74"/>
      <c r="HD327" s="74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5"/>
      <c r="FZ328" s="74"/>
      <c r="GA328" s="74"/>
      <c r="GB328" s="74"/>
      <c r="GC328" s="74"/>
      <c r="GD328" s="74"/>
      <c r="GE328" s="74"/>
      <c r="GF328" s="74"/>
      <c r="GG328" s="74"/>
      <c r="GH328" s="74"/>
      <c r="GI328" s="74"/>
      <c r="GJ328" s="74"/>
      <c r="GK328" s="74"/>
      <c r="GL328" s="74"/>
      <c r="GM328" s="74"/>
      <c r="GN328" s="74"/>
      <c r="GO328" s="74"/>
      <c r="GP328" s="74"/>
      <c r="GQ328" s="74"/>
      <c r="GR328" s="74"/>
      <c r="GS328" s="74"/>
      <c r="GT328" s="74"/>
      <c r="GU328" s="74"/>
      <c r="GV328" s="74"/>
      <c r="GW328" s="74"/>
      <c r="GX328" s="74"/>
      <c r="GY328" s="74"/>
      <c r="GZ328" s="74"/>
      <c r="HA328" s="74"/>
      <c r="HB328" s="74"/>
      <c r="HC328" s="74"/>
      <c r="HD328" s="74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5"/>
      <c r="FZ329" s="74"/>
      <c r="GA329" s="74"/>
      <c r="GB329" s="74"/>
      <c r="GC329" s="74"/>
      <c r="GD329" s="74"/>
      <c r="GE329" s="74"/>
      <c r="GF329" s="74"/>
      <c r="GG329" s="74"/>
      <c r="GH329" s="74"/>
      <c r="GI329" s="74"/>
      <c r="GJ329" s="74"/>
      <c r="GK329" s="74"/>
      <c r="GL329" s="74"/>
      <c r="GM329" s="74"/>
      <c r="GN329" s="74"/>
      <c r="GO329" s="74"/>
      <c r="GP329" s="74"/>
      <c r="GQ329" s="74"/>
      <c r="GR329" s="74"/>
      <c r="GS329" s="74"/>
      <c r="GT329" s="74"/>
      <c r="GU329" s="74"/>
      <c r="GV329" s="74"/>
      <c r="GW329" s="74"/>
      <c r="GX329" s="74"/>
      <c r="GY329" s="74"/>
      <c r="GZ329" s="74"/>
      <c r="HA329" s="74"/>
      <c r="HB329" s="74"/>
      <c r="HC329" s="74"/>
      <c r="HD329" s="74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5"/>
      <c r="FZ330" s="74"/>
      <c r="GA330" s="74"/>
      <c r="GB330" s="74"/>
      <c r="GC330" s="74"/>
      <c r="GD330" s="74"/>
      <c r="GE330" s="74"/>
      <c r="GF330" s="74"/>
      <c r="GG330" s="74"/>
      <c r="GH330" s="74"/>
      <c r="GI330" s="74"/>
      <c r="GJ330" s="74"/>
      <c r="GK330" s="74"/>
      <c r="GL330" s="74"/>
      <c r="GM330" s="74"/>
      <c r="GN330" s="74"/>
      <c r="GO330" s="74"/>
      <c r="GP330" s="74"/>
      <c r="GQ330" s="74"/>
      <c r="GR330" s="74"/>
      <c r="GS330" s="74"/>
      <c r="GT330" s="74"/>
      <c r="GU330" s="74"/>
      <c r="GV330" s="74"/>
      <c r="GW330" s="74"/>
      <c r="GX330" s="74"/>
      <c r="GY330" s="74"/>
      <c r="GZ330" s="74"/>
      <c r="HA330" s="74"/>
      <c r="HB330" s="74"/>
      <c r="HC330" s="74"/>
      <c r="HD330" s="74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5"/>
      <c r="FZ331" s="74"/>
      <c r="GA331" s="74"/>
      <c r="GB331" s="74"/>
      <c r="GC331" s="74"/>
      <c r="GD331" s="74"/>
      <c r="GE331" s="74"/>
      <c r="GF331" s="74"/>
      <c r="GG331" s="74"/>
      <c r="GH331" s="74"/>
      <c r="GI331" s="74"/>
      <c r="GJ331" s="74"/>
      <c r="GK331" s="74"/>
      <c r="GL331" s="74"/>
      <c r="GM331" s="74"/>
      <c r="GN331" s="74"/>
      <c r="GO331" s="74"/>
      <c r="GP331" s="74"/>
      <c r="GQ331" s="74"/>
      <c r="GR331" s="74"/>
      <c r="GS331" s="74"/>
      <c r="GT331" s="74"/>
      <c r="GU331" s="74"/>
      <c r="GV331" s="74"/>
      <c r="GW331" s="74"/>
      <c r="GX331" s="74"/>
      <c r="GY331" s="74"/>
      <c r="GZ331" s="74"/>
      <c r="HA331" s="74"/>
      <c r="HB331" s="74"/>
      <c r="HC331" s="74"/>
      <c r="HD331" s="74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5"/>
      <c r="FZ332" s="74"/>
      <c r="GA332" s="74"/>
      <c r="GB332" s="74"/>
      <c r="GC332" s="74"/>
      <c r="GD332" s="74"/>
      <c r="GE332" s="74"/>
      <c r="GF332" s="74"/>
      <c r="GG332" s="74"/>
      <c r="GH332" s="74"/>
      <c r="GI332" s="74"/>
      <c r="GJ332" s="74"/>
      <c r="GK332" s="74"/>
      <c r="GL332" s="74"/>
      <c r="GM332" s="74"/>
      <c r="GN332" s="74"/>
      <c r="GO332" s="74"/>
      <c r="GP332" s="74"/>
      <c r="GQ332" s="74"/>
      <c r="GR332" s="74"/>
      <c r="GS332" s="74"/>
      <c r="GT332" s="74"/>
      <c r="GU332" s="74"/>
      <c r="GV332" s="74"/>
      <c r="GW332" s="74"/>
      <c r="GX332" s="74"/>
      <c r="GY332" s="74"/>
      <c r="GZ332" s="74"/>
      <c r="HA332" s="74"/>
      <c r="HB332" s="74"/>
      <c r="HC332" s="74"/>
      <c r="HD332" s="74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5"/>
      <c r="FZ333" s="74"/>
      <c r="GA333" s="74"/>
      <c r="GB333" s="74"/>
      <c r="GC333" s="74"/>
      <c r="GD333" s="74"/>
      <c r="GE333" s="74"/>
      <c r="GF333" s="74"/>
      <c r="GG333" s="74"/>
      <c r="GH333" s="74"/>
      <c r="GI333" s="74"/>
      <c r="GJ333" s="74"/>
      <c r="GK333" s="74"/>
      <c r="GL333" s="74"/>
      <c r="GM333" s="74"/>
      <c r="GN333" s="74"/>
      <c r="GO333" s="74"/>
      <c r="GP333" s="74"/>
      <c r="GQ333" s="74"/>
      <c r="GR333" s="74"/>
      <c r="GS333" s="74"/>
      <c r="GT333" s="74"/>
      <c r="GU333" s="74"/>
      <c r="GV333" s="74"/>
      <c r="GW333" s="74"/>
      <c r="GX333" s="74"/>
      <c r="GY333" s="74"/>
      <c r="GZ333" s="74"/>
      <c r="HA333" s="74"/>
      <c r="HB333" s="74"/>
      <c r="HC333" s="74"/>
      <c r="HD333" s="74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5"/>
      <c r="FZ334" s="74"/>
      <c r="GA334" s="74"/>
      <c r="GB334" s="74"/>
      <c r="GC334" s="74"/>
      <c r="GD334" s="74"/>
      <c r="GE334" s="74"/>
      <c r="GF334" s="74"/>
      <c r="GG334" s="74"/>
      <c r="GH334" s="74"/>
      <c r="GI334" s="74"/>
      <c r="GJ334" s="74"/>
      <c r="GK334" s="74"/>
      <c r="GL334" s="74"/>
      <c r="GM334" s="74"/>
      <c r="GN334" s="74"/>
      <c r="GO334" s="74"/>
      <c r="GP334" s="74"/>
      <c r="GQ334" s="74"/>
      <c r="GR334" s="74"/>
      <c r="GS334" s="74"/>
      <c r="GT334" s="74"/>
      <c r="GU334" s="74"/>
      <c r="GV334" s="74"/>
      <c r="GW334" s="74"/>
      <c r="GX334" s="74"/>
      <c r="GY334" s="74"/>
      <c r="GZ334" s="74"/>
      <c r="HA334" s="74"/>
      <c r="HB334" s="74"/>
      <c r="HC334" s="74"/>
      <c r="HD334" s="74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5"/>
      <c r="FZ335" s="74"/>
      <c r="GA335" s="74"/>
      <c r="GB335" s="74"/>
      <c r="GC335" s="74"/>
      <c r="GD335" s="74"/>
      <c r="GE335" s="74"/>
      <c r="GF335" s="74"/>
      <c r="GG335" s="74"/>
      <c r="GH335" s="74"/>
      <c r="GI335" s="74"/>
      <c r="GJ335" s="74"/>
      <c r="GK335" s="74"/>
      <c r="GL335" s="74"/>
      <c r="GM335" s="74"/>
      <c r="GN335" s="74"/>
      <c r="GO335" s="74"/>
      <c r="GP335" s="74"/>
      <c r="GQ335" s="74"/>
      <c r="GR335" s="74"/>
      <c r="GS335" s="74"/>
      <c r="GT335" s="74"/>
      <c r="GU335" s="74"/>
      <c r="GV335" s="74"/>
      <c r="GW335" s="74"/>
      <c r="GX335" s="74"/>
      <c r="GY335" s="74"/>
      <c r="GZ335" s="74"/>
      <c r="HA335" s="74"/>
      <c r="HB335" s="74"/>
      <c r="HC335" s="74"/>
      <c r="HD335" s="74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5"/>
      <c r="FZ336" s="74"/>
      <c r="GA336" s="74"/>
      <c r="GB336" s="74"/>
      <c r="GC336" s="74"/>
      <c r="GD336" s="74"/>
      <c r="GE336" s="74"/>
      <c r="GF336" s="74"/>
      <c r="GG336" s="74"/>
      <c r="GH336" s="74"/>
      <c r="GI336" s="74"/>
      <c r="GJ336" s="74"/>
      <c r="GK336" s="74"/>
      <c r="GL336" s="74"/>
      <c r="GM336" s="74"/>
      <c r="GN336" s="74"/>
      <c r="GO336" s="74"/>
      <c r="GP336" s="74"/>
      <c r="GQ336" s="74"/>
      <c r="GR336" s="74"/>
      <c r="GS336" s="74"/>
      <c r="GT336" s="74"/>
      <c r="GU336" s="74"/>
      <c r="GV336" s="74"/>
      <c r="GW336" s="74"/>
      <c r="GX336" s="74"/>
      <c r="GY336" s="74"/>
      <c r="GZ336" s="74"/>
      <c r="HA336" s="74"/>
      <c r="HB336" s="74"/>
      <c r="HC336" s="74"/>
      <c r="HD336" s="74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5"/>
      <c r="FZ337" s="74"/>
      <c r="GA337" s="74"/>
      <c r="GB337" s="74"/>
      <c r="GC337" s="74"/>
      <c r="GD337" s="74"/>
      <c r="GE337" s="74"/>
      <c r="GF337" s="74"/>
      <c r="GG337" s="74"/>
      <c r="GH337" s="74"/>
      <c r="GI337" s="74"/>
      <c r="GJ337" s="74"/>
      <c r="GK337" s="74"/>
      <c r="GL337" s="74"/>
      <c r="GM337" s="74"/>
      <c r="GN337" s="74"/>
      <c r="GO337" s="74"/>
      <c r="GP337" s="74"/>
      <c r="GQ337" s="74"/>
      <c r="GR337" s="74"/>
      <c r="GS337" s="74"/>
      <c r="GT337" s="74"/>
      <c r="GU337" s="74"/>
      <c r="GV337" s="74"/>
      <c r="GW337" s="74"/>
      <c r="GX337" s="74"/>
      <c r="GY337" s="74"/>
      <c r="GZ337" s="74"/>
      <c r="HA337" s="74"/>
      <c r="HB337" s="74"/>
      <c r="HC337" s="74"/>
      <c r="HD337" s="74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5"/>
      <c r="FZ338" s="74"/>
      <c r="GA338" s="74"/>
      <c r="GB338" s="74"/>
      <c r="GC338" s="74"/>
      <c r="GD338" s="74"/>
      <c r="GE338" s="74"/>
      <c r="GF338" s="74"/>
      <c r="GG338" s="74"/>
      <c r="GH338" s="74"/>
      <c r="GI338" s="74"/>
      <c r="GJ338" s="74"/>
      <c r="GK338" s="74"/>
      <c r="GL338" s="74"/>
      <c r="GM338" s="74"/>
      <c r="GN338" s="74"/>
      <c r="GO338" s="74"/>
      <c r="GP338" s="74"/>
      <c r="GQ338" s="74"/>
      <c r="GR338" s="74"/>
      <c r="GS338" s="74"/>
      <c r="GT338" s="74"/>
      <c r="GU338" s="74"/>
      <c r="GV338" s="74"/>
      <c r="GW338" s="74"/>
      <c r="GX338" s="74"/>
      <c r="GY338" s="74"/>
      <c r="GZ338" s="74"/>
      <c r="HA338" s="74"/>
      <c r="HB338" s="74"/>
      <c r="HC338" s="74"/>
      <c r="HD338" s="74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5"/>
      <c r="FZ339" s="74"/>
      <c r="GA339" s="74"/>
      <c r="GB339" s="74"/>
      <c r="GC339" s="74"/>
      <c r="GD339" s="74"/>
      <c r="GE339" s="74"/>
      <c r="GF339" s="74"/>
      <c r="GG339" s="74"/>
      <c r="GH339" s="74"/>
      <c r="GI339" s="74"/>
      <c r="GJ339" s="74"/>
      <c r="GK339" s="74"/>
      <c r="GL339" s="74"/>
      <c r="GM339" s="74"/>
      <c r="GN339" s="74"/>
      <c r="GO339" s="74"/>
      <c r="GP339" s="74"/>
      <c r="GQ339" s="74"/>
      <c r="GR339" s="74"/>
      <c r="GS339" s="74"/>
      <c r="GT339" s="74"/>
      <c r="GU339" s="74"/>
      <c r="GV339" s="74"/>
      <c r="GW339" s="74"/>
      <c r="GX339" s="74"/>
      <c r="GY339" s="74"/>
      <c r="GZ339" s="74"/>
      <c r="HA339" s="74"/>
      <c r="HB339" s="74"/>
      <c r="HC339" s="74"/>
      <c r="HD339" s="74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5"/>
      <c r="FZ340" s="74"/>
      <c r="GA340" s="74"/>
      <c r="GB340" s="74"/>
      <c r="GC340" s="74"/>
      <c r="GD340" s="74"/>
      <c r="GE340" s="74"/>
      <c r="GF340" s="74"/>
      <c r="GG340" s="74"/>
      <c r="GH340" s="74"/>
      <c r="GI340" s="74"/>
      <c r="GJ340" s="74"/>
      <c r="GK340" s="74"/>
      <c r="GL340" s="74"/>
      <c r="GM340" s="74"/>
      <c r="GN340" s="74"/>
      <c r="GO340" s="74"/>
      <c r="GP340" s="74"/>
      <c r="GQ340" s="74"/>
      <c r="GR340" s="74"/>
      <c r="GS340" s="74"/>
      <c r="GT340" s="74"/>
      <c r="GU340" s="74"/>
      <c r="GV340" s="74"/>
      <c r="GW340" s="74"/>
      <c r="GX340" s="74"/>
      <c r="GY340" s="74"/>
      <c r="GZ340" s="74"/>
      <c r="HA340" s="74"/>
      <c r="HB340" s="74"/>
      <c r="HC340" s="74"/>
      <c r="HD340" s="74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5"/>
      <c r="FZ341" s="74"/>
      <c r="GA341" s="74"/>
      <c r="GB341" s="74"/>
      <c r="GC341" s="74"/>
      <c r="GD341" s="74"/>
      <c r="GE341" s="74"/>
      <c r="GF341" s="74"/>
      <c r="GG341" s="74"/>
      <c r="GH341" s="74"/>
      <c r="GI341" s="74"/>
      <c r="GJ341" s="74"/>
      <c r="GK341" s="74"/>
      <c r="GL341" s="74"/>
      <c r="GM341" s="74"/>
      <c r="GN341" s="74"/>
      <c r="GO341" s="74"/>
      <c r="GP341" s="74"/>
      <c r="GQ341" s="74"/>
      <c r="GR341" s="74"/>
      <c r="GS341" s="74"/>
      <c r="GT341" s="74"/>
      <c r="GU341" s="74"/>
      <c r="GV341" s="74"/>
      <c r="GW341" s="74"/>
      <c r="GX341" s="74"/>
      <c r="GY341" s="74"/>
      <c r="GZ341" s="74"/>
      <c r="HA341" s="74"/>
      <c r="HB341" s="74"/>
      <c r="HC341" s="74"/>
      <c r="HD341" s="74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5"/>
      <c r="FZ342" s="74"/>
      <c r="GA342" s="74"/>
      <c r="GB342" s="74"/>
      <c r="GC342" s="74"/>
      <c r="GD342" s="74"/>
      <c r="GE342" s="74"/>
      <c r="GF342" s="74"/>
      <c r="GG342" s="74"/>
      <c r="GH342" s="74"/>
      <c r="GI342" s="74"/>
      <c r="GJ342" s="74"/>
      <c r="GK342" s="74"/>
      <c r="GL342" s="74"/>
      <c r="GM342" s="74"/>
      <c r="GN342" s="74"/>
      <c r="GO342" s="74"/>
      <c r="GP342" s="74"/>
      <c r="GQ342" s="74"/>
      <c r="GR342" s="74"/>
      <c r="GS342" s="74"/>
      <c r="GT342" s="74"/>
      <c r="GU342" s="74"/>
      <c r="GV342" s="74"/>
      <c r="GW342" s="74"/>
      <c r="GX342" s="74"/>
      <c r="GY342" s="74"/>
      <c r="GZ342" s="74"/>
      <c r="HA342" s="74"/>
      <c r="HB342" s="74"/>
      <c r="HC342" s="74"/>
      <c r="HD342" s="74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5"/>
      <c r="FZ343" s="74"/>
      <c r="GA343" s="74"/>
      <c r="GB343" s="74"/>
      <c r="GC343" s="74"/>
      <c r="GD343" s="74"/>
      <c r="GE343" s="74"/>
      <c r="GF343" s="74"/>
      <c r="GG343" s="74"/>
      <c r="GH343" s="74"/>
      <c r="GI343" s="74"/>
      <c r="GJ343" s="74"/>
      <c r="GK343" s="74"/>
      <c r="GL343" s="74"/>
      <c r="GM343" s="74"/>
      <c r="GN343" s="74"/>
      <c r="GO343" s="74"/>
      <c r="GP343" s="74"/>
      <c r="GQ343" s="74"/>
      <c r="GR343" s="74"/>
      <c r="GS343" s="74"/>
      <c r="GT343" s="74"/>
      <c r="GU343" s="74"/>
      <c r="GV343" s="74"/>
      <c r="GW343" s="74"/>
      <c r="GX343" s="74"/>
      <c r="GY343" s="74"/>
      <c r="GZ343" s="74"/>
      <c r="HA343" s="74"/>
      <c r="HB343" s="74"/>
      <c r="HC343" s="74"/>
      <c r="HD343" s="74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5"/>
      <c r="FZ344" s="74"/>
      <c r="GA344" s="74"/>
      <c r="GB344" s="74"/>
      <c r="GC344" s="74"/>
      <c r="GD344" s="74"/>
      <c r="GE344" s="74"/>
      <c r="GF344" s="74"/>
      <c r="GG344" s="74"/>
      <c r="GH344" s="74"/>
      <c r="GI344" s="74"/>
      <c r="GJ344" s="74"/>
      <c r="GK344" s="74"/>
      <c r="GL344" s="74"/>
      <c r="GM344" s="74"/>
      <c r="GN344" s="74"/>
      <c r="GO344" s="74"/>
      <c r="GP344" s="74"/>
      <c r="GQ344" s="74"/>
      <c r="GR344" s="74"/>
      <c r="GS344" s="74"/>
      <c r="GT344" s="74"/>
      <c r="GU344" s="74"/>
      <c r="GV344" s="74"/>
      <c r="GW344" s="74"/>
      <c r="GX344" s="74"/>
      <c r="GY344" s="74"/>
      <c r="GZ344" s="74"/>
      <c r="HA344" s="74"/>
      <c r="HB344" s="74"/>
      <c r="HC344" s="74"/>
      <c r="HD344" s="74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5"/>
      <c r="FZ345" s="74"/>
      <c r="GA345" s="74"/>
      <c r="GB345" s="74"/>
      <c r="GC345" s="74"/>
      <c r="GD345" s="74"/>
      <c r="GE345" s="74"/>
      <c r="GF345" s="74"/>
      <c r="GG345" s="74"/>
      <c r="GH345" s="74"/>
      <c r="GI345" s="74"/>
      <c r="GJ345" s="74"/>
      <c r="GK345" s="74"/>
      <c r="GL345" s="74"/>
      <c r="GM345" s="74"/>
      <c r="GN345" s="74"/>
      <c r="GO345" s="74"/>
      <c r="GP345" s="74"/>
      <c r="GQ345" s="74"/>
      <c r="GR345" s="74"/>
      <c r="GS345" s="74"/>
      <c r="GT345" s="74"/>
      <c r="GU345" s="74"/>
      <c r="GV345" s="74"/>
      <c r="GW345" s="74"/>
      <c r="GX345" s="74"/>
      <c r="GY345" s="74"/>
      <c r="GZ345" s="74"/>
      <c r="HA345" s="74"/>
      <c r="HB345" s="74"/>
      <c r="HC345" s="74"/>
      <c r="HD345" s="74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5"/>
      <c r="FZ346" s="74"/>
      <c r="GA346" s="74"/>
      <c r="GB346" s="74"/>
      <c r="GC346" s="74"/>
      <c r="GD346" s="74"/>
      <c r="GE346" s="74"/>
      <c r="GF346" s="74"/>
      <c r="GG346" s="74"/>
      <c r="GH346" s="74"/>
      <c r="GI346" s="74"/>
      <c r="GJ346" s="74"/>
      <c r="GK346" s="74"/>
      <c r="GL346" s="74"/>
      <c r="GM346" s="74"/>
      <c r="GN346" s="74"/>
      <c r="GO346" s="74"/>
      <c r="GP346" s="74"/>
      <c r="GQ346" s="74"/>
      <c r="GR346" s="74"/>
      <c r="GS346" s="74"/>
      <c r="GT346" s="74"/>
      <c r="GU346" s="74"/>
      <c r="GV346" s="74"/>
      <c r="GW346" s="74"/>
      <c r="GX346" s="74"/>
      <c r="GY346" s="74"/>
      <c r="GZ346" s="74"/>
      <c r="HA346" s="74"/>
      <c r="HB346" s="74"/>
      <c r="HC346" s="74"/>
      <c r="HD346" s="74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5"/>
      <c r="FZ347" s="74"/>
      <c r="GA347" s="74"/>
      <c r="GB347" s="74"/>
      <c r="GC347" s="74"/>
      <c r="GD347" s="74"/>
      <c r="GE347" s="74"/>
      <c r="GF347" s="74"/>
      <c r="GG347" s="74"/>
      <c r="GH347" s="74"/>
      <c r="GI347" s="74"/>
      <c r="GJ347" s="74"/>
      <c r="GK347" s="74"/>
      <c r="GL347" s="74"/>
      <c r="GM347" s="74"/>
      <c r="GN347" s="74"/>
      <c r="GO347" s="74"/>
      <c r="GP347" s="74"/>
      <c r="GQ347" s="74"/>
      <c r="GR347" s="74"/>
      <c r="GS347" s="74"/>
      <c r="GT347" s="74"/>
      <c r="GU347" s="74"/>
      <c r="GV347" s="74"/>
      <c r="GW347" s="74"/>
      <c r="GX347" s="74"/>
      <c r="GY347" s="74"/>
      <c r="GZ347" s="74"/>
      <c r="HA347" s="74"/>
      <c r="HB347" s="74"/>
      <c r="HC347" s="74"/>
      <c r="HD347" s="74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5"/>
      <c r="FZ348" s="74"/>
      <c r="GA348" s="74"/>
      <c r="GB348" s="74"/>
      <c r="GC348" s="74"/>
      <c r="GD348" s="74"/>
      <c r="GE348" s="74"/>
      <c r="GF348" s="74"/>
      <c r="GG348" s="74"/>
      <c r="GH348" s="74"/>
      <c r="GI348" s="74"/>
      <c r="GJ348" s="74"/>
      <c r="GK348" s="74"/>
      <c r="GL348" s="74"/>
      <c r="GM348" s="74"/>
      <c r="GN348" s="74"/>
      <c r="GO348" s="74"/>
      <c r="GP348" s="74"/>
      <c r="GQ348" s="74"/>
      <c r="GR348" s="74"/>
      <c r="GS348" s="74"/>
      <c r="GT348" s="74"/>
      <c r="GU348" s="74"/>
      <c r="GV348" s="74"/>
      <c r="GW348" s="74"/>
      <c r="GX348" s="74"/>
      <c r="GY348" s="74"/>
      <c r="GZ348" s="74"/>
      <c r="HA348" s="74"/>
      <c r="HB348" s="74"/>
      <c r="HC348" s="74"/>
      <c r="HD348" s="74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5"/>
      <c r="FZ349" s="74"/>
      <c r="GA349" s="74"/>
      <c r="GB349" s="74"/>
      <c r="GC349" s="74"/>
      <c r="GD349" s="74"/>
      <c r="GE349" s="74"/>
      <c r="GF349" s="74"/>
      <c r="GG349" s="74"/>
      <c r="GH349" s="74"/>
      <c r="GI349" s="74"/>
      <c r="GJ349" s="74"/>
      <c r="GK349" s="74"/>
      <c r="GL349" s="74"/>
      <c r="GM349" s="74"/>
      <c r="GN349" s="74"/>
      <c r="GO349" s="74"/>
      <c r="GP349" s="74"/>
      <c r="GQ349" s="74"/>
      <c r="GR349" s="74"/>
      <c r="GS349" s="74"/>
      <c r="GT349" s="74"/>
      <c r="GU349" s="74"/>
      <c r="GV349" s="74"/>
      <c r="GW349" s="74"/>
      <c r="GX349" s="74"/>
      <c r="GY349" s="74"/>
      <c r="GZ349" s="74"/>
      <c r="HA349" s="74"/>
      <c r="HB349" s="74"/>
      <c r="HC349" s="74"/>
      <c r="HD349" s="74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5"/>
      <c r="FZ350" s="74"/>
      <c r="GA350" s="74"/>
      <c r="GB350" s="74"/>
      <c r="GC350" s="74"/>
      <c r="GD350" s="74"/>
      <c r="GE350" s="74"/>
      <c r="GF350" s="74"/>
      <c r="GG350" s="74"/>
      <c r="GH350" s="74"/>
      <c r="GI350" s="74"/>
      <c r="GJ350" s="74"/>
      <c r="GK350" s="74"/>
      <c r="GL350" s="74"/>
      <c r="GM350" s="74"/>
      <c r="GN350" s="74"/>
      <c r="GO350" s="74"/>
      <c r="GP350" s="74"/>
      <c r="GQ350" s="74"/>
      <c r="GR350" s="74"/>
      <c r="GS350" s="74"/>
      <c r="GT350" s="74"/>
      <c r="GU350" s="74"/>
      <c r="GV350" s="74"/>
      <c r="GW350" s="74"/>
      <c r="GX350" s="74"/>
      <c r="GY350" s="74"/>
      <c r="GZ350" s="74"/>
      <c r="HA350" s="74"/>
      <c r="HB350" s="74"/>
      <c r="HC350" s="74"/>
      <c r="HD350" s="74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5"/>
      <c r="FZ351" s="74"/>
      <c r="GA351" s="74"/>
      <c r="GB351" s="74"/>
      <c r="GC351" s="74"/>
      <c r="GD351" s="74"/>
      <c r="GE351" s="74"/>
      <c r="GF351" s="74"/>
      <c r="GG351" s="74"/>
      <c r="GH351" s="74"/>
      <c r="GI351" s="74"/>
      <c r="GJ351" s="74"/>
      <c r="GK351" s="74"/>
      <c r="GL351" s="74"/>
      <c r="GM351" s="74"/>
      <c r="GN351" s="74"/>
      <c r="GO351" s="74"/>
      <c r="GP351" s="74"/>
      <c r="GQ351" s="74"/>
      <c r="GR351" s="74"/>
      <c r="GS351" s="74"/>
      <c r="GT351" s="74"/>
      <c r="GU351" s="74"/>
      <c r="GV351" s="74"/>
      <c r="GW351" s="74"/>
      <c r="GX351" s="74"/>
      <c r="GY351" s="74"/>
      <c r="GZ351" s="74"/>
      <c r="HA351" s="74"/>
      <c r="HB351" s="74"/>
      <c r="HC351" s="74"/>
      <c r="HD351" s="74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5"/>
      <c r="FZ352" s="74"/>
      <c r="GA352" s="74"/>
      <c r="GB352" s="74"/>
      <c r="GC352" s="74"/>
      <c r="GD352" s="74"/>
      <c r="GE352" s="74"/>
      <c r="GF352" s="74"/>
      <c r="GG352" s="74"/>
      <c r="GH352" s="74"/>
      <c r="GI352" s="74"/>
      <c r="GJ352" s="74"/>
      <c r="GK352" s="74"/>
      <c r="GL352" s="74"/>
      <c r="GM352" s="74"/>
      <c r="GN352" s="74"/>
      <c r="GO352" s="74"/>
      <c r="GP352" s="74"/>
      <c r="GQ352" s="74"/>
      <c r="GR352" s="74"/>
      <c r="GS352" s="74"/>
      <c r="GT352" s="74"/>
      <c r="GU352" s="74"/>
      <c r="GV352" s="74"/>
      <c r="GW352" s="74"/>
      <c r="GX352" s="74"/>
      <c r="GY352" s="74"/>
      <c r="GZ352" s="74"/>
      <c r="HA352" s="74"/>
      <c r="HB352" s="74"/>
      <c r="HC352" s="74"/>
      <c r="HD352" s="74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5"/>
      <c r="FZ353" s="74"/>
      <c r="GA353" s="74"/>
      <c r="GB353" s="74"/>
      <c r="GC353" s="74"/>
      <c r="GD353" s="74"/>
      <c r="GE353" s="74"/>
      <c r="GF353" s="74"/>
      <c r="GG353" s="74"/>
      <c r="GH353" s="74"/>
      <c r="GI353" s="74"/>
      <c r="GJ353" s="74"/>
      <c r="GK353" s="74"/>
      <c r="GL353" s="74"/>
      <c r="GM353" s="74"/>
      <c r="GN353" s="74"/>
      <c r="GO353" s="74"/>
      <c r="GP353" s="74"/>
      <c r="GQ353" s="74"/>
      <c r="GR353" s="74"/>
      <c r="GS353" s="74"/>
      <c r="GT353" s="74"/>
      <c r="GU353" s="74"/>
      <c r="GV353" s="74"/>
      <c r="GW353" s="74"/>
      <c r="GX353" s="74"/>
      <c r="GY353" s="74"/>
      <c r="GZ353" s="74"/>
      <c r="HA353" s="74"/>
      <c r="HB353" s="74"/>
      <c r="HC353" s="74"/>
      <c r="HD353" s="74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5"/>
      <c r="FZ354" s="74"/>
      <c r="GA354" s="74"/>
      <c r="GB354" s="74"/>
      <c r="GC354" s="74"/>
      <c r="GD354" s="74"/>
      <c r="GE354" s="74"/>
      <c r="GF354" s="74"/>
      <c r="GG354" s="74"/>
      <c r="GH354" s="74"/>
      <c r="GI354" s="74"/>
      <c r="GJ354" s="74"/>
      <c r="GK354" s="74"/>
      <c r="GL354" s="74"/>
      <c r="GM354" s="74"/>
      <c r="GN354" s="74"/>
      <c r="GO354" s="74"/>
      <c r="GP354" s="74"/>
      <c r="GQ354" s="74"/>
      <c r="GR354" s="74"/>
      <c r="GS354" s="74"/>
      <c r="GT354" s="74"/>
      <c r="GU354" s="74"/>
      <c r="GV354" s="74"/>
      <c r="GW354" s="74"/>
      <c r="GX354" s="74"/>
      <c r="GY354" s="74"/>
      <c r="GZ354" s="74"/>
      <c r="HA354" s="74"/>
      <c r="HB354" s="74"/>
      <c r="HC354" s="74"/>
      <c r="HD354" s="74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5"/>
      <c r="FZ355" s="74"/>
      <c r="GA355" s="74"/>
      <c r="GB355" s="74"/>
      <c r="GC355" s="74"/>
      <c r="GD355" s="74"/>
      <c r="GE355" s="74"/>
      <c r="GF355" s="74"/>
      <c r="GG355" s="74"/>
      <c r="GH355" s="74"/>
      <c r="GI355" s="74"/>
      <c r="GJ355" s="74"/>
      <c r="GK355" s="74"/>
      <c r="GL355" s="74"/>
      <c r="GM355" s="74"/>
      <c r="GN355" s="74"/>
      <c r="GO355" s="74"/>
      <c r="GP355" s="74"/>
      <c r="GQ355" s="74"/>
      <c r="GR355" s="74"/>
      <c r="GS355" s="74"/>
      <c r="GT355" s="74"/>
      <c r="GU355" s="74"/>
      <c r="GV355" s="74"/>
      <c r="GW355" s="74"/>
      <c r="GX355" s="74"/>
      <c r="GY355" s="74"/>
      <c r="GZ355" s="74"/>
      <c r="HA355" s="74"/>
      <c r="HB355" s="74"/>
      <c r="HC355" s="74"/>
      <c r="HD355" s="74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5"/>
      <c r="FZ356" s="74"/>
      <c r="GA356" s="74"/>
      <c r="GB356" s="74"/>
      <c r="GC356" s="74"/>
      <c r="GD356" s="74"/>
      <c r="GE356" s="74"/>
      <c r="GF356" s="74"/>
      <c r="GG356" s="74"/>
      <c r="GH356" s="74"/>
      <c r="GI356" s="74"/>
      <c r="GJ356" s="74"/>
      <c r="GK356" s="74"/>
      <c r="GL356" s="74"/>
      <c r="GM356" s="74"/>
      <c r="GN356" s="74"/>
      <c r="GO356" s="74"/>
      <c r="GP356" s="74"/>
      <c r="GQ356" s="74"/>
      <c r="GR356" s="74"/>
      <c r="GS356" s="74"/>
      <c r="GT356" s="74"/>
      <c r="GU356" s="74"/>
      <c r="GV356" s="74"/>
      <c r="GW356" s="74"/>
      <c r="GX356" s="74"/>
      <c r="GY356" s="74"/>
      <c r="GZ356" s="74"/>
      <c r="HA356" s="74"/>
      <c r="HB356" s="74"/>
      <c r="HC356" s="74"/>
      <c r="HD356" s="74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5"/>
      <c r="FZ357" s="74"/>
      <c r="GA357" s="74"/>
      <c r="GB357" s="74"/>
      <c r="GC357" s="74"/>
      <c r="GD357" s="74"/>
      <c r="GE357" s="74"/>
      <c r="GF357" s="74"/>
      <c r="GG357" s="74"/>
      <c r="GH357" s="74"/>
      <c r="GI357" s="74"/>
      <c r="GJ357" s="74"/>
      <c r="GK357" s="74"/>
      <c r="GL357" s="74"/>
      <c r="GM357" s="74"/>
      <c r="GN357" s="74"/>
      <c r="GO357" s="74"/>
      <c r="GP357" s="74"/>
      <c r="GQ357" s="74"/>
      <c r="GR357" s="74"/>
      <c r="GS357" s="74"/>
      <c r="GT357" s="74"/>
      <c r="GU357" s="74"/>
      <c r="GV357" s="74"/>
      <c r="GW357" s="74"/>
      <c r="GX357" s="74"/>
      <c r="GY357" s="74"/>
      <c r="GZ357" s="74"/>
      <c r="HA357" s="74"/>
      <c r="HB357" s="74"/>
      <c r="HC357" s="74"/>
      <c r="HD357" s="74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5"/>
      <c r="FZ358" s="74"/>
      <c r="GA358" s="74"/>
      <c r="GB358" s="74"/>
      <c r="GC358" s="74"/>
      <c r="GD358" s="74"/>
      <c r="GE358" s="74"/>
      <c r="GF358" s="74"/>
      <c r="GG358" s="74"/>
      <c r="GH358" s="74"/>
      <c r="GI358" s="74"/>
      <c r="GJ358" s="74"/>
      <c r="GK358" s="74"/>
      <c r="GL358" s="74"/>
      <c r="GM358" s="74"/>
      <c r="GN358" s="74"/>
      <c r="GO358" s="74"/>
      <c r="GP358" s="74"/>
      <c r="GQ358" s="74"/>
      <c r="GR358" s="74"/>
      <c r="GS358" s="74"/>
      <c r="GT358" s="74"/>
      <c r="GU358" s="74"/>
      <c r="GV358" s="74"/>
      <c r="GW358" s="74"/>
      <c r="GX358" s="74"/>
      <c r="GY358" s="74"/>
      <c r="GZ358" s="74"/>
      <c r="HA358" s="74"/>
      <c r="HB358" s="74"/>
      <c r="HC358" s="74"/>
      <c r="HD358" s="74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5"/>
      <c r="FZ359" s="74"/>
      <c r="GA359" s="74"/>
      <c r="GB359" s="74"/>
      <c r="GC359" s="74"/>
      <c r="GD359" s="74"/>
      <c r="GE359" s="74"/>
      <c r="GF359" s="74"/>
      <c r="GG359" s="74"/>
      <c r="GH359" s="74"/>
      <c r="GI359" s="74"/>
      <c r="GJ359" s="74"/>
      <c r="GK359" s="74"/>
      <c r="GL359" s="74"/>
      <c r="GM359" s="74"/>
      <c r="GN359" s="74"/>
      <c r="GO359" s="74"/>
      <c r="GP359" s="74"/>
      <c r="GQ359" s="74"/>
      <c r="GR359" s="74"/>
      <c r="GS359" s="74"/>
      <c r="GT359" s="74"/>
      <c r="GU359" s="74"/>
      <c r="GV359" s="74"/>
      <c r="GW359" s="74"/>
      <c r="GX359" s="74"/>
      <c r="GY359" s="74"/>
      <c r="GZ359" s="74"/>
      <c r="HA359" s="74"/>
      <c r="HB359" s="74"/>
      <c r="HC359" s="74"/>
      <c r="HD359" s="74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5"/>
      <c r="FZ360" s="74"/>
      <c r="GA360" s="74"/>
      <c r="GB360" s="74"/>
      <c r="GC360" s="74"/>
      <c r="GD360" s="74"/>
      <c r="GE360" s="74"/>
      <c r="GF360" s="74"/>
      <c r="GG360" s="74"/>
      <c r="GH360" s="74"/>
      <c r="GI360" s="74"/>
      <c r="GJ360" s="74"/>
      <c r="GK360" s="74"/>
      <c r="GL360" s="74"/>
      <c r="GM360" s="74"/>
      <c r="GN360" s="74"/>
      <c r="GO360" s="74"/>
      <c r="GP360" s="74"/>
      <c r="GQ360" s="74"/>
      <c r="GR360" s="74"/>
      <c r="GS360" s="74"/>
      <c r="GT360" s="74"/>
      <c r="GU360" s="74"/>
      <c r="GV360" s="74"/>
      <c r="GW360" s="74"/>
      <c r="GX360" s="74"/>
      <c r="GY360" s="74"/>
      <c r="GZ360" s="74"/>
      <c r="HA360" s="74"/>
      <c r="HB360" s="74"/>
      <c r="HC360" s="74"/>
      <c r="HD360" s="74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5"/>
      <c r="FZ361" s="74"/>
      <c r="GA361" s="74"/>
      <c r="GB361" s="74"/>
      <c r="GC361" s="74"/>
      <c r="GD361" s="74"/>
      <c r="GE361" s="74"/>
      <c r="GF361" s="74"/>
      <c r="GG361" s="74"/>
      <c r="GH361" s="74"/>
      <c r="GI361" s="74"/>
      <c r="GJ361" s="74"/>
      <c r="GK361" s="74"/>
      <c r="GL361" s="74"/>
      <c r="GM361" s="74"/>
      <c r="GN361" s="74"/>
      <c r="GO361" s="74"/>
      <c r="GP361" s="74"/>
      <c r="GQ361" s="74"/>
      <c r="GR361" s="74"/>
      <c r="GS361" s="74"/>
      <c r="GT361" s="74"/>
      <c r="GU361" s="74"/>
      <c r="GV361" s="74"/>
      <c r="GW361" s="74"/>
      <c r="GX361" s="74"/>
      <c r="GY361" s="74"/>
      <c r="GZ361" s="74"/>
      <c r="HA361" s="74"/>
      <c r="HB361" s="74"/>
      <c r="HC361" s="74"/>
      <c r="HD361" s="74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5"/>
      <c r="FZ362" s="74"/>
      <c r="GA362" s="74"/>
      <c r="GB362" s="74"/>
      <c r="GC362" s="74"/>
      <c r="GD362" s="74"/>
      <c r="GE362" s="74"/>
      <c r="GF362" s="74"/>
      <c r="GG362" s="74"/>
      <c r="GH362" s="74"/>
      <c r="GI362" s="74"/>
      <c r="GJ362" s="74"/>
      <c r="GK362" s="74"/>
      <c r="GL362" s="74"/>
      <c r="GM362" s="74"/>
      <c r="GN362" s="74"/>
      <c r="GO362" s="74"/>
      <c r="GP362" s="74"/>
      <c r="GQ362" s="74"/>
      <c r="GR362" s="74"/>
      <c r="GS362" s="74"/>
      <c r="GT362" s="74"/>
      <c r="GU362" s="74"/>
      <c r="GV362" s="74"/>
      <c r="GW362" s="74"/>
      <c r="GX362" s="74"/>
      <c r="GY362" s="74"/>
      <c r="GZ362" s="74"/>
      <c r="HA362" s="74"/>
      <c r="HB362" s="74"/>
      <c r="HC362" s="74"/>
      <c r="HD362" s="74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5"/>
      <c r="FZ363" s="74"/>
      <c r="GA363" s="74"/>
      <c r="GB363" s="74"/>
      <c r="GC363" s="74"/>
      <c r="GD363" s="74"/>
      <c r="GE363" s="74"/>
      <c r="GF363" s="74"/>
      <c r="GG363" s="74"/>
      <c r="GH363" s="74"/>
      <c r="GI363" s="74"/>
      <c r="GJ363" s="74"/>
      <c r="GK363" s="74"/>
      <c r="GL363" s="74"/>
      <c r="GM363" s="74"/>
      <c r="GN363" s="74"/>
      <c r="GO363" s="74"/>
      <c r="GP363" s="74"/>
      <c r="GQ363" s="74"/>
      <c r="GR363" s="74"/>
      <c r="GS363" s="74"/>
      <c r="GT363" s="74"/>
      <c r="GU363" s="74"/>
      <c r="GV363" s="74"/>
      <c r="GW363" s="74"/>
      <c r="GX363" s="74"/>
      <c r="GY363" s="74"/>
      <c r="GZ363" s="74"/>
      <c r="HA363" s="74"/>
      <c r="HB363" s="74"/>
      <c r="HC363" s="74"/>
      <c r="HD363" s="74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5"/>
      <c r="FZ364" s="74"/>
      <c r="GA364" s="74"/>
      <c r="GB364" s="74"/>
      <c r="GC364" s="74"/>
      <c r="GD364" s="74"/>
      <c r="GE364" s="74"/>
      <c r="GF364" s="74"/>
      <c r="GG364" s="74"/>
      <c r="GH364" s="74"/>
      <c r="GI364" s="74"/>
      <c r="GJ364" s="74"/>
      <c r="GK364" s="74"/>
      <c r="GL364" s="74"/>
      <c r="GM364" s="74"/>
      <c r="GN364" s="74"/>
      <c r="GO364" s="74"/>
      <c r="GP364" s="74"/>
      <c r="GQ364" s="74"/>
      <c r="GR364" s="74"/>
      <c r="GS364" s="74"/>
      <c r="GT364" s="74"/>
      <c r="GU364" s="74"/>
      <c r="GV364" s="74"/>
      <c r="GW364" s="74"/>
      <c r="GX364" s="74"/>
      <c r="GY364" s="74"/>
      <c r="GZ364" s="74"/>
      <c r="HA364" s="74"/>
      <c r="HB364" s="74"/>
      <c r="HC364" s="74"/>
      <c r="HD364" s="74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5"/>
      <c r="FZ365" s="74"/>
      <c r="GA365" s="74"/>
      <c r="GB365" s="74"/>
      <c r="GC365" s="74"/>
      <c r="GD365" s="74"/>
      <c r="GE365" s="74"/>
      <c r="GF365" s="74"/>
      <c r="GG365" s="74"/>
      <c r="GH365" s="74"/>
      <c r="GI365" s="74"/>
      <c r="GJ365" s="74"/>
      <c r="GK365" s="74"/>
      <c r="GL365" s="74"/>
      <c r="GM365" s="74"/>
      <c r="GN365" s="74"/>
      <c r="GO365" s="74"/>
      <c r="GP365" s="74"/>
      <c r="GQ365" s="74"/>
      <c r="GR365" s="74"/>
      <c r="GS365" s="74"/>
      <c r="GT365" s="74"/>
      <c r="GU365" s="74"/>
      <c r="GV365" s="74"/>
      <c r="GW365" s="74"/>
      <c r="GX365" s="74"/>
      <c r="GY365" s="74"/>
      <c r="GZ365" s="74"/>
      <c r="HA365" s="74"/>
      <c r="HB365" s="74"/>
      <c r="HC365" s="74"/>
      <c r="HD365" s="74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5"/>
      <c r="FZ366" s="74"/>
      <c r="GA366" s="74"/>
      <c r="GB366" s="74"/>
      <c r="GC366" s="74"/>
      <c r="GD366" s="74"/>
      <c r="GE366" s="74"/>
      <c r="GF366" s="74"/>
      <c r="GG366" s="74"/>
      <c r="GH366" s="74"/>
      <c r="GI366" s="74"/>
      <c r="GJ366" s="74"/>
      <c r="GK366" s="74"/>
      <c r="GL366" s="74"/>
      <c r="GM366" s="74"/>
      <c r="GN366" s="74"/>
      <c r="GO366" s="74"/>
      <c r="GP366" s="74"/>
      <c r="GQ366" s="74"/>
      <c r="GR366" s="74"/>
      <c r="GS366" s="74"/>
      <c r="GT366" s="74"/>
      <c r="GU366" s="74"/>
      <c r="GV366" s="74"/>
      <c r="GW366" s="74"/>
      <c r="GX366" s="74"/>
      <c r="GY366" s="74"/>
      <c r="GZ366" s="74"/>
      <c r="HA366" s="74"/>
      <c r="HB366" s="74"/>
      <c r="HC366" s="74"/>
      <c r="HD366" s="74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5"/>
      <c r="FZ367" s="74"/>
      <c r="GA367" s="74"/>
      <c r="GB367" s="74"/>
      <c r="GC367" s="74"/>
      <c r="GD367" s="74"/>
      <c r="GE367" s="74"/>
      <c r="GF367" s="74"/>
      <c r="GG367" s="74"/>
      <c r="GH367" s="74"/>
      <c r="GI367" s="74"/>
      <c r="GJ367" s="74"/>
      <c r="GK367" s="74"/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5"/>
      <c r="FZ368" s="74"/>
      <c r="GA368" s="74"/>
      <c r="GB368" s="74"/>
      <c r="GC368" s="74"/>
      <c r="GD368" s="74"/>
      <c r="GE368" s="74"/>
      <c r="GF368" s="74"/>
      <c r="GG368" s="74"/>
      <c r="GH368" s="74"/>
      <c r="GI368" s="74"/>
      <c r="GJ368" s="74"/>
      <c r="GK368" s="74"/>
      <c r="GL368" s="74"/>
      <c r="GM368" s="74"/>
      <c r="GN368" s="74"/>
      <c r="GO368" s="74"/>
      <c r="GP368" s="74"/>
      <c r="GQ368" s="74"/>
      <c r="GR368" s="74"/>
      <c r="GS368" s="74"/>
      <c r="GT368" s="74"/>
      <c r="GU368" s="74"/>
      <c r="GV368" s="74"/>
      <c r="GW368" s="74"/>
      <c r="GX368" s="74"/>
      <c r="GY368" s="74"/>
      <c r="GZ368" s="74"/>
      <c r="HA368" s="74"/>
      <c r="HB368" s="74"/>
      <c r="HC368" s="74"/>
      <c r="HD368" s="74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5"/>
      <c r="FZ369" s="74"/>
      <c r="GA369" s="74"/>
      <c r="GB369" s="74"/>
      <c r="GC369" s="74"/>
      <c r="GD369" s="74"/>
      <c r="GE369" s="74"/>
      <c r="GF369" s="74"/>
      <c r="GG369" s="74"/>
      <c r="GH369" s="74"/>
      <c r="GI369" s="74"/>
      <c r="GJ369" s="74"/>
      <c r="GK369" s="74"/>
      <c r="GL369" s="74"/>
      <c r="GM369" s="74"/>
      <c r="GN369" s="74"/>
      <c r="GO369" s="74"/>
      <c r="GP369" s="74"/>
      <c r="GQ369" s="74"/>
      <c r="GR369" s="74"/>
      <c r="GS369" s="74"/>
      <c r="GT369" s="74"/>
      <c r="GU369" s="74"/>
      <c r="GV369" s="74"/>
      <c r="GW369" s="74"/>
      <c r="GX369" s="74"/>
      <c r="GY369" s="74"/>
      <c r="GZ369" s="74"/>
      <c r="HA369" s="74"/>
      <c r="HB369" s="74"/>
      <c r="HC369" s="74"/>
      <c r="HD369" s="74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5"/>
      <c r="FZ370" s="74"/>
      <c r="GA370" s="74"/>
      <c r="GB370" s="74"/>
      <c r="GC370" s="74"/>
      <c r="GD370" s="74"/>
      <c r="GE370" s="74"/>
      <c r="GF370" s="74"/>
      <c r="GG370" s="74"/>
      <c r="GH370" s="74"/>
      <c r="GI370" s="74"/>
      <c r="GJ370" s="74"/>
      <c r="GK370" s="74"/>
      <c r="GL370" s="74"/>
      <c r="GM370" s="74"/>
      <c r="GN370" s="74"/>
      <c r="GO370" s="74"/>
      <c r="GP370" s="74"/>
      <c r="GQ370" s="74"/>
      <c r="GR370" s="74"/>
      <c r="GS370" s="74"/>
      <c r="GT370" s="74"/>
      <c r="GU370" s="74"/>
      <c r="GV370" s="74"/>
      <c r="GW370" s="74"/>
      <c r="GX370" s="74"/>
      <c r="GY370" s="74"/>
      <c r="GZ370" s="74"/>
      <c r="HA370" s="74"/>
      <c r="HB370" s="74"/>
      <c r="HC370" s="74"/>
      <c r="HD370" s="74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5"/>
      <c r="FZ371" s="74"/>
      <c r="GA371" s="74"/>
      <c r="GB371" s="74"/>
      <c r="GC371" s="74"/>
      <c r="GD371" s="74"/>
      <c r="GE371" s="74"/>
      <c r="GF371" s="74"/>
      <c r="GG371" s="74"/>
      <c r="GH371" s="74"/>
      <c r="GI371" s="74"/>
      <c r="GJ371" s="74"/>
      <c r="GK371" s="74"/>
      <c r="GL371" s="74"/>
      <c r="GM371" s="74"/>
      <c r="GN371" s="74"/>
      <c r="GO371" s="74"/>
      <c r="GP371" s="74"/>
      <c r="GQ371" s="74"/>
      <c r="GR371" s="74"/>
      <c r="GS371" s="74"/>
      <c r="GT371" s="74"/>
      <c r="GU371" s="74"/>
      <c r="GV371" s="74"/>
      <c r="GW371" s="74"/>
      <c r="GX371" s="74"/>
      <c r="GY371" s="74"/>
      <c r="GZ371" s="74"/>
      <c r="HA371" s="74"/>
      <c r="HB371" s="74"/>
      <c r="HC371" s="74"/>
      <c r="HD371" s="74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5"/>
      <c r="FZ372" s="74"/>
      <c r="GA372" s="74"/>
      <c r="GB372" s="74"/>
      <c r="GC372" s="74"/>
      <c r="GD372" s="74"/>
      <c r="GE372" s="74"/>
      <c r="GF372" s="74"/>
      <c r="GG372" s="74"/>
      <c r="GH372" s="74"/>
      <c r="GI372" s="74"/>
      <c r="GJ372" s="74"/>
      <c r="GK372" s="74"/>
      <c r="GL372" s="74"/>
      <c r="GM372" s="74"/>
      <c r="GN372" s="74"/>
      <c r="GO372" s="74"/>
      <c r="GP372" s="74"/>
      <c r="GQ372" s="74"/>
      <c r="GR372" s="74"/>
      <c r="GS372" s="74"/>
      <c r="GT372" s="74"/>
      <c r="GU372" s="74"/>
      <c r="GV372" s="74"/>
      <c r="GW372" s="74"/>
      <c r="GX372" s="74"/>
      <c r="GY372" s="74"/>
      <c r="GZ372" s="74"/>
      <c r="HA372" s="74"/>
      <c r="HB372" s="74"/>
      <c r="HC372" s="74"/>
      <c r="HD372" s="74"/>
    </row>
    <row r="373" spans="1:212" ht="1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FY373" s="75"/>
      <c r="FZ373" s="74"/>
      <c r="GA373" s="74"/>
      <c r="GB373" s="74"/>
      <c r="GC373" s="74"/>
      <c r="GD373" s="74"/>
      <c r="GE373" s="74"/>
      <c r="GF373" s="74"/>
      <c r="GG373" s="74"/>
      <c r="GH373" s="74"/>
      <c r="GI373" s="74"/>
      <c r="GJ373" s="74"/>
      <c r="GK373" s="74"/>
      <c r="GL373" s="74"/>
      <c r="GM373" s="74"/>
      <c r="GN373" s="74"/>
      <c r="GO373" s="74"/>
      <c r="GP373" s="74"/>
      <c r="GQ373" s="74"/>
      <c r="GR373" s="74"/>
      <c r="GS373" s="74"/>
      <c r="GT373" s="74"/>
      <c r="GU373" s="74"/>
      <c r="GV373" s="74"/>
      <c r="GW373" s="74"/>
      <c r="GX373" s="74"/>
      <c r="GY373" s="74"/>
      <c r="GZ373" s="74"/>
      <c r="HA373" s="74"/>
      <c r="HB373" s="74"/>
      <c r="HC373" s="74"/>
      <c r="HD373" s="74"/>
    </row>
    <row r="374" spans="181:212" ht="15">
      <c r="FY374" s="74"/>
      <c r="FZ374" s="74"/>
      <c r="GA374" s="74"/>
      <c r="GB374" s="74"/>
      <c r="GC374" s="74"/>
      <c r="GD374" s="74"/>
      <c r="GE374" s="74"/>
      <c r="GF374" s="74"/>
      <c r="GG374" s="74"/>
      <c r="GH374" s="74"/>
      <c r="GI374" s="74"/>
      <c r="GJ374" s="74"/>
      <c r="GK374" s="74"/>
      <c r="GL374" s="74"/>
      <c r="GM374" s="74"/>
      <c r="GN374" s="74"/>
      <c r="GO374" s="74"/>
      <c r="GP374" s="74"/>
      <c r="GQ374" s="74"/>
      <c r="GR374" s="74"/>
      <c r="GS374" s="74"/>
      <c r="GT374" s="74"/>
      <c r="GU374" s="74"/>
      <c r="GV374" s="74"/>
      <c r="GW374" s="74"/>
      <c r="GX374" s="74"/>
      <c r="GY374" s="74"/>
      <c r="GZ374" s="74"/>
      <c r="HA374" s="74"/>
      <c r="HB374" s="74"/>
      <c r="HC374" s="74"/>
      <c r="HD374" s="74"/>
    </row>
    <row r="375" spans="181:212" ht="15">
      <c r="FY375" s="74"/>
      <c r="FZ375" s="74"/>
      <c r="GA375" s="74"/>
      <c r="GB375" s="74"/>
      <c r="GC375" s="74"/>
      <c r="GD375" s="74"/>
      <c r="GE375" s="74"/>
      <c r="GF375" s="74"/>
      <c r="GG375" s="74"/>
      <c r="GH375" s="74"/>
      <c r="GI375" s="74"/>
      <c r="GJ375" s="74"/>
      <c r="GK375" s="74"/>
      <c r="GL375" s="74"/>
      <c r="GM375" s="74"/>
      <c r="GN375" s="74"/>
      <c r="GO375" s="74"/>
      <c r="GP375" s="74"/>
      <c r="GQ375" s="74"/>
      <c r="GR375" s="74"/>
      <c r="GS375" s="74"/>
      <c r="GT375" s="74"/>
      <c r="GU375" s="74"/>
      <c r="GV375" s="74"/>
      <c r="GW375" s="74"/>
      <c r="GX375" s="74"/>
      <c r="GY375" s="74"/>
      <c r="GZ375" s="74"/>
      <c r="HA375" s="74"/>
      <c r="HB375" s="74"/>
      <c r="HC375" s="74"/>
      <c r="HD375" s="74"/>
    </row>
    <row r="376" spans="181:212" ht="15">
      <c r="FY376" s="74"/>
      <c r="FZ376" s="74"/>
      <c r="GA376" s="74"/>
      <c r="GB376" s="74"/>
      <c r="GC376" s="74"/>
      <c r="GD376" s="74"/>
      <c r="GE376" s="74"/>
      <c r="GF376" s="74"/>
      <c r="GG376" s="74"/>
      <c r="GH376" s="74"/>
      <c r="GI376" s="74"/>
      <c r="GJ376" s="74"/>
      <c r="GK376" s="74"/>
      <c r="GL376" s="74"/>
      <c r="GM376" s="74"/>
      <c r="GN376" s="74"/>
      <c r="GO376" s="74"/>
      <c r="GP376" s="74"/>
      <c r="GQ376" s="74"/>
      <c r="GR376" s="74"/>
      <c r="GS376" s="74"/>
      <c r="GT376" s="74"/>
      <c r="GU376" s="74"/>
      <c r="GV376" s="74"/>
      <c r="GW376" s="74"/>
      <c r="GX376" s="74"/>
      <c r="GY376" s="74"/>
      <c r="GZ376" s="74"/>
      <c r="HA376" s="74"/>
      <c r="HB376" s="74"/>
      <c r="HC376" s="74"/>
      <c r="HD376" s="74"/>
    </row>
    <row r="377" spans="181:212" ht="15">
      <c r="FY377" s="74"/>
      <c r="FZ377" s="74"/>
      <c r="GA377" s="74"/>
      <c r="GB377" s="74"/>
      <c r="GC377" s="74"/>
      <c r="GD377" s="74"/>
      <c r="GE377" s="74"/>
      <c r="GF377" s="74"/>
      <c r="GG377" s="74"/>
      <c r="GH377" s="74"/>
      <c r="GI377" s="74"/>
      <c r="GJ377" s="74"/>
      <c r="GK377" s="74"/>
      <c r="GL377" s="74"/>
      <c r="GM377" s="74"/>
      <c r="GN377" s="74"/>
      <c r="GO377" s="74"/>
      <c r="GP377" s="74"/>
      <c r="GQ377" s="74"/>
      <c r="GR377" s="74"/>
      <c r="GS377" s="74"/>
      <c r="GT377" s="74"/>
      <c r="GU377" s="74"/>
      <c r="GV377" s="74"/>
      <c r="GW377" s="74"/>
      <c r="GX377" s="74"/>
      <c r="GY377" s="74"/>
      <c r="GZ377" s="74"/>
      <c r="HA377" s="74"/>
      <c r="HB377" s="74"/>
      <c r="HC377" s="74"/>
      <c r="HD377" s="74"/>
    </row>
    <row r="378" spans="181:212" ht="15">
      <c r="FY378" s="74"/>
      <c r="FZ378" s="74"/>
      <c r="GA378" s="74"/>
      <c r="GB378" s="74"/>
      <c r="GC378" s="74"/>
      <c r="GD378" s="74"/>
      <c r="GE378" s="74"/>
      <c r="GF378" s="74"/>
      <c r="GG378" s="74"/>
      <c r="GH378" s="74"/>
      <c r="GI378" s="74"/>
      <c r="GJ378" s="74"/>
      <c r="GK378" s="74"/>
      <c r="GL378" s="74"/>
      <c r="GM378" s="74"/>
      <c r="GN378" s="74"/>
      <c r="GO378" s="74"/>
      <c r="GP378" s="74"/>
      <c r="GQ378" s="74"/>
      <c r="GR378" s="74"/>
      <c r="GS378" s="74"/>
      <c r="GT378" s="74"/>
      <c r="GU378" s="74"/>
      <c r="GV378" s="74"/>
      <c r="GW378" s="74"/>
      <c r="GX378" s="74"/>
      <c r="GY378" s="74"/>
      <c r="GZ378" s="74"/>
      <c r="HA378" s="74"/>
      <c r="HB378" s="74"/>
      <c r="HC378" s="74"/>
      <c r="HD378" s="74"/>
    </row>
    <row r="379" spans="181:212" ht="15">
      <c r="FY379" s="74"/>
      <c r="FZ379" s="74"/>
      <c r="GA379" s="74"/>
      <c r="GB379" s="74"/>
      <c r="GC379" s="74"/>
      <c r="GD379" s="74"/>
      <c r="GE379" s="74"/>
      <c r="GF379" s="74"/>
      <c r="GG379" s="74"/>
      <c r="GH379" s="74"/>
      <c r="GI379" s="74"/>
      <c r="GJ379" s="74"/>
      <c r="GK379" s="74"/>
      <c r="GL379" s="74"/>
      <c r="GM379" s="74"/>
      <c r="GN379" s="74"/>
      <c r="GO379" s="74"/>
      <c r="GP379" s="74"/>
      <c r="GQ379" s="74"/>
      <c r="GR379" s="74"/>
      <c r="GS379" s="74"/>
      <c r="GT379" s="74"/>
      <c r="GU379" s="74"/>
      <c r="GV379" s="74"/>
      <c r="GW379" s="74"/>
      <c r="GX379" s="74"/>
      <c r="GY379" s="74"/>
      <c r="GZ379" s="74"/>
      <c r="HA379" s="74"/>
      <c r="HB379" s="74"/>
      <c r="HC379" s="74"/>
      <c r="HD379" s="74"/>
    </row>
    <row r="380" spans="181:212" ht="15">
      <c r="FY380" s="74"/>
      <c r="FZ380" s="74"/>
      <c r="GA380" s="74"/>
      <c r="GB380" s="74"/>
      <c r="GC380" s="74"/>
      <c r="GD380" s="74"/>
      <c r="GE380" s="74"/>
      <c r="GF380" s="74"/>
      <c r="GG380" s="74"/>
      <c r="GH380" s="74"/>
      <c r="GI380" s="74"/>
      <c r="GJ380" s="74"/>
      <c r="GK380" s="74"/>
      <c r="GL380" s="74"/>
      <c r="GM380" s="74"/>
      <c r="GN380" s="74"/>
      <c r="GO380" s="74"/>
      <c r="GP380" s="74"/>
      <c r="GQ380" s="74"/>
      <c r="GR380" s="74"/>
      <c r="GS380" s="74"/>
      <c r="GT380" s="74"/>
      <c r="GU380" s="74"/>
      <c r="GV380" s="74"/>
      <c r="GW380" s="74"/>
      <c r="GX380" s="74"/>
      <c r="GY380" s="74"/>
      <c r="GZ380" s="74"/>
      <c r="HA380" s="74"/>
      <c r="HB380" s="74"/>
      <c r="HC380" s="74"/>
      <c r="HD380" s="74"/>
    </row>
    <row r="381" spans="181:212" ht="15">
      <c r="FY381" s="74"/>
      <c r="FZ381" s="74"/>
      <c r="GA381" s="74"/>
      <c r="GB381" s="74"/>
      <c r="GC381" s="74"/>
      <c r="GD381" s="74"/>
      <c r="GE381" s="74"/>
      <c r="GF381" s="74"/>
      <c r="GG381" s="74"/>
      <c r="GH381" s="74"/>
      <c r="GI381" s="74"/>
      <c r="GJ381" s="74"/>
      <c r="GK381" s="74"/>
      <c r="GL381" s="74"/>
      <c r="GM381" s="74"/>
      <c r="GN381" s="74"/>
      <c r="GO381" s="74"/>
      <c r="GP381" s="74"/>
      <c r="GQ381" s="74"/>
      <c r="GR381" s="74"/>
      <c r="GS381" s="74"/>
      <c r="GT381" s="74"/>
      <c r="GU381" s="74"/>
      <c r="GV381" s="74"/>
      <c r="GW381" s="74"/>
      <c r="GX381" s="74"/>
      <c r="GY381" s="74"/>
      <c r="GZ381" s="74"/>
      <c r="HA381" s="74"/>
      <c r="HB381" s="74"/>
      <c r="HC381" s="74"/>
      <c r="HD381" s="74"/>
    </row>
    <row r="382" spans="181:212" ht="15">
      <c r="FY382" s="74"/>
      <c r="FZ382" s="74"/>
      <c r="GA382" s="74"/>
      <c r="GB382" s="74"/>
      <c r="GC382" s="74"/>
      <c r="GD382" s="74"/>
      <c r="GE382" s="74"/>
      <c r="GF382" s="74"/>
      <c r="GG382" s="74"/>
      <c r="GH382" s="74"/>
      <c r="GI382" s="74"/>
      <c r="GJ382" s="74"/>
      <c r="GK382" s="74"/>
      <c r="GL382" s="74"/>
      <c r="GM382" s="74"/>
      <c r="GN382" s="74"/>
      <c r="GO382" s="74"/>
      <c r="GP382" s="74"/>
      <c r="GQ382" s="74"/>
      <c r="GR382" s="74"/>
      <c r="GS382" s="74"/>
      <c r="GT382" s="74"/>
      <c r="GU382" s="74"/>
      <c r="GV382" s="74"/>
      <c r="GW382" s="74"/>
      <c r="GX382" s="74"/>
      <c r="GY382" s="74"/>
      <c r="GZ382" s="74"/>
      <c r="HA382" s="74"/>
      <c r="HB382" s="74"/>
      <c r="HC382" s="74"/>
      <c r="HD382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1">
      <selection activeCell="F55" sqref="F55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3" t="s">
        <v>57</v>
      </c>
      <c r="D3" s="13">
        <f>+Input!F97</f>
        <v>2015</v>
      </c>
      <c r="E3" s="13">
        <f>+Input!G97</f>
        <v>2016</v>
      </c>
      <c r="F3" s="13">
        <f>+Input!H97</f>
        <v>2017</v>
      </c>
      <c r="G3" s="13">
        <f>+Input!I97</f>
        <v>2018</v>
      </c>
      <c r="H3" s="13">
        <f>+Input!J97</f>
        <v>2019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528</v>
      </c>
      <c r="E4" s="33">
        <f>+Input!G99*Input!$D99</f>
        <v>528</v>
      </c>
      <c r="F4" s="33">
        <f>+Input!H99*Input!$D99</f>
        <v>528</v>
      </c>
      <c r="G4" s="33">
        <f>+Input!I99*Input!$D99</f>
        <v>528</v>
      </c>
      <c r="H4" s="33">
        <f>+Input!J99*Input!$D99</f>
        <v>528</v>
      </c>
      <c r="I4" s="15"/>
    </row>
    <row r="5" spans="2:9" ht="15" hidden="1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330</v>
      </c>
      <c r="E6" s="33">
        <f>+Input!G101*Input!$D101</f>
        <v>0</v>
      </c>
      <c r="F6" s="33">
        <f>+Input!H101*Input!$D101</f>
        <v>0</v>
      </c>
      <c r="G6" s="33">
        <f>+Input!I101*Input!$D101</f>
        <v>0</v>
      </c>
      <c r="H6" s="33">
        <f>+Input!J101*Input!$D101</f>
        <v>0</v>
      </c>
      <c r="I6" s="15"/>
    </row>
    <row r="7" spans="2:9" ht="15" hidden="1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 hidden="1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 hidden="1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396</v>
      </c>
      <c r="E10" s="33">
        <f>+Input!G105*Input!$D105</f>
        <v>396</v>
      </c>
      <c r="F10" s="33">
        <f>+Input!H105*Input!$D105</f>
        <v>396</v>
      </c>
      <c r="G10" s="33">
        <f>+Input!I105*Input!$D105</f>
        <v>396</v>
      </c>
      <c r="H10" s="33">
        <f>+Input!J105*Input!$D105</f>
        <v>396</v>
      </c>
      <c r="I10" s="15"/>
    </row>
    <row r="11" spans="2:9" ht="15" hidden="1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 hidden="1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 hidden="1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210</v>
      </c>
      <c r="E14" s="33">
        <f>+Input!G109*Input!$D109</f>
        <v>210</v>
      </c>
      <c r="F14" s="33">
        <f>+Input!H109*Input!$D109</f>
        <v>210</v>
      </c>
      <c r="G14" s="33">
        <f>+Input!I109*Input!$D109</f>
        <v>210</v>
      </c>
      <c r="H14" s="33">
        <f>+Input!J109*Input!$D109</f>
        <v>210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220</v>
      </c>
      <c r="E15" s="33">
        <f>+Input!G110*Input!$D110</f>
        <v>220</v>
      </c>
      <c r="F15" s="33">
        <f>+Input!H110*Input!$D110</f>
        <v>220</v>
      </c>
      <c r="G15" s="33">
        <f>+Input!I110*Input!$D110</f>
        <v>220</v>
      </c>
      <c r="H15" s="33">
        <f>+Input!J110*Input!$D110</f>
        <v>220</v>
      </c>
      <c r="I15" s="15"/>
    </row>
    <row r="16" spans="2:9" ht="15" hidden="1">
      <c r="B16" s="16"/>
      <c r="C16" s="17" t="str">
        <f>+Input!C111</f>
        <v>Altri costi 1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 hidden="1">
      <c r="B17" s="16"/>
      <c r="C17" s="17" t="str">
        <f>+Input!C112</f>
        <v>Altri costi 2</v>
      </c>
      <c r="D17" s="33">
        <f>+Input!F112*Input!$D112</f>
        <v>0</v>
      </c>
      <c r="E17" s="33">
        <f>+Input!G112*Input!$D112</f>
        <v>0</v>
      </c>
      <c r="F17" s="33">
        <f>+Input!H112*Input!$D112</f>
        <v>0</v>
      </c>
      <c r="G17" s="33">
        <f>+Input!I112*Input!$D112</f>
        <v>0</v>
      </c>
      <c r="H17" s="33">
        <f>+Input!J112*Input!$D112</f>
        <v>0</v>
      </c>
      <c r="I17" s="15"/>
    </row>
    <row r="18" spans="2:9" ht="15" hidden="1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 hidden="1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 hidden="1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 hidden="1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 hidden="1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 hidden="1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 hidden="1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246</v>
      </c>
      <c r="D25" s="34">
        <f>SUM(D4:D24)</f>
        <v>1684</v>
      </c>
      <c r="E25" s="34">
        <f>SUM(E4:E24)</f>
        <v>1354</v>
      </c>
      <c r="F25" s="34">
        <f>SUM(F4:F24)</f>
        <v>1354</v>
      </c>
      <c r="G25" s="34">
        <f>SUM(G4:G24)</f>
        <v>1354</v>
      </c>
      <c r="H25" s="34">
        <f>SUM(H4:H24)</f>
        <v>1354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>
        <f>+D3</f>
        <v>2015</v>
      </c>
      <c r="E29" s="13">
        <f>+E3</f>
        <v>2016</v>
      </c>
      <c r="F29" s="13">
        <f>+F3</f>
        <v>2017</v>
      </c>
      <c r="G29" s="13">
        <f>+G3</f>
        <v>2018</v>
      </c>
      <c r="H29" s="13">
        <f>+H3</f>
        <v>2019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2928</v>
      </c>
      <c r="E30" s="45">
        <f>+Input!G99+'Altri costi'!E4</f>
        <v>2928</v>
      </c>
      <c r="F30" s="45">
        <f>+Input!H99+'Altri costi'!F4</f>
        <v>2928</v>
      </c>
      <c r="G30" s="45">
        <f>+Input!I99+'Altri costi'!G4</f>
        <v>2928</v>
      </c>
      <c r="H30" s="45">
        <f>+Input!J99+'Altri costi'!H4</f>
        <v>2928</v>
      </c>
      <c r="I30" s="15"/>
    </row>
    <row r="31" spans="2:9" ht="15" hidden="1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1830</v>
      </c>
      <c r="E32" s="45">
        <f>+Input!G101+'Altri costi'!E6</f>
        <v>0</v>
      </c>
      <c r="F32" s="45">
        <f>+Input!H101+'Altri costi'!F6</f>
        <v>0</v>
      </c>
      <c r="G32" s="45">
        <f>+Input!I101+'Altri costi'!G6</f>
        <v>0</v>
      </c>
      <c r="H32" s="45">
        <f>+Input!J101+'Altri costi'!H6</f>
        <v>0</v>
      </c>
      <c r="I32" s="15"/>
    </row>
    <row r="33" spans="2:9" ht="15" hidden="1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 hidden="1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 hidden="1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2196</v>
      </c>
      <c r="E36" s="45">
        <f>+Input!G105+'Altri costi'!E10</f>
        <v>2196</v>
      </c>
      <c r="F36" s="45">
        <f>+Input!H105+'Altri costi'!F10</f>
        <v>2196</v>
      </c>
      <c r="G36" s="45">
        <f>+Input!I105+'Altri costi'!G10</f>
        <v>2196</v>
      </c>
      <c r="H36" s="45">
        <f>+Input!J105+'Altri costi'!H10</f>
        <v>2196</v>
      </c>
      <c r="I36" s="15"/>
    </row>
    <row r="37" spans="2:9" ht="15" hidden="1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8000</v>
      </c>
      <c r="E38" s="45">
        <f>+Input!G107+'Altri costi'!E12</f>
        <v>8000</v>
      </c>
      <c r="F38" s="45">
        <f>+Input!H107+'Altri costi'!F12</f>
        <v>8000</v>
      </c>
      <c r="G38" s="45">
        <f>+Input!I107+'Altri costi'!G12</f>
        <v>8000</v>
      </c>
      <c r="H38" s="45">
        <f>+Input!J107+'Altri costi'!H12</f>
        <v>8000</v>
      </c>
      <c r="I38" s="15"/>
    </row>
    <row r="39" spans="2:9" ht="15" hidden="1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1210</v>
      </c>
      <c r="E40" s="45">
        <f>+Input!G109+'Altri costi'!E14</f>
        <v>1210</v>
      </c>
      <c r="F40" s="45">
        <f>+Input!H109+'Altri costi'!F14</f>
        <v>1210</v>
      </c>
      <c r="G40" s="45">
        <f>+Input!I109+'Altri costi'!G14</f>
        <v>1210</v>
      </c>
      <c r="H40" s="45">
        <f>+Input!J109+'Altri costi'!H14</f>
        <v>1210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1220</v>
      </c>
      <c r="E41" s="45">
        <f>+Input!G110+'Altri costi'!E15</f>
        <v>1220</v>
      </c>
      <c r="F41" s="45">
        <f>+Input!H110+'Altri costi'!F15</f>
        <v>1220</v>
      </c>
      <c r="G41" s="45">
        <f>+Input!I110+'Altri costi'!G15</f>
        <v>1220</v>
      </c>
      <c r="H41" s="45">
        <f>+Input!J110+'Altri costi'!H15</f>
        <v>1220</v>
      </c>
      <c r="I41" s="15"/>
    </row>
    <row r="42" spans="2:9" ht="15" hidden="1">
      <c r="B42" s="16"/>
      <c r="C42" s="17" t="str">
        <f t="shared" si="0"/>
        <v>Altri costi 1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 hidden="1">
      <c r="B43" s="16"/>
      <c r="C43" s="17" t="str">
        <f t="shared" si="0"/>
        <v>Altri costi 2</v>
      </c>
      <c r="D43" s="45">
        <f>+Input!F112+'Altri costi'!D17</f>
        <v>0</v>
      </c>
      <c r="E43" s="45">
        <f>+Input!G112+'Altri costi'!E17</f>
        <v>0</v>
      </c>
      <c r="F43" s="45">
        <f>+Input!H112+'Altri costi'!F17</f>
        <v>0</v>
      </c>
      <c r="G43" s="45">
        <f>+Input!I112+'Altri costi'!G17</f>
        <v>0</v>
      </c>
      <c r="H43" s="45">
        <f>+Input!J112+'Altri costi'!H17</f>
        <v>0</v>
      </c>
      <c r="I43" s="15"/>
    </row>
    <row r="44" spans="2:9" ht="15" hidden="1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 hidden="1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 hidden="1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 hidden="1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 hidden="1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 hidden="1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 hidden="1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17384</v>
      </c>
      <c r="E51" s="50">
        <f>SUM(E30:E50)</f>
        <v>15554</v>
      </c>
      <c r="F51" s="50">
        <f>SUM(F30:F50)</f>
        <v>15554</v>
      </c>
      <c r="G51" s="50">
        <f>SUM(G30:G50)</f>
        <v>15554</v>
      </c>
      <c r="H51" s="50">
        <f>SUM(H30:H50)</f>
        <v>15554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showGridLines="0" zoomScalePageLayoutView="0" workbookViewId="0" topLeftCell="A6">
      <selection activeCell="E24" sqref="E24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266</v>
      </c>
      <c r="C2" t="str">
        <f>+Input!D15</f>
        <v>mensile</v>
      </c>
    </row>
    <row r="4" spans="2:7" ht="15">
      <c r="B4" s="85" t="s">
        <v>250</v>
      </c>
      <c r="C4" s="7">
        <f>+Input!I34</f>
        <v>2015</v>
      </c>
      <c r="D4" s="7">
        <f>+Input!J34</f>
        <v>2016</v>
      </c>
      <c r="E4" s="7">
        <f>+Input!K34</f>
        <v>2017</v>
      </c>
      <c r="F4" s="7">
        <f>+Input!L34</f>
        <v>2018</v>
      </c>
      <c r="G4" s="7">
        <f>+Input!M34</f>
        <v>2019</v>
      </c>
    </row>
    <row r="5" spans="2:8" ht="15">
      <c r="B5" s="17" t="s">
        <v>18</v>
      </c>
      <c r="C5" s="26">
        <f>+MCL!M41+MCL!D84</f>
        <v>15708</v>
      </c>
      <c r="D5" s="26">
        <f>+MCL!N41+MCL!E84</f>
        <v>23004.365999999998</v>
      </c>
      <c r="E5" s="26">
        <f>+MCL!O41+MCL!F84</f>
        <v>31366.453041</v>
      </c>
      <c r="F5" s="26">
        <f>+MCL!P41+MCL!G84</f>
        <v>34848.129328551004</v>
      </c>
      <c r="G5" s="26">
        <f>+MCL!Q41+MCL!H84</f>
        <v>35196.610621836524</v>
      </c>
      <c r="H5" s="84"/>
    </row>
    <row r="6" spans="2:8" ht="15">
      <c r="B6" s="17" t="s">
        <v>23</v>
      </c>
      <c r="C6" s="26">
        <f>+MCL!M55+Inve!M7+'Altri costi'!D25+MCL!D79</f>
        <v>15237.099999999999</v>
      </c>
      <c r="D6" s="26">
        <f>+MCL!N55+Inve!N7+'Altri costi'!E25+MCL!E79</f>
        <v>11608.864950000001</v>
      </c>
      <c r="E6" s="26">
        <f>+MCL!O55+Inve!O7+'Altri costi'!F25+MCL!F79</f>
        <v>15181.079459325003</v>
      </c>
      <c r="F6" s="26">
        <f>+MCL!P55+Inve!P7+'Altri costi'!G25+MCL!G79</f>
        <v>16146.821219185082</v>
      </c>
      <c r="G6" s="26">
        <f>+MCL!Q55+Inve!Q7+'Altri costi'!H25+MCL!H79</f>
        <v>15984.381892984753</v>
      </c>
      <c r="H6" s="84"/>
    </row>
    <row r="7" spans="2:8" ht="15">
      <c r="B7" s="86"/>
      <c r="C7" s="35">
        <f>+C6-C5</f>
        <v>-470.90000000000146</v>
      </c>
      <c r="D7" s="35">
        <f>+D6-D5</f>
        <v>-11395.501049999997</v>
      </c>
      <c r="E7" s="35">
        <f>+E6-E5</f>
        <v>-16185.373581674998</v>
      </c>
      <c r="F7" s="35">
        <f>+F6-F5</f>
        <v>-18701.30810936592</v>
      </c>
      <c r="G7" s="35">
        <f>+G6-G5</f>
        <v>-19212.22872885177</v>
      </c>
      <c r="H7" s="86"/>
    </row>
    <row r="8" spans="2:8" ht="15">
      <c r="B8" s="86"/>
      <c r="C8" s="86"/>
      <c r="D8" s="86"/>
      <c r="E8" s="86"/>
      <c r="F8" s="86"/>
      <c r="G8" s="86"/>
      <c r="H8" s="86"/>
    </row>
    <row r="9" spans="2:8" ht="15">
      <c r="B9" s="85" t="s">
        <v>251</v>
      </c>
      <c r="C9" s="86"/>
      <c r="D9" s="86"/>
      <c r="E9" s="86"/>
      <c r="F9" s="86"/>
      <c r="G9" s="86"/>
      <c r="H9" s="86"/>
    </row>
    <row r="10" spans="2:8" ht="15">
      <c r="B10" s="85" t="s">
        <v>252</v>
      </c>
      <c r="C10" s="26">
        <f>+C7</f>
        <v>-470.90000000000146</v>
      </c>
      <c r="D10" s="26">
        <f>+D7</f>
        <v>-11395.501049999997</v>
      </c>
      <c r="E10" s="26">
        <f>+E7</f>
        <v>-16185.373581674998</v>
      </c>
      <c r="F10" s="26">
        <f>+F7</f>
        <v>-18701.30810936592</v>
      </c>
      <c r="G10" s="26">
        <f>+G7</f>
        <v>-19212.22872885177</v>
      </c>
      <c r="H10" s="86"/>
    </row>
    <row r="11" spans="2:8" ht="15">
      <c r="B11" s="85" t="s">
        <v>253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6"/>
    </row>
    <row r="12" spans="2:8" ht="15">
      <c r="B12" s="85" t="s">
        <v>254</v>
      </c>
      <c r="C12" s="26">
        <f>+IF((C10+C11)&gt;0,0,(C10+C11))</f>
        <v>-470.90000000000146</v>
      </c>
      <c r="D12" s="26">
        <f>+IF((D10+D11)&gt;0,0,(D10+D11))</f>
        <v>-11395.501049999997</v>
      </c>
      <c r="E12" s="26">
        <f>+IF((E10+E11)&gt;0,0,(E10+E11))</f>
        <v>-16185.373581674998</v>
      </c>
      <c r="F12" s="26">
        <f>+IF((F10+F11)&gt;0,0,(F10+F11))</f>
        <v>-18701.30810936592</v>
      </c>
      <c r="G12" s="26">
        <f>+IF((G10+G11)&gt;0,0,(G10+G11))</f>
        <v>-19212.22872885177</v>
      </c>
      <c r="H12" s="86"/>
    </row>
    <row r="13" spans="2:8" ht="15">
      <c r="B13" s="85" t="s">
        <v>255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6"/>
    </row>
    <row r="14" spans="2:8" ht="15">
      <c r="B14" s="85" t="s">
        <v>256</v>
      </c>
      <c r="C14" s="26">
        <f>+C12*(11/12)</f>
        <v>-431.65833333333467</v>
      </c>
      <c r="D14" s="26">
        <f>+(D12*(11/12))+(C12-C14)</f>
        <v>-10485.117629166663</v>
      </c>
      <c r="E14" s="26">
        <f>+(E12*(11/12))+(D12-D14)+(C12-C14)</f>
        <v>-15786.217537368748</v>
      </c>
      <c r="F14" s="26">
        <f>+(F12*(11/12))+(E12-E14)+(D12-D14)+(C12-C14)</f>
        <v>-18491.646898725012</v>
      </c>
      <c r="G14" s="26">
        <f>+(G12*(11/12))+(F12-F14)+(E12-E14)+(D12-D14)+(C12-C14)</f>
        <v>-19169.65201056128</v>
      </c>
      <c r="H14" s="86"/>
    </row>
    <row r="15" spans="2:8" ht="15">
      <c r="B15" s="86"/>
      <c r="C15" s="88">
        <f>+C12-C14</f>
        <v>-39.24166666666679</v>
      </c>
      <c r="D15" s="88">
        <f>+D12-D14</f>
        <v>-910.3834208333337</v>
      </c>
      <c r="E15" s="88">
        <f>+E12-E14</f>
        <v>-399.1560443062499</v>
      </c>
      <c r="F15" s="88">
        <f>+F12-F14</f>
        <v>-209.6612106409084</v>
      </c>
      <c r="G15" s="88">
        <f>+G12-G14</f>
        <v>-42.576718290489225</v>
      </c>
      <c r="H15" s="86"/>
    </row>
    <row r="16" spans="2:8" ht="15">
      <c r="B16" s="86"/>
      <c r="C16" s="86"/>
      <c r="D16" s="86"/>
      <c r="E16" s="86"/>
      <c r="F16" s="86"/>
      <c r="G16" s="86"/>
      <c r="H16" s="86"/>
    </row>
    <row r="17" spans="2:8" ht="15">
      <c r="B17" s="85" t="s">
        <v>266</v>
      </c>
      <c r="C17" s="86"/>
      <c r="D17" s="86"/>
      <c r="E17" s="86"/>
      <c r="F17" s="86"/>
      <c r="G17" s="86"/>
      <c r="H17" s="86"/>
    </row>
    <row r="18" spans="2:8" ht="15">
      <c r="B18" s="85" t="s">
        <v>262</v>
      </c>
      <c r="C18" s="26">
        <f>+C7</f>
        <v>-470.90000000000146</v>
      </c>
      <c r="D18" s="26">
        <f>+D7</f>
        <v>-11395.501049999997</v>
      </c>
      <c r="E18" s="26">
        <f>+E7</f>
        <v>-16185.373581674998</v>
      </c>
      <c r="F18" s="26">
        <f>+F7</f>
        <v>-18701.30810936592</v>
      </c>
      <c r="G18" s="26">
        <f>+G7</f>
        <v>-19212.22872885177</v>
      </c>
      <c r="H18" s="86"/>
    </row>
    <row r="19" spans="2:8" ht="15">
      <c r="B19" s="85" t="s">
        <v>253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6"/>
    </row>
    <row r="20" spans="2:8" ht="15">
      <c r="B20" s="85" t="s">
        <v>254</v>
      </c>
      <c r="C20" s="26">
        <f>+IF((C18+C19)&gt;0,0,(C18+C19))</f>
        <v>-470.90000000000146</v>
      </c>
      <c r="D20" s="26">
        <f>+IF((D18+D19)&gt;0,0,(D18+D19))</f>
        <v>-11395.501049999997</v>
      </c>
      <c r="E20" s="26">
        <f>+IF((E18+E19)&gt;0,0,(E18+E19))</f>
        <v>-16185.373581674998</v>
      </c>
      <c r="F20" s="26">
        <f>+IF((F18+F19)&gt;0,0,(F18+F19))</f>
        <v>-18701.30810936592</v>
      </c>
      <c r="G20" s="26">
        <f>+IF((G18+G19)&gt;0,0,(G18+G19))</f>
        <v>-19212.22872885177</v>
      </c>
      <c r="H20" s="86"/>
    </row>
    <row r="21" spans="2:8" ht="15">
      <c r="B21" s="85" t="s">
        <v>255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6"/>
    </row>
    <row r="22" spans="2:8" ht="15">
      <c r="B22" s="85" t="s">
        <v>256</v>
      </c>
      <c r="C22" s="26">
        <f>+C20*(9/12)</f>
        <v>-353.1750000000011</v>
      </c>
      <c r="D22" s="26">
        <f>+(D20*(9/12))+(C20-C22)</f>
        <v>-8664.350787499998</v>
      </c>
      <c r="E22" s="26">
        <f>+(E20*(9/12)*(9/12))+(D20-D22)+(C20-C22)</f>
        <v>-11953.147902192186</v>
      </c>
      <c r="F22" s="26">
        <f>+(F20*(9/12))+(E20-E22)+(D20-D22)+(C20-C22)</f>
        <v>-21107.08202400725</v>
      </c>
      <c r="G22" s="26">
        <f>+(G20*(9/12))+(F20-F22)+(E20-E22)+(D20-D22)+(C20-C22)</f>
        <v>-19084.49857398031</v>
      </c>
      <c r="H22" s="86"/>
    </row>
    <row r="23" spans="2:8" ht="15">
      <c r="B23" s="85"/>
      <c r="C23" s="26"/>
      <c r="D23" s="26"/>
      <c r="E23" s="26"/>
      <c r="F23" s="26"/>
      <c r="G23" s="26"/>
      <c r="H23" s="86"/>
    </row>
    <row r="24" spans="2:8" ht="15">
      <c r="B24" s="85"/>
      <c r="C24" s="26"/>
      <c r="D24" s="26"/>
      <c r="E24" s="26"/>
      <c r="F24" s="26"/>
      <c r="G24" s="26"/>
      <c r="H24" s="86"/>
    </row>
    <row r="25" spans="2:8" ht="15">
      <c r="B25" s="85" t="s">
        <v>23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6"/>
    </row>
    <row r="26" spans="2:8" ht="15">
      <c r="B26" s="85" t="s">
        <v>18</v>
      </c>
      <c r="C26" s="26">
        <f>+IF($C$2="mensile",-(C12-C14),-(C20-C22))</f>
        <v>39.24166666666679</v>
      </c>
      <c r="D26" s="26">
        <f>+IF($C$2="mensile",-(D12-D14),-(D20-D22))+C26</f>
        <v>949.6250875000005</v>
      </c>
      <c r="E26" s="26">
        <f>+IF($C$2="mensile",-(E12-E14),-(E20-E22))+D26</f>
        <v>1348.7811318062504</v>
      </c>
      <c r="F26" s="26">
        <f>+IF($C$2="mensile",-(F12-F14),-(F20-F22))+E26</f>
        <v>1558.4423424471588</v>
      </c>
      <c r="G26" s="26">
        <f>+IF($C$2="mensile",-(G12-G14),-(G20-G22))+F26</f>
        <v>1601.019060737648</v>
      </c>
      <c r="H26" s="86"/>
    </row>
    <row r="27" spans="2:8" ht="15">
      <c r="B27" s="85" t="s">
        <v>256</v>
      </c>
      <c r="C27" s="26">
        <f>IF($C$2="mensile",-C14,-C22)</f>
        <v>431.65833333333467</v>
      </c>
      <c r="D27" s="26">
        <f>IF($C$2="mensile",-D14,-D22)</f>
        <v>10485.117629166663</v>
      </c>
      <c r="E27" s="26">
        <f>IF($C$2="mensile",-E14,-E22)</f>
        <v>15786.217537368748</v>
      </c>
      <c r="F27" s="26">
        <f>IF($C$2="mensile",-F14,-F22)</f>
        <v>18491.646898725012</v>
      </c>
      <c r="G27" s="26">
        <f>IF($C$2="mensile",-G14,-G22)</f>
        <v>19169.65201056128</v>
      </c>
      <c r="H27" s="86"/>
    </row>
    <row r="28" spans="3:7" ht="15">
      <c r="C28" s="25"/>
      <c r="D28" s="25"/>
      <c r="E28" s="25"/>
      <c r="F28" s="25"/>
      <c r="G28" s="25"/>
    </row>
    <row r="31" ht="15">
      <c r="B31" t="s">
        <v>267</v>
      </c>
    </row>
    <row r="32" ht="15">
      <c r="B32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L22" sqref="L22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3.57421875" style="0" customWidth="1"/>
    <col min="5" max="7" width="8.00390625" style="0" bestFit="1" customWidth="1"/>
    <col min="8" max="9" width="9.0039062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288</v>
      </c>
      <c r="D3" s="98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99"/>
      <c r="E5" s="13">
        <f>+'Irpef socio'!D3</f>
        <v>2015</v>
      </c>
      <c r="F5" s="13">
        <f>+'Irpef socio'!E3</f>
        <v>2016</v>
      </c>
      <c r="G5" s="13">
        <f>+'Irpef socio'!F3</f>
        <v>2017</v>
      </c>
      <c r="H5" s="13">
        <f>+'Irpef socio'!G3</f>
        <v>2018</v>
      </c>
      <c r="I5" s="13">
        <f>+'Irpef socio'!H3</f>
        <v>2019</v>
      </c>
      <c r="J5" s="15"/>
    </row>
    <row r="6" spans="2:10" ht="15">
      <c r="B6" s="16"/>
      <c r="C6" s="17"/>
      <c r="D6" s="12" t="s">
        <v>282</v>
      </c>
      <c r="E6" s="34">
        <f>+'CE'!D51</f>
        <v>5018.593248214484</v>
      </c>
      <c r="F6" s="34">
        <f>+'CE'!E51</f>
        <v>30486.602254159425</v>
      </c>
      <c r="G6" s="34">
        <f>+'CE'!F51</f>
        <v>58104.03762837856</v>
      </c>
      <c r="H6" s="34">
        <f>+'CE'!G51</f>
        <v>69217.22801578777</v>
      </c>
      <c r="I6" s="34">
        <f>+'CE'!H51</f>
        <v>69763.62323972453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283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284</v>
      </c>
      <c r="E9" s="33">
        <f>+'CE'!D43</f>
        <v>27700</v>
      </c>
      <c r="F9" s="33">
        <f>+'CE'!E43</f>
        <v>27700</v>
      </c>
      <c r="G9" s="33">
        <f>+'CE'!F43</f>
        <v>27700</v>
      </c>
      <c r="H9" s="33">
        <f>+'CE'!G43</f>
        <v>27700</v>
      </c>
      <c r="I9" s="33">
        <f>+'CE'!H43</f>
        <v>27700</v>
      </c>
      <c r="J9" s="15"/>
    </row>
    <row r="10" spans="2:10" ht="15">
      <c r="B10" s="16"/>
      <c r="C10" s="17"/>
      <c r="D10" s="17" t="s">
        <v>222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285</v>
      </c>
      <c r="E11" s="34">
        <f>SUM(E9:E10)</f>
        <v>27700</v>
      </c>
      <c r="F11" s="34">
        <f>SUM(F9:F10)</f>
        <v>27700</v>
      </c>
      <c r="G11" s="34">
        <f>SUM(G9:G10)</f>
        <v>27700</v>
      </c>
      <c r="H11" s="34">
        <f>SUM(H9:H10)</f>
        <v>27700</v>
      </c>
      <c r="I11" s="34">
        <f>SUM(I9:I10)</f>
        <v>27700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286</v>
      </c>
      <c r="E14" s="45">
        <f>+E6+E11</f>
        <v>32718.593248214485</v>
      </c>
      <c r="F14" s="45">
        <f>+F6+F11</f>
        <v>58186.60225415943</v>
      </c>
      <c r="G14" s="45">
        <f>+G6+G11</f>
        <v>85804.03762837856</v>
      </c>
      <c r="H14" s="45">
        <f>+H6+H11</f>
        <v>96917.22801578777</v>
      </c>
      <c r="I14" s="45">
        <f>+I6+I11</f>
        <v>97463.62323972453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289</v>
      </c>
      <c r="E16" s="45">
        <f>+E14*$D$3</f>
        <v>1276.025136680365</v>
      </c>
      <c r="F16" s="45">
        <f>+F14*$D$3</f>
        <v>2269.2774879122176</v>
      </c>
      <c r="G16" s="45">
        <f>+G14*$D$3</f>
        <v>3346.357467506764</v>
      </c>
      <c r="H16" s="45">
        <f>+H14*$D$3</f>
        <v>3779.771892615723</v>
      </c>
      <c r="I16" s="45">
        <f>+I14*$D$3</f>
        <v>3801.081306349257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290</v>
      </c>
      <c r="E18" s="17">
        <v>0</v>
      </c>
      <c r="F18" s="45">
        <f>+E16*2</f>
        <v>2552.05027336073</v>
      </c>
      <c r="G18" s="45">
        <f>+F16</f>
        <v>2269.2774879122176</v>
      </c>
      <c r="H18" s="45">
        <f>+G16</f>
        <v>3346.357467506764</v>
      </c>
      <c r="I18" s="45">
        <f>+H16</f>
        <v>3779.771892615723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291</v>
      </c>
      <c r="E20" s="45">
        <f>+IF($E$16-$E$18&gt;0,$E$16-$E$18,0)</f>
        <v>1276.025136680365</v>
      </c>
      <c r="F20" s="45">
        <f>+IF(SUM(E$16:F16)-SUM($E$18:$F$18)&gt;0,SUM($E$16:$F$16)-SUM($E$18:$F$18),0)</f>
        <v>993.2523512318526</v>
      </c>
      <c r="G20" s="45">
        <f>+IF(SUM($E$16:$G$16)-SUM($E$18:$G$18)&gt;0,SUM($E$16:$G$16)-SUM($E$18:$G$18),0)</f>
        <v>2070.332330826399</v>
      </c>
      <c r="H20" s="45">
        <f>+IF(SUM($E$16:$H$16)-SUM($E$18:$H$18)&gt;0,SUM($E$16:$H$16)-SUM($E$18:$H$18),0)</f>
        <v>2503.746755935358</v>
      </c>
      <c r="I20" s="45">
        <f>+IF(SUM($E$16:$I$16)-SUM($E$18:$I$18)&gt;0,SUM($E$16:$I$16)-SUM($E$18:$I$18),0)</f>
        <v>2525.056169668893</v>
      </c>
      <c r="J20" s="15"/>
    </row>
    <row r="21" spans="2:10" ht="15">
      <c r="B21" s="16"/>
      <c r="C21" s="17"/>
      <c r="D21" s="17" t="s">
        <v>292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2552.05027336073</v>
      </c>
      <c r="G23" s="45">
        <f>+G18</f>
        <v>2269.2774879122176</v>
      </c>
      <c r="H23" s="45">
        <f>+H18</f>
        <v>3346.357467506764</v>
      </c>
      <c r="I23" s="45">
        <f>+I18</f>
        <v>3779.771892615723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6" sqref="I16"/>
    </sheetView>
  </sheetViews>
  <sheetFormatPr defaultColWidth="13.28125" defaultRowHeight="15"/>
  <cols>
    <col min="1" max="1" width="17.7109375" style="86" bestFit="1" customWidth="1"/>
    <col min="2" max="2" width="6.421875" style="86" bestFit="1" customWidth="1"/>
    <col min="3" max="3" width="41.8515625" style="86" customWidth="1"/>
    <col min="4" max="4" width="10.57421875" style="86" bestFit="1" customWidth="1"/>
    <col min="5" max="5" width="9.57421875" style="86" bestFit="1" customWidth="1"/>
    <col min="6" max="6" width="11.57421875" style="86" bestFit="1" customWidth="1"/>
    <col min="7" max="7" width="11.00390625" style="86" bestFit="1" customWidth="1"/>
    <col min="8" max="8" width="10.57421875" style="86" bestFit="1" customWidth="1"/>
    <col min="9" max="11" width="20.28125" style="86" bestFit="1" customWidth="1"/>
    <col min="12" max="12" width="9.140625" style="86" customWidth="1"/>
    <col min="13" max="13" width="11.28125" style="86" bestFit="1" customWidth="1"/>
    <col min="14" max="14" width="9.140625" style="86" customWidth="1"/>
    <col min="15" max="15" width="11.00390625" style="86" bestFit="1" customWidth="1"/>
    <col min="16" max="225" width="9.140625" style="86" customWidth="1"/>
    <col min="226" max="226" width="17.7109375" style="86" bestFit="1" customWidth="1"/>
    <col min="227" max="227" width="55.57421875" style="86" bestFit="1" customWidth="1"/>
    <col min="228" max="238" width="11.57421875" style="86" bestFit="1" customWidth="1"/>
    <col min="239" max="239" width="13.28125" style="86" bestFit="1" customWidth="1"/>
    <col min="240" max="249" width="11.57421875" style="86" bestFit="1" customWidth="1"/>
    <col min="250" max="250" width="13.28125" style="86" bestFit="1" customWidth="1"/>
    <col min="251" max="16384" width="13.28125" style="86" customWidth="1"/>
  </cols>
  <sheetData>
    <row r="1" spans="3:52" s="85" customFormat="1" ht="15">
      <c r="C1" s="90"/>
      <c r="D1" s="90"/>
      <c r="E1" s="90"/>
      <c r="F1" s="90"/>
      <c r="G1" s="90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</row>
    <row r="2" spans="3:52" s="85" customFormat="1" ht="15">
      <c r="C2" s="90"/>
      <c r="D2" s="90"/>
      <c r="E2" s="90"/>
      <c r="F2" s="90"/>
      <c r="G2" s="90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3:52" s="85" customFormat="1" ht="15">
      <c r="C3" s="85" t="s">
        <v>268</v>
      </c>
      <c r="D3" s="96">
        <f>+'CE'!D2</f>
        <v>2015</v>
      </c>
      <c r="E3" s="96">
        <f>+'CE'!E2</f>
        <v>2016</v>
      </c>
      <c r="F3" s="96">
        <f>+'CE'!F2</f>
        <v>2017</v>
      </c>
      <c r="G3" s="96">
        <f>+'CE'!G2</f>
        <v>2018</v>
      </c>
      <c r="H3" s="96">
        <f>+'CE'!H2</f>
        <v>2019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</row>
    <row r="4" spans="2:52" s="85" customFormat="1" ht="1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</row>
    <row r="5" spans="2:52" s="85" customFormat="1" ht="15">
      <c r="B5" s="86"/>
      <c r="C5" s="86" t="s">
        <v>247</v>
      </c>
      <c r="D5" s="87">
        <f>+'CE'!D51</f>
        <v>5018.593248214484</v>
      </c>
      <c r="E5" s="87">
        <f>+'CE'!E51</f>
        <v>30486.602254159425</v>
      </c>
      <c r="F5" s="87">
        <f>+'CE'!F51</f>
        <v>58104.03762837856</v>
      </c>
      <c r="G5" s="87">
        <f>+'CE'!G51</f>
        <v>69217.22801578777</v>
      </c>
      <c r="H5" s="87">
        <f>+'CE'!H51</f>
        <v>69763.62323972453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</row>
    <row r="6" ht="15">
      <c r="A6" s="85"/>
    </row>
    <row r="7" spans="1:8" ht="15">
      <c r="A7" s="85"/>
      <c r="C7" s="86" t="s">
        <v>269</v>
      </c>
      <c r="D7" s="93">
        <v>1</v>
      </c>
      <c r="E7" s="93">
        <v>1</v>
      </c>
      <c r="F7" s="93">
        <v>1</v>
      </c>
      <c r="G7" s="93">
        <v>1</v>
      </c>
      <c r="H7" s="93">
        <v>1</v>
      </c>
    </row>
    <row r="8" ht="15">
      <c r="A8" s="85"/>
    </row>
    <row r="9" spans="2:52" s="85" customFormat="1" ht="15">
      <c r="B9" s="86"/>
      <c r="C9" s="86" t="s">
        <v>270</v>
      </c>
      <c r="D9" s="93">
        <f>+Input!$D$27</f>
        <v>1</v>
      </c>
      <c r="E9" s="93">
        <f>+Input!$D$27</f>
        <v>1</v>
      </c>
      <c r="F9" s="93">
        <f>+Input!$D$27</f>
        <v>1</v>
      </c>
      <c r="G9" s="93">
        <f>+Input!$D$27</f>
        <v>1</v>
      </c>
      <c r="H9" s="93">
        <f>+Input!$D$27</f>
        <v>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ht="15">
      <c r="A10" s="85"/>
    </row>
    <row r="11" spans="1:8" ht="15">
      <c r="A11" s="85"/>
      <c r="C11" s="86" t="s">
        <v>271</v>
      </c>
      <c r="D11" s="87">
        <f>+D5*D7*D9</f>
        <v>5018.593248214484</v>
      </c>
      <c r="E11" s="87">
        <f>+E5*E7*E9</f>
        <v>30486.602254159425</v>
      </c>
      <c r="F11" s="87">
        <f>+F5*F7*F9</f>
        <v>58104.03762837856</v>
      </c>
      <c r="G11" s="87">
        <f>+G5*G7*G9</f>
        <v>69217.22801578777</v>
      </c>
      <c r="H11" s="87">
        <f>+H5*H7*H9</f>
        <v>69763.62323972453</v>
      </c>
    </row>
    <row r="12" spans="2:52" s="85" customFormat="1" ht="15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</row>
    <row r="13" ht="15">
      <c r="A13" s="85"/>
    </row>
    <row r="14" ht="15">
      <c r="A14" s="85"/>
    </row>
    <row r="15" spans="1:9" ht="15">
      <c r="A15" s="85"/>
      <c r="B15" s="85"/>
      <c r="C15" s="85" t="s">
        <v>272</v>
      </c>
      <c r="D15" s="92">
        <f>+D11</f>
        <v>5018.593248214484</v>
      </c>
      <c r="E15" s="92">
        <f>+E11</f>
        <v>30486.602254159425</v>
      </c>
      <c r="F15" s="92">
        <f>+F11</f>
        <v>58104.03762837856</v>
      </c>
      <c r="G15" s="92">
        <f>+G11</f>
        <v>69217.22801578777</v>
      </c>
      <c r="H15" s="92">
        <f>+H11</f>
        <v>69763.62323972453</v>
      </c>
      <c r="I15" s="85"/>
    </row>
    <row r="16" ht="15">
      <c r="A16" s="91"/>
    </row>
    <row r="17" ht="15">
      <c r="A17" s="91"/>
    </row>
    <row r="18" spans="1:9" ht="15">
      <c r="A18" s="91"/>
      <c r="B18" s="85"/>
      <c r="C18" s="94" t="s">
        <v>273</v>
      </c>
      <c r="D18" s="90">
        <f>+G27</f>
        <v>1154.2764470893314</v>
      </c>
      <c r="E18" s="90">
        <f>+I27</f>
        <v>7904.908856580581</v>
      </c>
      <c r="F18" s="90">
        <f>+K27</f>
        <v>18492.65542763521</v>
      </c>
      <c r="G18" s="90">
        <f>+M27</f>
        <v>23049.063486472984</v>
      </c>
      <c r="H18" s="90">
        <f>+O27</f>
        <v>23273.085528287058</v>
      </c>
      <c r="I18" s="90"/>
    </row>
    <row r="19" spans="1:14" ht="15">
      <c r="A19" s="91"/>
      <c r="B19" s="85"/>
      <c r="C19" s="94"/>
      <c r="D19" s="85"/>
      <c r="E19" s="85"/>
      <c r="F19" s="85">
        <f>+IF(D15&lt;0,0,1)</f>
        <v>1</v>
      </c>
      <c r="G19" s="90"/>
      <c r="H19" s="85">
        <f>+IF(E15&lt;0,0,1)</f>
        <v>1</v>
      </c>
      <c r="I19" s="90"/>
      <c r="J19" s="85">
        <f>+IF(F15&lt;0,0,1)</f>
        <v>1</v>
      </c>
      <c r="L19" s="85">
        <f>+IF(G15&lt;0,0,1)</f>
        <v>1</v>
      </c>
      <c r="N19" s="85">
        <f>+IF(H15&lt;0,0,1)</f>
        <v>1</v>
      </c>
    </row>
    <row r="20" spans="1:15" ht="15">
      <c r="A20" s="91"/>
      <c r="B20" s="85"/>
      <c r="C20" s="94" t="s">
        <v>274</v>
      </c>
      <c r="D20" s="85"/>
      <c r="E20" s="85"/>
      <c r="F20" s="157" t="s">
        <v>257</v>
      </c>
      <c r="G20" s="158"/>
      <c r="H20" s="157" t="s">
        <v>258</v>
      </c>
      <c r="I20" s="158"/>
      <c r="J20" s="157" t="s">
        <v>259</v>
      </c>
      <c r="K20" s="158"/>
      <c r="L20" s="157" t="s">
        <v>260</v>
      </c>
      <c r="M20" s="158"/>
      <c r="N20" s="157" t="s">
        <v>261</v>
      </c>
      <c r="O20" s="158"/>
    </row>
    <row r="21" spans="1:15" ht="15">
      <c r="A21" s="91"/>
      <c r="B21" s="85"/>
      <c r="C21" s="94" t="s">
        <v>275</v>
      </c>
      <c r="D21" s="85" t="s">
        <v>276</v>
      </c>
      <c r="E21" s="85" t="s">
        <v>277</v>
      </c>
      <c r="F21" s="85" t="s">
        <v>278</v>
      </c>
      <c r="G21" s="90" t="s">
        <v>281</v>
      </c>
      <c r="H21" s="85" t="s">
        <v>278</v>
      </c>
      <c r="I21" s="90" t="s">
        <v>281</v>
      </c>
      <c r="J21" s="85" t="s">
        <v>278</v>
      </c>
      <c r="K21" s="90" t="s">
        <v>281</v>
      </c>
      <c r="L21" s="85" t="s">
        <v>278</v>
      </c>
      <c r="M21" s="90" t="s">
        <v>281</v>
      </c>
      <c r="N21" s="85" t="s">
        <v>278</v>
      </c>
      <c r="O21" s="90" t="s">
        <v>281</v>
      </c>
    </row>
    <row r="22" spans="1:15" ht="15">
      <c r="A22" s="91"/>
      <c r="B22" s="85"/>
      <c r="C22" s="90">
        <v>0</v>
      </c>
      <c r="D22" s="90">
        <v>15000</v>
      </c>
      <c r="E22" s="95">
        <v>0.23</v>
      </c>
      <c r="F22" s="96">
        <f>+IF(D15&gt;$D$22,$D22,D15)*F19</f>
        <v>5018.593248214484</v>
      </c>
      <c r="G22" s="96">
        <f>+$E$22*F22</f>
        <v>1154.2764470893314</v>
      </c>
      <c r="H22" s="96">
        <f>+IF(E15&gt;$D$22,$D22,E15)*H19</f>
        <v>15000</v>
      </c>
      <c r="I22" s="96">
        <f>+$E$22*H22</f>
        <v>3450</v>
      </c>
      <c r="J22" s="96">
        <f>+IF(F15&gt;$D$22,$D22,F15)*J19</f>
        <v>15000</v>
      </c>
      <c r="K22" s="96">
        <f>+$E$22*J22</f>
        <v>3450</v>
      </c>
      <c r="L22" s="96">
        <f>+IF(G15&gt;$D$22,$D22,G15)*L19</f>
        <v>15000</v>
      </c>
      <c r="M22" s="96">
        <f>+$E$22*L22</f>
        <v>3450</v>
      </c>
      <c r="N22" s="96">
        <f>+IF(H15&gt;$D$22,$D22,H15)*N19</f>
        <v>15000</v>
      </c>
      <c r="O22" s="96">
        <f>+$E$22*N22</f>
        <v>3450</v>
      </c>
    </row>
    <row r="23" spans="1:15" ht="15">
      <c r="A23" s="91"/>
      <c r="B23" s="85"/>
      <c r="C23" s="90">
        <v>15000</v>
      </c>
      <c r="D23" s="90">
        <v>28000</v>
      </c>
      <c r="E23" s="85">
        <v>0.27</v>
      </c>
      <c r="F23" s="96">
        <f>+IF(F22=D15,0,IF(D15&gt;$D$23,$D$23-$C$23,D15-$C$23))*F19</f>
        <v>0</v>
      </c>
      <c r="G23" s="96">
        <f>+$E$23*F23</f>
        <v>0</v>
      </c>
      <c r="H23" s="96">
        <f>+IF(H22=E15,0,IF(E15&gt;$D$23,$D$23-$C$23,E15-$C$23))*H19</f>
        <v>13000</v>
      </c>
      <c r="I23" s="96">
        <f>+$E$23*H23</f>
        <v>3510.0000000000005</v>
      </c>
      <c r="J23" s="96">
        <f>+IF(J22=F15,0,IF(F15&gt;$D$23,$D$23-$C$23,F15-$C$23))*J19</f>
        <v>13000</v>
      </c>
      <c r="K23" s="96">
        <f>+$E$23*J23</f>
        <v>3510.0000000000005</v>
      </c>
      <c r="L23" s="96">
        <f>+IF(L22=G15,0,IF(G15&gt;$D$23,$D$23-$C$23,G15-$C$23))*L19</f>
        <v>13000</v>
      </c>
      <c r="M23" s="96">
        <f>+$E$23*L23</f>
        <v>3510.0000000000005</v>
      </c>
      <c r="N23" s="96">
        <f>+IF(N22=H15,0,IF(H15&gt;$D$23,$D$23-$C$23,H15-$C$23))*N19</f>
        <v>13000</v>
      </c>
      <c r="O23" s="96">
        <f>+$E$23*N23</f>
        <v>3510.0000000000005</v>
      </c>
    </row>
    <row r="24" spans="1:15" ht="15">
      <c r="A24" s="91"/>
      <c r="B24" s="85"/>
      <c r="C24" s="90">
        <v>28000</v>
      </c>
      <c r="D24" s="90">
        <v>55000</v>
      </c>
      <c r="E24" s="85">
        <v>0.38</v>
      </c>
      <c r="F24" s="96">
        <f>+IF(F22+F23=D15,0,IF(D15&gt;$D$24,$D$24-$C$24,D15-$C$24))*F19</f>
        <v>0</v>
      </c>
      <c r="G24" s="96">
        <f>+$E$24*F24</f>
        <v>0</v>
      </c>
      <c r="H24" s="96">
        <f>+IF(H22+H23=E15,0,IF(E15&gt;$D$24,$D$24-$C$24,E15-$C$24))*H19</f>
        <v>2486.602254159425</v>
      </c>
      <c r="I24" s="96">
        <f>+$E$24*H24</f>
        <v>944.9088565805814</v>
      </c>
      <c r="J24" s="96">
        <f>+IF(J22+J23=F15,0,IF(F15&gt;$D$24,$D$24-$C$24,F15-$C$24))*J19</f>
        <v>27000</v>
      </c>
      <c r="K24" s="96">
        <f>+$E$24*J24</f>
        <v>10260</v>
      </c>
      <c r="L24" s="96">
        <f>+IF(L22+L23=G15,0,IF(G15&gt;$D$24,$D$24-$C$24,G15-$C$24))*L19</f>
        <v>27000</v>
      </c>
      <c r="M24" s="96">
        <f>+$E$24*L24</f>
        <v>10260</v>
      </c>
      <c r="N24" s="96">
        <f>+IF(N22+N23=H15,0,IF(H15&gt;$D$24,$D$24-$C$24,H15-$C$24))*N19</f>
        <v>27000</v>
      </c>
      <c r="O24" s="96">
        <f>+$E$24*N24</f>
        <v>10260</v>
      </c>
    </row>
    <row r="25" spans="1:15" ht="15">
      <c r="A25" s="91"/>
      <c r="B25" s="85"/>
      <c r="C25" s="90">
        <v>55000</v>
      </c>
      <c r="D25" s="90">
        <v>75000</v>
      </c>
      <c r="E25" s="85">
        <v>0.41</v>
      </c>
      <c r="F25" s="96">
        <f>+IF(F23+F24+F22=D15,0,IF(D15&gt;$D$25,$D$25-$C$25,D15-$C$25))*F19</f>
        <v>0</v>
      </c>
      <c r="G25" s="96">
        <f>+$E$25*F25</f>
        <v>0</v>
      </c>
      <c r="H25" s="96">
        <f>+IF(H23+H24+H22=E15,0,IF(E15&gt;$D$25,$D$25-$C$25,E15-$C$25))*H19</f>
        <v>0</v>
      </c>
      <c r="I25" s="96">
        <f>+$E$25*H25</f>
        <v>0</v>
      </c>
      <c r="J25" s="96">
        <f>+IF(J23+J24+J22=F15,0,IF(F15&gt;$D$25,$D$25-$C$25,F15-$C$25))*J19</f>
        <v>3104.037628378559</v>
      </c>
      <c r="K25" s="96">
        <f>+$E$25*J25</f>
        <v>1272.6554276352092</v>
      </c>
      <c r="L25" s="96">
        <f>+IF(L23+L24+L22=G15,0,IF(G15&gt;$D$25,$D$25-$C$25,G15-$C$25))*L19</f>
        <v>14217.228015787769</v>
      </c>
      <c r="M25" s="96">
        <f>+$E$25*L25</f>
        <v>5829.063486472985</v>
      </c>
      <c r="N25" s="96">
        <f>+IF(N23+N24+N22=H15,0,IF(H15&gt;$D$25,$D$25-$C$25,H15-$C$25))*N19</f>
        <v>14763.623239724533</v>
      </c>
      <c r="O25" s="96">
        <f>+$E$25*N25</f>
        <v>6053.085528287058</v>
      </c>
    </row>
    <row r="26" spans="1:15" ht="15">
      <c r="A26" s="91"/>
      <c r="B26" s="85"/>
      <c r="C26" s="90">
        <v>75000</v>
      </c>
      <c r="D26" s="90"/>
      <c r="E26" s="85">
        <v>0.43</v>
      </c>
      <c r="F26" s="96">
        <f>+IF(F24+F25+F23+F22=D15,0,D15-$C$26)*F19</f>
        <v>0</v>
      </c>
      <c r="G26" s="96">
        <f>+$E$26*F26</f>
        <v>0</v>
      </c>
      <c r="H26" s="96">
        <f>+IF(H24+H25+H23+H22=E15,0,E15-$C$26)*H19</f>
        <v>0</v>
      </c>
      <c r="I26" s="96">
        <f>+$E$26*H26</f>
        <v>0</v>
      </c>
      <c r="J26" s="96">
        <f>+IF(J24+J25+J23+J22=F15,0,F15-$C$26)*J19</f>
        <v>0</v>
      </c>
      <c r="K26" s="96">
        <f>+$E$26*J26</f>
        <v>0</v>
      </c>
      <c r="L26" s="96">
        <f>+IF(L24+L25+L23+L22=G15,0,G15-$C$26)*L19</f>
        <v>0</v>
      </c>
      <c r="M26" s="96">
        <f>+$E$26*L26</f>
        <v>0</v>
      </c>
      <c r="N26" s="96">
        <f>+IF(N24+N25+N23+N22=H15,0,H15-$C$26)*N19</f>
        <v>0</v>
      </c>
      <c r="O26" s="96">
        <f>+$E$26*N26</f>
        <v>0</v>
      </c>
    </row>
    <row r="27" spans="1:15" ht="15">
      <c r="A27" s="91"/>
      <c r="B27" s="85"/>
      <c r="C27" s="90"/>
      <c r="D27" s="90"/>
      <c r="E27" s="85"/>
      <c r="F27" s="85" t="s">
        <v>15</v>
      </c>
      <c r="G27" s="97">
        <f>SUM(G22:G26)</f>
        <v>1154.2764470893314</v>
      </c>
      <c r="H27" s="85" t="s">
        <v>15</v>
      </c>
      <c r="I27" s="97">
        <f>SUM(I22:I26)</f>
        <v>7904.908856580581</v>
      </c>
      <c r="J27" s="85" t="s">
        <v>15</v>
      </c>
      <c r="K27" s="97">
        <f>SUM(K22:K26)</f>
        <v>18492.65542763521</v>
      </c>
      <c r="L27" s="85" t="s">
        <v>15</v>
      </c>
      <c r="M27" s="97">
        <f>SUM(M22:M26)</f>
        <v>23049.063486472984</v>
      </c>
      <c r="N27" s="85" t="s">
        <v>15</v>
      </c>
      <c r="O27" s="97">
        <f>SUM(O22:O26)</f>
        <v>23273.085528287058</v>
      </c>
    </row>
    <row r="28" spans="1:9" ht="15">
      <c r="A28" s="91"/>
      <c r="B28" s="85"/>
      <c r="C28" s="94"/>
      <c r="D28" s="85"/>
      <c r="E28" s="85"/>
      <c r="F28" s="85"/>
      <c r="G28" s="90"/>
      <c r="H28" s="90"/>
      <c r="I28" s="90"/>
    </row>
    <row r="29" spans="1:7" ht="15">
      <c r="A29" s="91"/>
      <c r="B29" s="91"/>
      <c r="C29" s="89"/>
      <c r="D29" s="89"/>
      <c r="E29" s="89"/>
      <c r="F29" s="89"/>
      <c r="G29" s="89"/>
    </row>
    <row r="30" spans="1:7" ht="15">
      <c r="A30" s="91"/>
      <c r="B30" s="91"/>
      <c r="C30" s="89"/>
      <c r="D30" s="89"/>
      <c r="E30" s="89"/>
      <c r="F30" s="89"/>
      <c r="G30" s="89"/>
    </row>
    <row r="31" spans="1:7" ht="15">
      <c r="A31" s="91"/>
      <c r="B31" s="91"/>
      <c r="C31" s="89"/>
      <c r="D31" s="89"/>
      <c r="E31" s="89"/>
      <c r="F31" s="89"/>
      <c r="G31" s="89"/>
    </row>
    <row r="32" spans="1:7" ht="15">
      <c r="A32" s="91"/>
      <c r="B32" s="91"/>
      <c r="C32" s="89"/>
      <c r="D32" s="89"/>
      <c r="E32" s="89"/>
      <c r="F32" s="89"/>
      <c r="G32" s="89"/>
    </row>
    <row r="33" spans="1:7" ht="15">
      <c r="A33" s="91"/>
      <c r="B33" s="91"/>
      <c r="C33" s="89"/>
      <c r="D33" s="89"/>
      <c r="E33" s="89"/>
      <c r="F33" s="89"/>
      <c r="G33" s="89"/>
    </row>
    <row r="34" spans="1:7" ht="15">
      <c r="A34" s="91"/>
      <c r="B34" s="91"/>
      <c r="C34" s="89"/>
      <c r="D34" s="89"/>
      <c r="E34" s="89"/>
      <c r="F34" s="89"/>
      <c r="G34" s="89"/>
    </row>
    <row r="35" spans="1:7" ht="15">
      <c r="A35" s="91"/>
      <c r="B35" s="91"/>
      <c r="C35" s="89"/>
      <c r="D35" s="89"/>
      <c r="E35" s="89"/>
      <c r="F35" s="89"/>
      <c r="G35" s="89"/>
    </row>
    <row r="36" spans="1:7" ht="15">
      <c r="A36" s="91"/>
      <c r="B36" s="91"/>
      <c r="C36" s="89"/>
      <c r="D36" s="89"/>
      <c r="E36" s="89"/>
      <c r="F36" s="89"/>
      <c r="G36" s="89"/>
    </row>
    <row r="37" spans="1:7" ht="15">
      <c r="A37" s="91"/>
      <c r="B37" s="91"/>
      <c r="C37" s="89"/>
      <c r="D37" s="89"/>
      <c r="E37" s="89"/>
      <c r="F37" s="89"/>
      <c r="G37" s="89"/>
    </row>
    <row r="38" spans="1:7" ht="15">
      <c r="A38" s="91"/>
      <c r="B38" s="91"/>
      <c r="C38" s="89"/>
      <c r="D38" s="89"/>
      <c r="E38" s="89"/>
      <c r="F38" s="89"/>
      <c r="G38" s="89"/>
    </row>
    <row r="39" spans="1:7" ht="15">
      <c r="A39" s="91"/>
      <c r="B39" s="91"/>
      <c r="C39" s="89"/>
      <c r="D39" s="89"/>
      <c r="E39" s="89"/>
      <c r="F39" s="89"/>
      <c r="G39" s="89"/>
    </row>
    <row r="40" spans="1:7" ht="15">
      <c r="A40" s="91"/>
      <c r="B40" s="91"/>
      <c r="C40" s="89"/>
      <c r="D40" s="89"/>
      <c r="E40" s="89"/>
      <c r="F40" s="89"/>
      <c r="G40" s="89"/>
    </row>
    <row r="41" spans="1:7" ht="15">
      <c r="A41" s="91"/>
      <c r="B41" s="91"/>
      <c r="C41" s="89"/>
      <c r="D41" s="89"/>
      <c r="E41" s="89"/>
      <c r="F41" s="89"/>
      <c r="G41" s="89"/>
    </row>
    <row r="42" spans="1:7" ht="15">
      <c r="A42" s="91"/>
      <c r="B42" s="91"/>
      <c r="C42" s="89"/>
      <c r="D42" s="89"/>
      <c r="E42" s="89"/>
      <c r="F42" s="89"/>
      <c r="G42" s="89"/>
    </row>
    <row r="43" spans="1:7" ht="15">
      <c r="A43" s="91"/>
      <c r="B43" s="91"/>
      <c r="C43" s="89"/>
      <c r="D43" s="89"/>
      <c r="E43" s="89"/>
      <c r="F43" s="89"/>
      <c r="G43" s="89"/>
    </row>
    <row r="44" spans="1:7" ht="15">
      <c r="A44" s="91"/>
      <c r="B44" s="91"/>
      <c r="C44" s="89"/>
      <c r="D44" s="89"/>
      <c r="E44" s="89"/>
      <c r="F44" s="89"/>
      <c r="G44" s="89"/>
    </row>
    <row r="45" spans="1:7" ht="15">
      <c r="A45" s="91"/>
      <c r="B45" s="91"/>
      <c r="C45" s="89"/>
      <c r="D45" s="89"/>
      <c r="E45" s="89"/>
      <c r="F45" s="89"/>
      <c r="G45" s="89"/>
    </row>
    <row r="46" spans="1:7" ht="15">
      <c r="A46" s="91"/>
      <c r="B46" s="91"/>
      <c r="C46" s="89"/>
      <c r="D46" s="89"/>
      <c r="E46" s="89"/>
      <c r="F46" s="89"/>
      <c r="G46" s="89"/>
    </row>
    <row r="47" spans="1:7" ht="15">
      <c r="A47" s="91"/>
      <c r="B47" s="91"/>
      <c r="C47" s="89"/>
      <c r="D47" s="89"/>
      <c r="E47" s="89"/>
      <c r="F47" s="89"/>
      <c r="G47" s="89"/>
    </row>
    <row r="48" spans="1:7" ht="15">
      <c r="A48" s="91"/>
      <c r="B48" s="91"/>
      <c r="C48" s="89"/>
      <c r="D48" s="89"/>
      <c r="E48" s="89"/>
      <c r="F48" s="89"/>
      <c r="G48" s="89"/>
    </row>
    <row r="49" spans="1:7" ht="15">
      <c r="A49" s="91"/>
      <c r="B49" s="91"/>
      <c r="C49" s="89"/>
      <c r="D49" s="89"/>
      <c r="E49" s="89"/>
      <c r="F49" s="89"/>
      <c r="G49" s="89"/>
    </row>
    <row r="50" spans="1:7" ht="15">
      <c r="A50" s="91"/>
      <c r="B50" s="91"/>
      <c r="C50" s="89"/>
      <c r="D50" s="89"/>
      <c r="E50" s="89"/>
      <c r="F50" s="89"/>
      <c r="G50" s="89"/>
    </row>
    <row r="51" spans="1:7" ht="15">
      <c r="A51" s="91"/>
      <c r="B51" s="91"/>
      <c r="C51" s="89"/>
      <c r="D51" s="89"/>
      <c r="E51" s="89"/>
      <c r="F51" s="89"/>
      <c r="G51" s="89"/>
    </row>
    <row r="52" spans="1:7" ht="15">
      <c r="A52" s="91"/>
      <c r="B52" s="91"/>
      <c r="C52" s="89"/>
      <c r="D52" s="89"/>
      <c r="E52" s="89"/>
      <c r="F52" s="89"/>
      <c r="G52" s="89"/>
    </row>
    <row r="53" spans="1:7" ht="15">
      <c r="A53" s="91"/>
      <c r="B53" s="91"/>
      <c r="C53" s="89"/>
      <c r="D53" s="89"/>
      <c r="E53" s="89"/>
      <c r="F53" s="89"/>
      <c r="G53" s="89"/>
    </row>
    <row r="54" spans="1:7" ht="15">
      <c r="A54" s="91"/>
      <c r="B54" s="91"/>
      <c r="C54" s="89"/>
      <c r="D54" s="89"/>
      <c r="E54" s="89"/>
      <c r="F54" s="89"/>
      <c r="G54" s="89"/>
    </row>
    <row r="55" spans="1:7" ht="15">
      <c r="A55" s="91"/>
      <c r="B55" s="91"/>
      <c r="C55" s="89"/>
      <c r="D55" s="89"/>
      <c r="E55" s="89"/>
      <c r="F55" s="89"/>
      <c r="G55" s="89"/>
    </row>
    <row r="56" spans="1:7" ht="15">
      <c r="A56" s="91"/>
      <c r="B56" s="91"/>
      <c r="C56" s="89"/>
      <c r="D56" s="89"/>
      <c r="E56" s="89"/>
      <c r="F56" s="89"/>
      <c r="G56" s="89"/>
    </row>
    <row r="57" spans="1:7" ht="15">
      <c r="A57" s="91"/>
      <c r="B57" s="91"/>
      <c r="C57" s="89"/>
      <c r="D57" s="89"/>
      <c r="E57" s="89"/>
      <c r="F57" s="89"/>
      <c r="G57" s="89"/>
    </row>
    <row r="58" spans="1:7" ht="15">
      <c r="A58" s="91"/>
      <c r="B58" s="91"/>
      <c r="C58" s="89"/>
      <c r="D58" s="89"/>
      <c r="E58" s="89"/>
      <c r="F58" s="89"/>
      <c r="G58" s="89"/>
    </row>
    <row r="59" spans="1:7" ht="15">
      <c r="A59" s="91"/>
      <c r="B59" s="91"/>
      <c r="C59" s="89"/>
      <c r="D59" s="89"/>
      <c r="E59" s="89"/>
      <c r="F59" s="89"/>
      <c r="G59" s="89"/>
    </row>
    <row r="60" spans="1:7" ht="15">
      <c r="A60" s="91"/>
      <c r="B60" s="91"/>
      <c r="C60" s="89"/>
      <c r="D60" s="89"/>
      <c r="E60" s="89"/>
      <c r="F60" s="89"/>
      <c r="G60" s="89"/>
    </row>
    <row r="61" spans="1:7" ht="15">
      <c r="A61" s="91"/>
      <c r="B61" s="91"/>
      <c r="C61" s="89"/>
      <c r="D61" s="89"/>
      <c r="E61" s="89"/>
      <c r="F61" s="89"/>
      <c r="G61" s="89"/>
    </row>
    <row r="62" spans="1:7" ht="15">
      <c r="A62" s="91"/>
      <c r="B62" s="91"/>
      <c r="C62" s="89"/>
      <c r="D62" s="89"/>
      <c r="E62" s="89"/>
      <c r="F62" s="89"/>
      <c r="G62" s="89"/>
    </row>
    <row r="63" spans="1:7" ht="15">
      <c r="A63" s="91"/>
      <c r="B63" s="91"/>
      <c r="C63" s="89"/>
      <c r="D63" s="89"/>
      <c r="E63" s="89"/>
      <c r="F63" s="89"/>
      <c r="G63" s="89"/>
    </row>
    <row r="64" spans="1:7" ht="15">
      <c r="A64" s="91"/>
      <c r="B64" s="91"/>
      <c r="C64" s="89"/>
      <c r="D64" s="89"/>
      <c r="E64" s="89"/>
      <c r="F64" s="89"/>
      <c r="G64" s="89"/>
    </row>
    <row r="65" spans="1:7" ht="15">
      <c r="A65" s="91"/>
      <c r="B65" s="91"/>
      <c r="C65" s="89"/>
      <c r="D65" s="89"/>
      <c r="E65" s="89"/>
      <c r="F65" s="89"/>
      <c r="G65" s="89"/>
    </row>
    <row r="66" spans="1:7" ht="15">
      <c r="A66" s="91"/>
      <c r="B66" s="91"/>
      <c r="C66" s="89"/>
      <c r="D66" s="89"/>
      <c r="E66" s="89"/>
      <c r="F66" s="89"/>
      <c r="G66" s="89"/>
    </row>
    <row r="67" spans="1:7" ht="15">
      <c r="A67" s="91"/>
      <c r="B67" s="91"/>
      <c r="C67" s="89"/>
      <c r="D67" s="89"/>
      <c r="E67" s="89"/>
      <c r="F67" s="89"/>
      <c r="G67" s="89"/>
    </row>
    <row r="68" spans="1:7" ht="15">
      <c r="A68" s="91"/>
      <c r="B68" s="91"/>
      <c r="C68" s="89"/>
      <c r="D68" s="89"/>
      <c r="E68" s="89"/>
      <c r="F68" s="89"/>
      <c r="G68" s="89"/>
    </row>
    <row r="69" spans="1:7" ht="15">
      <c r="A69" s="91"/>
      <c r="B69" s="91"/>
      <c r="C69" s="89"/>
      <c r="D69" s="89"/>
      <c r="E69" s="89"/>
      <c r="F69" s="89"/>
      <c r="G69" s="89"/>
    </row>
    <row r="70" spans="1:7" ht="15">
      <c r="A70" s="91"/>
      <c r="B70" s="91"/>
      <c r="C70" s="89"/>
      <c r="D70" s="89"/>
      <c r="E70" s="89"/>
      <c r="F70" s="89"/>
      <c r="G70" s="89"/>
    </row>
    <row r="71" spans="1:7" ht="15">
      <c r="A71" s="91"/>
      <c r="B71" s="91"/>
      <c r="C71" s="89"/>
      <c r="D71" s="89"/>
      <c r="E71" s="89"/>
      <c r="F71" s="89"/>
      <c r="G71" s="89"/>
    </row>
    <row r="72" spans="1:7" ht="15">
      <c r="A72" s="91"/>
      <c r="B72" s="91"/>
      <c r="C72" s="89"/>
      <c r="D72" s="89"/>
      <c r="E72" s="89"/>
      <c r="F72" s="89"/>
      <c r="G72" s="89"/>
    </row>
    <row r="73" spans="1:7" ht="15">
      <c r="A73" s="91"/>
      <c r="B73" s="91"/>
      <c r="C73" s="89"/>
      <c r="D73" s="89"/>
      <c r="E73" s="89"/>
      <c r="F73" s="89"/>
      <c r="G73" s="89"/>
    </row>
    <row r="74" spans="1:7" ht="15">
      <c r="A74" s="91"/>
      <c r="B74" s="91"/>
      <c r="C74" s="89"/>
      <c r="D74" s="89"/>
      <c r="E74" s="89"/>
      <c r="F74" s="89"/>
      <c r="G74" s="89"/>
    </row>
    <row r="75" spans="1:7" ht="15">
      <c r="A75" s="91"/>
      <c r="B75" s="91"/>
      <c r="C75" s="89"/>
      <c r="D75" s="89"/>
      <c r="E75" s="89"/>
      <c r="F75" s="89"/>
      <c r="G75" s="89"/>
    </row>
    <row r="76" spans="1:7" ht="15">
      <c r="A76" s="91"/>
      <c r="B76" s="91"/>
      <c r="C76" s="89"/>
      <c r="D76" s="89"/>
      <c r="E76" s="89"/>
      <c r="F76" s="89"/>
      <c r="G76" s="89"/>
    </row>
    <row r="77" spans="1:7" ht="15">
      <c r="A77" s="91"/>
      <c r="B77" s="91"/>
      <c r="C77" s="89"/>
      <c r="D77" s="89"/>
      <c r="E77" s="89"/>
      <c r="F77" s="89"/>
      <c r="G77" s="89"/>
    </row>
    <row r="78" spans="1:7" ht="15">
      <c r="A78" s="91"/>
      <c r="B78" s="91"/>
      <c r="C78" s="89"/>
      <c r="D78" s="89"/>
      <c r="E78" s="89"/>
      <c r="F78" s="89"/>
      <c r="G78" s="89"/>
    </row>
    <row r="79" spans="1:7" ht="15">
      <c r="A79" s="91"/>
      <c r="B79" s="91"/>
      <c r="C79" s="89"/>
      <c r="D79" s="89"/>
      <c r="E79" s="89"/>
      <c r="F79" s="89"/>
      <c r="G79" s="89"/>
    </row>
    <row r="80" spans="1:7" ht="15">
      <c r="A80" s="91"/>
      <c r="B80" s="91"/>
      <c r="C80" s="89"/>
      <c r="D80" s="89"/>
      <c r="E80" s="89"/>
      <c r="F80" s="89"/>
      <c r="G80" s="89"/>
    </row>
    <row r="81" spans="1:7" ht="15">
      <c r="A81" s="91"/>
      <c r="B81" s="91"/>
      <c r="C81" s="89"/>
      <c r="D81" s="89"/>
      <c r="E81" s="89"/>
      <c r="F81" s="89"/>
      <c r="G81" s="89"/>
    </row>
    <row r="82" spans="1:7" ht="15">
      <c r="A82" s="91"/>
      <c r="B82" s="91"/>
      <c r="C82" s="89"/>
      <c r="D82" s="89"/>
      <c r="E82" s="89"/>
      <c r="F82" s="89"/>
      <c r="G82" s="89"/>
    </row>
    <row r="83" spans="1:7" ht="15">
      <c r="A83" s="91"/>
      <c r="B83" s="91"/>
      <c r="C83" s="89"/>
      <c r="D83" s="89"/>
      <c r="E83" s="89"/>
      <c r="F83" s="89"/>
      <c r="G83" s="89"/>
    </row>
    <row r="84" spans="1:7" ht="15">
      <c r="A84" s="91"/>
      <c r="B84" s="91"/>
      <c r="C84" s="89"/>
      <c r="D84" s="89"/>
      <c r="E84" s="89"/>
      <c r="F84" s="89"/>
      <c r="G84" s="89"/>
    </row>
    <row r="85" spans="1:7" ht="15">
      <c r="A85" s="91"/>
      <c r="B85" s="91"/>
      <c r="C85" s="89"/>
      <c r="D85" s="89"/>
      <c r="E85" s="89"/>
      <c r="F85" s="89"/>
      <c r="G85" s="89"/>
    </row>
    <row r="86" spans="1:7" ht="15">
      <c r="A86" s="91"/>
      <c r="B86" s="91"/>
      <c r="C86" s="89"/>
      <c r="D86" s="89"/>
      <c r="E86" s="89"/>
      <c r="F86" s="89"/>
      <c r="G86" s="89"/>
    </row>
    <row r="87" spans="1:7" ht="15">
      <c r="A87" s="91"/>
      <c r="B87" s="91"/>
      <c r="C87" s="89"/>
      <c r="D87" s="89"/>
      <c r="E87" s="89"/>
      <c r="F87" s="89"/>
      <c r="G87" s="89"/>
    </row>
    <row r="88" spans="1:7" ht="15">
      <c r="A88" s="91"/>
      <c r="B88" s="91"/>
      <c r="C88" s="89"/>
      <c r="D88" s="89"/>
      <c r="E88" s="89"/>
      <c r="F88" s="89"/>
      <c r="G88" s="89"/>
    </row>
    <row r="89" spans="1:7" ht="15">
      <c r="A89" s="91"/>
      <c r="B89" s="91"/>
      <c r="C89" s="89"/>
      <c r="D89" s="89"/>
      <c r="E89" s="89"/>
      <c r="F89" s="89"/>
      <c r="G89" s="89"/>
    </row>
    <row r="90" spans="1:7" ht="15">
      <c r="A90" s="91"/>
      <c r="B90" s="91"/>
      <c r="C90" s="89"/>
      <c r="D90" s="89"/>
      <c r="E90" s="89"/>
      <c r="F90" s="89"/>
      <c r="G90" s="89"/>
    </row>
    <row r="91" spans="1:7" ht="15">
      <c r="A91" s="91"/>
      <c r="B91" s="91"/>
      <c r="C91" s="89"/>
      <c r="D91" s="89"/>
      <c r="E91" s="89"/>
      <c r="F91" s="89"/>
      <c r="G91" s="89"/>
    </row>
    <row r="92" spans="1:7" ht="15">
      <c r="A92" s="91"/>
      <c r="B92" s="91"/>
      <c r="C92" s="89"/>
      <c r="D92" s="89"/>
      <c r="E92" s="89"/>
      <c r="F92" s="89"/>
      <c r="G92" s="89"/>
    </row>
    <row r="93" spans="1:7" ht="15">
      <c r="A93" s="91"/>
      <c r="B93" s="91"/>
      <c r="C93" s="89"/>
      <c r="D93" s="89"/>
      <c r="E93" s="89"/>
      <c r="F93" s="89"/>
      <c r="G93" s="89"/>
    </row>
    <row r="94" spans="1:7" ht="15">
      <c r="A94" s="91"/>
      <c r="B94" s="91"/>
      <c r="C94" s="89"/>
      <c r="D94" s="89"/>
      <c r="E94" s="89"/>
      <c r="F94" s="89"/>
      <c r="G94" s="89"/>
    </row>
    <row r="95" spans="1:7" ht="15">
      <c r="A95" s="91"/>
      <c r="B95" s="91"/>
      <c r="C95" s="89"/>
      <c r="D95" s="89"/>
      <c r="E95" s="89"/>
      <c r="F95" s="89"/>
      <c r="G95" s="89"/>
    </row>
    <row r="96" spans="1:7" ht="15">
      <c r="A96" s="91"/>
      <c r="B96" s="91"/>
      <c r="C96" s="89"/>
      <c r="D96" s="89"/>
      <c r="E96" s="89"/>
      <c r="F96" s="89"/>
      <c r="G96" s="89"/>
    </row>
    <row r="97" spans="1:7" ht="15">
      <c r="A97" s="91"/>
      <c r="B97" s="91"/>
      <c r="C97" s="89"/>
      <c r="D97" s="89"/>
      <c r="E97" s="89"/>
      <c r="F97" s="89"/>
      <c r="G97" s="89"/>
    </row>
    <row r="98" spans="1:7" ht="15">
      <c r="A98" s="91"/>
      <c r="B98" s="91"/>
      <c r="C98" s="89"/>
      <c r="D98" s="89"/>
      <c r="E98" s="89"/>
      <c r="F98" s="89"/>
      <c r="G98" s="89"/>
    </row>
    <row r="99" spans="1:7" ht="15">
      <c r="A99" s="91"/>
      <c r="B99" s="91"/>
      <c r="C99" s="89"/>
      <c r="D99" s="89"/>
      <c r="E99" s="89"/>
      <c r="F99" s="89"/>
      <c r="G99" s="89"/>
    </row>
    <row r="100" spans="1:7" ht="15">
      <c r="A100" s="91"/>
      <c r="B100" s="91"/>
      <c r="C100" s="89"/>
      <c r="D100" s="89"/>
      <c r="E100" s="89"/>
      <c r="F100" s="89"/>
      <c r="G100" s="89"/>
    </row>
    <row r="101" spans="1:7" ht="15">
      <c r="A101" s="91"/>
      <c r="B101" s="91"/>
      <c r="C101" s="89"/>
      <c r="D101" s="89"/>
      <c r="E101" s="89"/>
      <c r="F101" s="89"/>
      <c r="G101" s="89"/>
    </row>
    <row r="102" spans="1:7" ht="15">
      <c r="A102" s="91"/>
      <c r="B102" s="91"/>
      <c r="C102" s="89"/>
      <c r="D102" s="89"/>
      <c r="E102" s="89"/>
      <c r="F102" s="89"/>
      <c r="G102" s="89"/>
    </row>
    <row r="103" spans="1:7" ht="15">
      <c r="A103" s="91"/>
      <c r="B103" s="91"/>
      <c r="C103" s="89"/>
      <c r="D103" s="89"/>
      <c r="E103" s="89"/>
      <c r="F103" s="89"/>
      <c r="G103" s="89"/>
    </row>
    <row r="104" spans="1:7" ht="15">
      <c r="A104" s="91"/>
      <c r="B104" s="91"/>
      <c r="C104" s="89"/>
      <c r="D104" s="89"/>
      <c r="E104" s="89"/>
      <c r="F104" s="89"/>
      <c r="G104" s="89"/>
    </row>
    <row r="105" spans="1:7" ht="15">
      <c r="A105" s="91"/>
      <c r="B105" s="91"/>
      <c r="C105" s="89"/>
      <c r="D105" s="89"/>
      <c r="E105" s="89"/>
      <c r="F105" s="89"/>
      <c r="G105" s="89"/>
    </row>
    <row r="106" spans="1:7" ht="15">
      <c r="A106" s="91"/>
      <c r="B106" s="91"/>
      <c r="C106" s="89"/>
      <c r="D106" s="89"/>
      <c r="E106" s="89"/>
      <c r="F106" s="89"/>
      <c r="G106" s="89"/>
    </row>
    <row r="107" spans="1:7" ht="15">
      <c r="A107" s="91"/>
      <c r="B107" s="91"/>
      <c r="C107" s="89"/>
      <c r="D107" s="89"/>
      <c r="E107" s="89"/>
      <c r="F107" s="89"/>
      <c r="G107" s="89"/>
    </row>
    <row r="108" spans="1:7" ht="15">
      <c r="A108" s="91"/>
      <c r="B108" s="91"/>
      <c r="C108" s="89"/>
      <c r="D108" s="89"/>
      <c r="E108" s="89"/>
      <c r="F108" s="89"/>
      <c r="G108" s="89"/>
    </row>
    <row r="109" spans="1:7" ht="15">
      <c r="A109" s="91"/>
      <c r="B109" s="91"/>
      <c r="C109" s="89"/>
      <c r="D109" s="89"/>
      <c r="E109" s="89"/>
      <c r="F109" s="89"/>
      <c r="G109" s="89"/>
    </row>
    <row r="110" spans="1:7" ht="15">
      <c r="A110" s="91"/>
      <c r="B110" s="91"/>
      <c r="C110" s="89"/>
      <c r="D110" s="89"/>
      <c r="E110" s="89"/>
      <c r="F110" s="89"/>
      <c r="G110" s="89"/>
    </row>
    <row r="111" spans="1:7" ht="15">
      <c r="A111" s="91"/>
      <c r="B111" s="91"/>
      <c r="C111" s="89"/>
      <c r="D111" s="89"/>
      <c r="E111" s="89"/>
      <c r="F111" s="89"/>
      <c r="G111" s="89"/>
    </row>
    <row r="112" spans="1:7" ht="15">
      <c r="A112" s="91"/>
      <c r="B112" s="91"/>
      <c r="C112" s="89"/>
      <c r="D112" s="89"/>
      <c r="E112" s="89"/>
      <c r="F112" s="89"/>
      <c r="G112" s="89"/>
    </row>
    <row r="113" spans="1:7" ht="15">
      <c r="A113" s="91"/>
      <c r="B113" s="91"/>
      <c r="C113" s="89"/>
      <c r="D113" s="89"/>
      <c r="E113" s="89"/>
      <c r="F113" s="89"/>
      <c r="G113" s="89"/>
    </row>
    <row r="114" spans="1:7" ht="15">
      <c r="A114" s="91"/>
      <c r="B114" s="91"/>
      <c r="C114" s="89"/>
      <c r="D114" s="89"/>
      <c r="E114" s="89"/>
      <c r="F114" s="89"/>
      <c r="G114" s="89"/>
    </row>
    <row r="115" spans="1:7" ht="15">
      <c r="A115" s="91"/>
      <c r="B115" s="91"/>
      <c r="C115" s="89"/>
      <c r="D115" s="89"/>
      <c r="E115" s="89"/>
      <c r="F115" s="89"/>
      <c r="G115" s="89"/>
    </row>
    <row r="116" spans="1:7" ht="15">
      <c r="A116" s="91"/>
      <c r="B116" s="91"/>
      <c r="C116" s="89"/>
      <c r="D116" s="89"/>
      <c r="E116" s="89"/>
      <c r="F116" s="89"/>
      <c r="G116" s="89"/>
    </row>
    <row r="117" spans="1:7" ht="15">
      <c r="A117" s="91"/>
      <c r="B117" s="91"/>
      <c r="C117" s="89"/>
      <c r="D117" s="89"/>
      <c r="E117" s="89"/>
      <c r="F117" s="89"/>
      <c r="G117" s="89"/>
    </row>
    <row r="118" spans="1:7" ht="15">
      <c r="A118" s="91"/>
      <c r="B118" s="91"/>
      <c r="C118" s="89"/>
      <c r="D118" s="89"/>
      <c r="E118" s="89"/>
      <c r="F118" s="89"/>
      <c r="G118" s="89"/>
    </row>
    <row r="119" spans="1:7" ht="15">
      <c r="A119" s="91"/>
      <c r="B119" s="91"/>
      <c r="C119" s="89"/>
      <c r="D119" s="89"/>
      <c r="E119" s="89"/>
      <c r="F119" s="89"/>
      <c r="G119" s="89"/>
    </row>
    <row r="120" spans="1:7" ht="15">
      <c r="A120" s="91"/>
      <c r="B120" s="91"/>
      <c r="C120" s="89"/>
      <c r="D120" s="89"/>
      <c r="E120" s="89"/>
      <c r="F120" s="89"/>
      <c r="G120" s="89"/>
    </row>
    <row r="121" spans="1:7" ht="15">
      <c r="A121" s="91"/>
      <c r="B121" s="91"/>
      <c r="C121" s="89"/>
      <c r="D121" s="89"/>
      <c r="E121" s="89"/>
      <c r="F121" s="89"/>
      <c r="G121" s="89"/>
    </row>
    <row r="122" spans="1:7" ht="15">
      <c r="A122" s="91"/>
      <c r="B122" s="91"/>
      <c r="C122" s="89"/>
      <c r="D122" s="89"/>
      <c r="E122" s="89"/>
      <c r="F122" s="89"/>
      <c r="G122" s="89"/>
    </row>
    <row r="123" spans="1:7" ht="15">
      <c r="A123" s="91"/>
      <c r="B123" s="91"/>
      <c r="C123" s="89"/>
      <c r="D123" s="89"/>
      <c r="E123" s="89"/>
      <c r="F123" s="89"/>
      <c r="G123" s="89"/>
    </row>
    <row r="124" spans="1:7" ht="15">
      <c r="A124" s="91"/>
      <c r="B124" s="91"/>
      <c r="C124" s="89"/>
      <c r="D124" s="89"/>
      <c r="E124" s="89"/>
      <c r="F124" s="89"/>
      <c r="G124" s="89"/>
    </row>
    <row r="125" spans="1:7" ht="15">
      <c r="A125" s="91"/>
      <c r="B125" s="91"/>
      <c r="C125" s="89"/>
      <c r="D125" s="89"/>
      <c r="E125" s="89"/>
      <c r="F125" s="89"/>
      <c r="G125" s="89"/>
    </row>
    <row r="126" spans="1:7" ht="15">
      <c r="A126" s="91"/>
      <c r="B126" s="91"/>
      <c r="C126" s="89"/>
      <c r="D126" s="89"/>
      <c r="E126" s="89"/>
      <c r="F126" s="89"/>
      <c r="G126" s="89"/>
    </row>
    <row r="127" spans="1:7" ht="15">
      <c r="A127" s="91"/>
      <c r="B127" s="91"/>
      <c r="C127" s="89"/>
      <c r="D127" s="89"/>
      <c r="E127" s="89"/>
      <c r="F127" s="89"/>
      <c r="G127" s="89"/>
    </row>
    <row r="128" spans="1:7" ht="15">
      <c r="A128" s="91"/>
      <c r="B128" s="91"/>
      <c r="C128" s="89"/>
      <c r="D128" s="89"/>
      <c r="E128" s="89"/>
      <c r="F128" s="89"/>
      <c r="G128" s="89"/>
    </row>
    <row r="129" spans="1:7" ht="15">
      <c r="A129" s="91"/>
      <c r="B129" s="91"/>
      <c r="C129" s="89"/>
      <c r="D129" s="89"/>
      <c r="E129" s="89"/>
      <c r="F129" s="89"/>
      <c r="G129" s="89"/>
    </row>
    <row r="130" spans="1:7" ht="15">
      <c r="A130" s="91"/>
      <c r="B130" s="91"/>
      <c r="C130" s="89"/>
      <c r="D130" s="89"/>
      <c r="E130" s="89"/>
      <c r="F130" s="89"/>
      <c r="G130" s="89"/>
    </row>
    <row r="131" spans="1:7" ht="15">
      <c r="A131" s="91"/>
      <c r="B131" s="91"/>
      <c r="C131" s="89"/>
      <c r="D131" s="89"/>
      <c r="E131" s="89"/>
      <c r="F131" s="89"/>
      <c r="G131" s="89"/>
    </row>
    <row r="132" spans="1:7" ht="15">
      <c r="A132" s="91"/>
      <c r="B132" s="91"/>
      <c r="C132" s="89"/>
      <c r="D132" s="89"/>
      <c r="E132" s="89"/>
      <c r="F132" s="89"/>
      <c r="G132" s="89"/>
    </row>
    <row r="133" spans="1:7" ht="15">
      <c r="A133" s="91"/>
      <c r="B133" s="91"/>
      <c r="C133" s="89"/>
      <c r="D133" s="89"/>
      <c r="E133" s="89"/>
      <c r="F133" s="89"/>
      <c r="G133" s="89"/>
    </row>
    <row r="134" spans="1:7" ht="15">
      <c r="A134" s="91"/>
      <c r="B134" s="91"/>
      <c r="C134" s="89"/>
      <c r="D134" s="89"/>
      <c r="E134" s="89"/>
      <c r="F134" s="89"/>
      <c r="G134" s="89"/>
    </row>
    <row r="135" spans="1:7" ht="15">
      <c r="A135" s="91"/>
      <c r="B135" s="91"/>
      <c r="C135" s="89"/>
      <c r="D135" s="89"/>
      <c r="E135" s="89"/>
      <c r="F135" s="89"/>
      <c r="G135" s="89"/>
    </row>
    <row r="136" spans="1:7" ht="15">
      <c r="A136" s="91"/>
      <c r="B136" s="91"/>
      <c r="C136" s="89"/>
      <c r="D136" s="89"/>
      <c r="E136" s="89"/>
      <c r="F136" s="89"/>
      <c r="G136" s="89"/>
    </row>
    <row r="137" spans="1:7" ht="15">
      <c r="A137" s="91"/>
      <c r="B137" s="91"/>
      <c r="C137" s="89"/>
      <c r="D137" s="89"/>
      <c r="E137" s="89"/>
      <c r="F137" s="89"/>
      <c r="G137" s="89"/>
    </row>
    <row r="138" spans="1:7" ht="15">
      <c r="A138" s="91"/>
      <c r="B138" s="91"/>
      <c r="C138" s="89"/>
      <c r="D138" s="89"/>
      <c r="E138" s="89"/>
      <c r="F138" s="89"/>
      <c r="G138" s="89"/>
    </row>
    <row r="139" spans="1:7" ht="15">
      <c r="A139" s="91"/>
      <c r="B139" s="91"/>
      <c r="C139" s="89"/>
      <c r="D139" s="89"/>
      <c r="E139" s="89"/>
      <c r="F139" s="89"/>
      <c r="G139" s="89"/>
    </row>
    <row r="140" spans="1:7" ht="15">
      <c r="A140" s="91"/>
      <c r="B140" s="91"/>
      <c r="C140" s="89"/>
      <c r="D140" s="89"/>
      <c r="E140" s="89"/>
      <c r="F140" s="89"/>
      <c r="G140" s="89"/>
    </row>
    <row r="141" spans="1:7" ht="15">
      <c r="A141" s="91"/>
      <c r="B141" s="91"/>
      <c r="C141" s="89"/>
      <c r="D141" s="89"/>
      <c r="E141" s="89"/>
      <c r="F141" s="89"/>
      <c r="G141" s="89"/>
    </row>
    <row r="142" spans="1:7" ht="15">
      <c r="A142" s="91"/>
      <c r="B142" s="91"/>
      <c r="C142" s="89"/>
      <c r="D142" s="89"/>
      <c r="E142" s="89"/>
      <c r="F142" s="89"/>
      <c r="G142" s="89"/>
    </row>
    <row r="143" spans="1:7" ht="15">
      <c r="A143" s="91"/>
      <c r="B143" s="91"/>
      <c r="C143" s="89"/>
      <c r="D143" s="89"/>
      <c r="E143" s="89"/>
      <c r="F143" s="89"/>
      <c r="G143" s="89"/>
    </row>
    <row r="144" spans="1:7" ht="15">
      <c r="A144" s="91"/>
      <c r="B144" s="91"/>
      <c r="C144" s="89"/>
      <c r="D144" s="89"/>
      <c r="E144" s="89"/>
      <c r="F144" s="89"/>
      <c r="G144" s="89"/>
    </row>
    <row r="145" spans="1:7" ht="15">
      <c r="A145" s="91"/>
      <c r="B145" s="91"/>
      <c r="C145" s="89"/>
      <c r="D145" s="89"/>
      <c r="E145" s="89"/>
      <c r="F145" s="89"/>
      <c r="G145" s="89"/>
    </row>
    <row r="146" spans="1:7" ht="15">
      <c r="A146" s="91"/>
      <c r="B146" s="91"/>
      <c r="C146" s="89"/>
      <c r="D146" s="89"/>
      <c r="E146" s="89"/>
      <c r="F146" s="89"/>
      <c r="G146" s="89"/>
    </row>
    <row r="147" spans="1:7" ht="15">
      <c r="A147" s="91"/>
      <c r="B147" s="91"/>
      <c r="C147" s="89"/>
      <c r="D147" s="89"/>
      <c r="E147" s="89"/>
      <c r="F147" s="89"/>
      <c r="G147" s="89"/>
    </row>
    <row r="148" spans="1:7" ht="15">
      <c r="A148" s="91"/>
      <c r="B148" s="91"/>
      <c r="C148" s="89"/>
      <c r="D148" s="89"/>
      <c r="E148" s="89"/>
      <c r="F148" s="89"/>
      <c r="G148" s="89"/>
    </row>
    <row r="149" spans="1:7" ht="15">
      <c r="A149" s="91"/>
      <c r="B149" s="91"/>
      <c r="C149" s="89"/>
      <c r="D149" s="89"/>
      <c r="E149" s="89"/>
      <c r="F149" s="89"/>
      <c r="G149" s="89"/>
    </row>
    <row r="150" spans="1:7" ht="15">
      <c r="A150" s="91"/>
      <c r="B150" s="91"/>
      <c r="C150" s="89"/>
      <c r="D150" s="89"/>
      <c r="E150" s="89"/>
      <c r="F150" s="89"/>
      <c r="G150" s="89"/>
    </row>
    <row r="151" spans="1:7" ht="15">
      <c r="A151" s="91"/>
      <c r="B151" s="91"/>
      <c r="C151" s="89"/>
      <c r="D151" s="89"/>
      <c r="E151" s="89"/>
      <c r="F151" s="89"/>
      <c r="G151" s="89"/>
    </row>
    <row r="152" spans="1:7" ht="15">
      <c r="A152" s="91"/>
      <c r="B152" s="91"/>
      <c r="C152" s="89"/>
      <c r="D152" s="89"/>
      <c r="E152" s="89"/>
      <c r="F152" s="89"/>
      <c r="G152" s="89"/>
    </row>
    <row r="153" spans="1:7" ht="15">
      <c r="A153" s="91"/>
      <c r="B153" s="91"/>
      <c r="C153" s="89"/>
      <c r="D153" s="89"/>
      <c r="E153" s="89"/>
      <c r="F153" s="89"/>
      <c r="G153" s="89"/>
    </row>
    <row r="154" spans="1:7" ht="15">
      <c r="A154" s="91"/>
      <c r="B154" s="91"/>
      <c r="C154" s="89"/>
      <c r="D154" s="89"/>
      <c r="E154" s="89"/>
      <c r="F154" s="89"/>
      <c r="G154" s="89"/>
    </row>
    <row r="155" spans="1:7" ht="15">
      <c r="A155" s="91"/>
      <c r="B155" s="91"/>
      <c r="C155" s="89"/>
      <c r="D155" s="89"/>
      <c r="E155" s="89"/>
      <c r="F155" s="89"/>
      <c r="G155" s="89"/>
    </row>
    <row r="156" spans="1:7" ht="15">
      <c r="A156" s="91"/>
      <c r="B156" s="91"/>
      <c r="C156" s="89"/>
      <c r="D156" s="89"/>
      <c r="E156" s="89"/>
      <c r="F156" s="89"/>
      <c r="G156" s="89"/>
    </row>
    <row r="157" spans="1:7" ht="15">
      <c r="A157" s="91"/>
      <c r="B157" s="91"/>
      <c r="C157" s="89"/>
      <c r="D157" s="89"/>
      <c r="E157" s="89"/>
      <c r="F157" s="89"/>
      <c r="G157" s="89"/>
    </row>
    <row r="158" spans="1:7" ht="15">
      <c r="A158" s="91"/>
      <c r="B158" s="91"/>
      <c r="C158" s="89"/>
      <c r="D158" s="89"/>
      <c r="E158" s="89"/>
      <c r="F158" s="89"/>
      <c r="G158" s="89"/>
    </row>
    <row r="159" spans="1:7" ht="15">
      <c r="A159" s="91"/>
      <c r="B159" s="91"/>
      <c r="C159" s="89"/>
      <c r="D159" s="89"/>
      <c r="E159" s="89"/>
      <c r="F159" s="89"/>
      <c r="G159" s="89"/>
    </row>
    <row r="160" spans="1:7" ht="15">
      <c r="A160" s="91"/>
      <c r="B160" s="91"/>
      <c r="C160" s="89"/>
      <c r="D160" s="89"/>
      <c r="E160" s="89"/>
      <c r="F160" s="89"/>
      <c r="G160" s="89"/>
    </row>
    <row r="161" spans="1:7" ht="15">
      <c r="A161" s="91"/>
      <c r="B161" s="91"/>
      <c r="C161" s="89"/>
      <c r="D161" s="89"/>
      <c r="E161" s="89"/>
      <c r="F161" s="89"/>
      <c r="G161" s="89"/>
    </row>
    <row r="162" spans="1:7" ht="15">
      <c r="A162" s="91"/>
      <c r="B162" s="91"/>
      <c r="C162" s="89"/>
      <c r="D162" s="89"/>
      <c r="E162" s="89"/>
      <c r="F162" s="89"/>
      <c r="G162" s="89"/>
    </row>
    <row r="163" spans="1:7" ht="15">
      <c r="A163" s="91"/>
      <c r="B163" s="91"/>
      <c r="C163" s="89"/>
      <c r="D163" s="89"/>
      <c r="E163" s="89"/>
      <c r="F163" s="89"/>
      <c r="G163" s="89"/>
    </row>
    <row r="164" spans="1:7" ht="15">
      <c r="A164" s="91"/>
      <c r="B164" s="91"/>
      <c r="C164" s="89"/>
      <c r="D164" s="89"/>
      <c r="E164" s="89"/>
      <c r="F164" s="89"/>
      <c r="G164" s="89"/>
    </row>
    <row r="165" spans="1:7" ht="15">
      <c r="A165" s="91"/>
      <c r="B165" s="91"/>
      <c r="C165" s="89"/>
      <c r="D165" s="89"/>
      <c r="E165" s="89"/>
      <c r="F165" s="89"/>
      <c r="G165" s="89"/>
    </row>
    <row r="166" spans="1:7" ht="15">
      <c r="A166" s="91"/>
      <c r="B166" s="91"/>
      <c r="C166" s="89"/>
      <c r="D166" s="89"/>
      <c r="E166" s="89"/>
      <c r="F166" s="89"/>
      <c r="G166" s="89"/>
    </row>
    <row r="167" spans="1:7" ht="15">
      <c r="A167" s="91"/>
      <c r="B167" s="91"/>
      <c r="C167" s="89"/>
      <c r="D167" s="89"/>
      <c r="E167" s="89"/>
      <c r="F167" s="89"/>
      <c r="G167" s="89"/>
    </row>
    <row r="168" spans="1:7" ht="15">
      <c r="A168" s="91"/>
      <c r="B168" s="91"/>
      <c r="C168" s="89"/>
      <c r="D168" s="89"/>
      <c r="E168" s="89"/>
      <c r="F168" s="89"/>
      <c r="G168" s="89"/>
    </row>
    <row r="169" spans="1:7" ht="15">
      <c r="A169" s="91"/>
      <c r="B169" s="91"/>
      <c r="C169" s="89"/>
      <c r="D169" s="89"/>
      <c r="E169" s="89"/>
      <c r="F169" s="89"/>
      <c r="G169" s="89"/>
    </row>
    <row r="170" spans="1:7" ht="15">
      <c r="A170" s="91"/>
      <c r="B170" s="91"/>
      <c r="C170" s="89"/>
      <c r="D170" s="89"/>
      <c r="E170" s="89"/>
      <c r="F170" s="89"/>
      <c r="G170" s="89"/>
    </row>
    <row r="171" spans="1:7" ht="15">
      <c r="A171" s="91"/>
      <c r="B171" s="91"/>
      <c r="C171" s="89"/>
      <c r="D171" s="89"/>
      <c r="E171" s="89"/>
      <c r="F171" s="89"/>
      <c r="G171" s="89"/>
    </row>
    <row r="172" spans="1:7" ht="15">
      <c r="A172" s="91"/>
      <c r="B172" s="91"/>
      <c r="C172" s="89"/>
      <c r="D172" s="89"/>
      <c r="E172" s="89"/>
      <c r="F172" s="89"/>
      <c r="G172" s="89"/>
    </row>
    <row r="173" spans="1:7" ht="15">
      <c r="A173" s="91"/>
      <c r="B173" s="91"/>
      <c r="C173" s="89"/>
      <c r="D173" s="89"/>
      <c r="E173" s="89"/>
      <c r="F173" s="89"/>
      <c r="G173" s="89"/>
    </row>
    <row r="174" spans="1:7" ht="15">
      <c r="A174" s="91"/>
      <c r="B174" s="91"/>
      <c r="C174" s="89"/>
      <c r="D174" s="89"/>
      <c r="E174" s="89"/>
      <c r="F174" s="89"/>
      <c r="G174" s="89"/>
    </row>
    <row r="175" spans="1:7" ht="15">
      <c r="A175" s="91"/>
      <c r="B175" s="91"/>
      <c r="C175" s="89"/>
      <c r="D175" s="89"/>
      <c r="E175" s="89"/>
      <c r="F175" s="89"/>
      <c r="G175" s="89"/>
    </row>
    <row r="176" spans="1:7" ht="15">
      <c r="A176" s="91"/>
      <c r="B176" s="91"/>
      <c r="C176" s="89"/>
      <c r="D176" s="89"/>
      <c r="E176" s="89"/>
      <c r="F176" s="89"/>
      <c r="G176" s="89"/>
    </row>
    <row r="177" spans="1:7" ht="15">
      <c r="A177" s="91"/>
      <c r="B177" s="91"/>
      <c r="C177" s="89"/>
      <c r="D177" s="89"/>
      <c r="E177" s="89"/>
      <c r="F177" s="89"/>
      <c r="G177" s="89"/>
    </row>
    <row r="178" spans="1:7" ht="15">
      <c r="A178" s="91"/>
      <c r="B178" s="91"/>
      <c r="C178" s="89"/>
      <c r="D178" s="89"/>
      <c r="E178" s="89"/>
      <c r="F178" s="89"/>
      <c r="G178" s="89"/>
    </row>
    <row r="179" spans="1:7" ht="15">
      <c r="A179" s="91"/>
      <c r="B179" s="91"/>
      <c r="C179" s="89"/>
      <c r="D179" s="89"/>
      <c r="E179" s="89"/>
      <c r="F179" s="89"/>
      <c r="G179" s="89"/>
    </row>
    <row r="180" spans="1:7" ht="15">
      <c r="A180" s="91"/>
      <c r="B180" s="91"/>
      <c r="C180" s="89"/>
      <c r="D180" s="89"/>
      <c r="E180" s="89"/>
      <c r="F180" s="89"/>
      <c r="G180" s="89"/>
    </row>
    <row r="181" spans="1:7" ht="15">
      <c r="A181" s="91"/>
      <c r="B181" s="91"/>
      <c r="C181" s="89"/>
      <c r="D181" s="89"/>
      <c r="E181" s="89"/>
      <c r="F181" s="89"/>
      <c r="G181" s="89"/>
    </row>
    <row r="182" spans="1:7" ht="15">
      <c r="A182" s="91"/>
      <c r="B182" s="91"/>
      <c r="C182" s="89"/>
      <c r="D182" s="89"/>
      <c r="E182" s="89"/>
      <c r="F182" s="89"/>
      <c r="G182" s="89"/>
    </row>
    <row r="183" spans="1:7" ht="15">
      <c r="A183" s="91"/>
      <c r="B183" s="91"/>
      <c r="C183" s="89"/>
      <c r="D183" s="89"/>
      <c r="E183" s="89"/>
      <c r="F183" s="89"/>
      <c r="G183" s="89"/>
    </row>
    <row r="184" spans="1:7" ht="15">
      <c r="A184" s="91"/>
      <c r="B184" s="91"/>
      <c r="C184" s="89"/>
      <c r="D184" s="89"/>
      <c r="E184" s="89"/>
      <c r="F184" s="89"/>
      <c r="G184" s="89"/>
    </row>
    <row r="185" spans="1:7" ht="15">
      <c r="A185" s="91"/>
      <c r="B185" s="91"/>
      <c r="C185" s="89"/>
      <c r="D185" s="89"/>
      <c r="E185" s="89"/>
      <c r="F185" s="89"/>
      <c r="G185" s="89"/>
    </row>
    <row r="186" spans="1:7" ht="15">
      <c r="A186" s="91"/>
      <c r="B186" s="91"/>
      <c r="C186" s="89"/>
      <c r="D186" s="89"/>
      <c r="E186" s="89"/>
      <c r="F186" s="89"/>
      <c r="G186" s="89"/>
    </row>
    <row r="187" spans="1:7" ht="15">
      <c r="A187" s="91"/>
      <c r="B187" s="91"/>
      <c r="C187" s="89"/>
      <c r="D187" s="89"/>
      <c r="E187" s="89"/>
      <c r="F187" s="89"/>
      <c r="G187" s="89"/>
    </row>
    <row r="188" spans="1:7" ht="15">
      <c r="A188" s="91"/>
      <c r="B188" s="91"/>
      <c r="C188" s="89"/>
      <c r="D188" s="89"/>
      <c r="E188" s="89"/>
      <c r="F188" s="89"/>
      <c r="G188" s="89"/>
    </row>
    <row r="189" spans="1:7" ht="15">
      <c r="A189" s="91"/>
      <c r="B189" s="91"/>
      <c r="C189" s="89"/>
      <c r="D189" s="89"/>
      <c r="E189" s="89"/>
      <c r="F189" s="89"/>
      <c r="G189" s="89"/>
    </row>
    <row r="190" spans="1:7" ht="15">
      <c r="A190" s="91"/>
      <c r="B190" s="91"/>
      <c r="C190" s="89"/>
      <c r="D190" s="89"/>
      <c r="E190" s="89"/>
      <c r="F190" s="89"/>
      <c r="G190" s="89"/>
    </row>
    <row r="191" spans="1:7" ht="15">
      <c r="A191" s="91"/>
      <c r="B191" s="91"/>
      <c r="C191" s="89"/>
      <c r="D191" s="89"/>
      <c r="E191" s="89"/>
      <c r="F191" s="89"/>
      <c r="G191" s="89"/>
    </row>
    <row r="192" spans="1:7" ht="15">
      <c r="A192" s="91"/>
      <c r="B192" s="91"/>
      <c r="C192" s="89"/>
      <c r="D192" s="89"/>
      <c r="E192" s="89"/>
      <c r="F192" s="89"/>
      <c r="G192" s="89"/>
    </row>
    <row r="193" spans="1:7" ht="15">
      <c r="A193" s="91"/>
      <c r="B193" s="91"/>
      <c r="C193" s="89"/>
      <c r="D193" s="89"/>
      <c r="E193" s="89"/>
      <c r="F193" s="89"/>
      <c r="G193" s="89"/>
    </row>
    <row r="194" spans="1:7" ht="15">
      <c r="A194" s="91"/>
      <c r="B194" s="91"/>
      <c r="C194" s="89"/>
      <c r="D194" s="89"/>
      <c r="E194" s="89"/>
      <c r="F194" s="89"/>
      <c r="G194" s="89"/>
    </row>
    <row r="195" spans="1:7" ht="15">
      <c r="A195" s="91"/>
      <c r="B195" s="91"/>
      <c r="C195" s="89"/>
      <c r="D195" s="89"/>
      <c r="E195" s="89"/>
      <c r="F195" s="89"/>
      <c r="G195" s="89"/>
    </row>
    <row r="196" spans="1:7" ht="15">
      <c r="A196" s="91"/>
      <c r="B196" s="91"/>
      <c r="C196" s="89"/>
      <c r="D196" s="89"/>
      <c r="E196" s="89"/>
      <c r="F196" s="89"/>
      <c r="G196" s="89"/>
    </row>
    <row r="197" spans="1:7" ht="15">
      <c r="A197" s="91"/>
      <c r="B197" s="91"/>
      <c r="C197" s="89"/>
      <c r="D197" s="89"/>
      <c r="E197" s="89"/>
      <c r="F197" s="89"/>
      <c r="G197" s="89"/>
    </row>
    <row r="198" spans="1:7" ht="15">
      <c r="A198" s="91"/>
      <c r="B198" s="91"/>
      <c r="C198" s="89"/>
      <c r="D198" s="89"/>
      <c r="E198" s="89"/>
      <c r="F198" s="89"/>
      <c r="G198" s="89"/>
    </row>
    <row r="199" spans="1:7" ht="15">
      <c r="A199" s="91"/>
      <c r="B199" s="91"/>
      <c r="C199" s="89"/>
      <c r="D199" s="89"/>
      <c r="E199" s="89"/>
      <c r="F199" s="89"/>
      <c r="G199" s="89"/>
    </row>
    <row r="200" spans="1:7" ht="15">
      <c r="A200" s="91"/>
      <c r="B200" s="91"/>
      <c r="C200" s="89"/>
      <c r="D200" s="89"/>
      <c r="E200" s="89"/>
      <c r="F200" s="89"/>
      <c r="G200" s="89"/>
    </row>
    <row r="201" spans="1:7" ht="15">
      <c r="A201" s="91"/>
      <c r="B201" s="91"/>
      <c r="C201" s="89"/>
      <c r="D201" s="89"/>
      <c r="E201" s="89"/>
      <c r="F201" s="89"/>
      <c r="G201" s="89"/>
    </row>
    <row r="202" spans="1:7" ht="15">
      <c r="A202" s="91"/>
      <c r="B202" s="91"/>
      <c r="C202" s="89"/>
      <c r="D202" s="89"/>
      <c r="E202" s="89"/>
      <c r="F202" s="89"/>
      <c r="G202" s="89"/>
    </row>
    <row r="203" spans="1:7" ht="15">
      <c r="A203" s="91"/>
      <c r="B203" s="91"/>
      <c r="C203" s="89"/>
      <c r="D203" s="89"/>
      <c r="E203" s="89"/>
      <c r="F203" s="89"/>
      <c r="G203" s="89"/>
    </row>
    <row r="204" spans="1:7" ht="15">
      <c r="A204" s="91"/>
      <c r="B204" s="91"/>
      <c r="C204" s="89"/>
      <c r="D204" s="89"/>
      <c r="E204" s="89"/>
      <c r="F204" s="89"/>
      <c r="G204" s="89"/>
    </row>
    <row r="205" spans="1:7" ht="15">
      <c r="A205" s="91"/>
      <c r="B205" s="91"/>
      <c r="C205" s="89"/>
      <c r="D205" s="89"/>
      <c r="E205" s="89"/>
      <c r="F205" s="89"/>
      <c r="G205" s="89"/>
    </row>
    <row r="206" spans="1:7" ht="15">
      <c r="A206" s="91"/>
      <c r="B206" s="91"/>
      <c r="C206" s="89"/>
      <c r="D206" s="89"/>
      <c r="E206" s="89"/>
      <c r="F206" s="89"/>
      <c r="G206" s="89"/>
    </row>
    <row r="207" spans="1:7" ht="15">
      <c r="A207" s="91"/>
      <c r="B207" s="91"/>
      <c r="C207" s="89"/>
      <c r="D207" s="89"/>
      <c r="E207" s="89"/>
      <c r="F207" s="89"/>
      <c r="G207" s="89"/>
    </row>
    <row r="208" spans="1:7" ht="15">
      <c r="A208" s="91"/>
      <c r="B208" s="91"/>
      <c r="C208" s="89"/>
      <c r="D208" s="89"/>
      <c r="E208" s="89"/>
      <c r="F208" s="89"/>
      <c r="G208" s="89"/>
    </row>
    <row r="209" spans="1:7" ht="15">
      <c r="A209" s="91"/>
      <c r="B209" s="91"/>
      <c r="C209" s="89"/>
      <c r="D209" s="89"/>
      <c r="E209" s="89"/>
      <c r="F209" s="89"/>
      <c r="G209" s="89"/>
    </row>
    <row r="210" spans="1:7" ht="15">
      <c r="A210" s="91"/>
      <c r="B210" s="91"/>
      <c r="C210" s="89"/>
      <c r="D210" s="89"/>
      <c r="E210" s="89"/>
      <c r="F210" s="89"/>
      <c r="G210" s="89"/>
    </row>
    <row r="211" spans="1:7" ht="15">
      <c r="A211" s="91"/>
      <c r="B211" s="91"/>
      <c r="C211" s="89"/>
      <c r="D211" s="89"/>
      <c r="E211" s="89"/>
      <c r="F211" s="89"/>
      <c r="G211" s="89"/>
    </row>
    <row r="212" spans="1:7" ht="15">
      <c r="A212" s="91"/>
      <c r="B212" s="91"/>
      <c r="C212" s="89"/>
      <c r="D212" s="89"/>
      <c r="E212" s="89"/>
      <c r="F212" s="89"/>
      <c r="G212" s="89"/>
    </row>
    <row r="213" spans="1:7" ht="15">
      <c r="A213" s="91"/>
      <c r="B213" s="91"/>
      <c r="C213" s="89"/>
      <c r="D213" s="89"/>
      <c r="E213" s="89"/>
      <c r="F213" s="89"/>
      <c r="G213" s="89"/>
    </row>
    <row r="214" spans="1:7" ht="15">
      <c r="A214" s="91"/>
      <c r="B214" s="91"/>
      <c r="C214" s="89"/>
      <c r="D214" s="89"/>
      <c r="E214" s="89"/>
      <c r="F214" s="89"/>
      <c r="G214" s="89"/>
    </row>
    <row r="215" spans="1:7" ht="15">
      <c r="A215" s="91"/>
      <c r="B215" s="91"/>
      <c r="C215" s="89"/>
      <c r="D215" s="89"/>
      <c r="E215" s="89"/>
      <c r="F215" s="89"/>
      <c r="G215" s="89"/>
    </row>
    <row r="216" spans="1:7" ht="15">
      <c r="A216" s="91"/>
      <c r="B216" s="91"/>
      <c r="C216" s="89"/>
      <c r="D216" s="89"/>
      <c r="E216" s="89"/>
      <c r="F216" s="89"/>
      <c r="G216" s="89"/>
    </row>
    <row r="217" spans="1:7" ht="15">
      <c r="A217" s="91"/>
      <c r="B217" s="91"/>
      <c r="C217" s="89"/>
      <c r="D217" s="89"/>
      <c r="E217" s="89"/>
      <c r="F217" s="89"/>
      <c r="G217" s="89"/>
    </row>
    <row r="218" spans="1:7" ht="15">
      <c r="A218" s="91"/>
      <c r="B218" s="91"/>
      <c r="C218" s="89"/>
      <c r="D218" s="89"/>
      <c r="E218" s="89"/>
      <c r="F218" s="89"/>
      <c r="G218" s="89"/>
    </row>
    <row r="219" spans="1:7" ht="15">
      <c r="A219" s="91"/>
      <c r="B219" s="91"/>
      <c r="C219" s="89"/>
      <c r="D219" s="89"/>
      <c r="E219" s="89"/>
      <c r="F219" s="89"/>
      <c r="G219" s="89"/>
    </row>
    <row r="220" spans="1:7" ht="15">
      <c r="A220" s="91"/>
      <c r="B220" s="91"/>
      <c r="C220" s="89"/>
      <c r="D220" s="89"/>
      <c r="E220" s="89"/>
      <c r="F220" s="89"/>
      <c r="G220" s="89"/>
    </row>
    <row r="221" spans="1:7" ht="15">
      <c r="A221" s="91"/>
      <c r="B221" s="91"/>
      <c r="C221" s="89"/>
      <c r="D221" s="89"/>
      <c r="E221" s="89"/>
      <c r="F221" s="89"/>
      <c r="G221" s="89"/>
    </row>
    <row r="222" spans="1:7" ht="15">
      <c r="A222" s="91"/>
      <c r="B222" s="91"/>
      <c r="C222" s="89"/>
      <c r="D222" s="89"/>
      <c r="E222" s="89"/>
      <c r="F222" s="89"/>
      <c r="G222" s="89"/>
    </row>
    <row r="223" spans="1:7" ht="15">
      <c r="A223" s="91"/>
      <c r="B223" s="91"/>
      <c r="C223" s="89"/>
      <c r="D223" s="89"/>
      <c r="E223" s="89"/>
      <c r="F223" s="89"/>
      <c r="G223" s="89"/>
    </row>
    <row r="224" spans="1:7" ht="15">
      <c r="A224" s="91"/>
      <c r="B224" s="91"/>
      <c r="C224" s="89"/>
      <c r="D224" s="89"/>
      <c r="E224" s="89"/>
      <c r="F224" s="89"/>
      <c r="G224" s="89"/>
    </row>
    <row r="225" spans="1:7" ht="15">
      <c r="A225" s="91"/>
      <c r="B225" s="91"/>
      <c r="C225" s="89"/>
      <c r="D225" s="89"/>
      <c r="E225" s="89"/>
      <c r="F225" s="89"/>
      <c r="G225" s="89"/>
    </row>
    <row r="226" spans="1:7" ht="15">
      <c r="A226" s="91"/>
      <c r="B226" s="91"/>
      <c r="C226" s="89"/>
      <c r="D226" s="89"/>
      <c r="E226" s="89"/>
      <c r="F226" s="89"/>
      <c r="G226" s="89"/>
    </row>
    <row r="227" spans="1:7" ht="15">
      <c r="A227" s="91"/>
      <c r="B227" s="91"/>
      <c r="C227" s="89"/>
      <c r="D227" s="89"/>
      <c r="E227" s="89"/>
      <c r="F227" s="89"/>
      <c r="G227" s="89"/>
    </row>
    <row r="228" spans="1:7" ht="15">
      <c r="A228" s="91"/>
      <c r="B228" s="91"/>
      <c r="C228" s="89"/>
      <c r="D228" s="89"/>
      <c r="E228" s="89"/>
      <c r="F228" s="89"/>
      <c r="G228" s="89"/>
    </row>
    <row r="229" spans="1:7" ht="15">
      <c r="A229" s="91"/>
      <c r="B229" s="91"/>
      <c r="C229" s="89"/>
      <c r="D229" s="89"/>
      <c r="E229" s="89"/>
      <c r="F229" s="89"/>
      <c r="G229" s="89"/>
    </row>
    <row r="230" spans="1:7" ht="15">
      <c r="A230" s="91"/>
      <c r="B230" s="91"/>
      <c r="C230" s="89"/>
      <c r="D230" s="89"/>
      <c r="E230" s="89"/>
      <c r="F230" s="89"/>
      <c r="G230" s="89"/>
    </row>
    <row r="231" spans="1:7" ht="15">
      <c r="A231" s="91"/>
      <c r="B231" s="91"/>
      <c r="C231" s="89"/>
      <c r="D231" s="89"/>
      <c r="E231" s="89"/>
      <c r="F231" s="89"/>
      <c r="G231" s="89"/>
    </row>
    <row r="232" spans="1:7" ht="15">
      <c r="A232" s="91"/>
      <c r="B232" s="91"/>
      <c r="C232" s="89"/>
      <c r="D232" s="89"/>
      <c r="E232" s="89"/>
      <c r="F232" s="89"/>
      <c r="G232" s="89"/>
    </row>
    <row r="233" spans="1:7" ht="15">
      <c r="A233" s="91"/>
      <c r="B233" s="91"/>
      <c r="C233" s="89"/>
      <c r="D233" s="89"/>
      <c r="E233" s="89"/>
      <c r="F233" s="89"/>
      <c r="G233" s="89"/>
    </row>
    <row r="234" spans="1:7" ht="15">
      <c r="A234" s="91"/>
      <c r="B234" s="91"/>
      <c r="C234" s="89"/>
      <c r="D234" s="89"/>
      <c r="E234" s="89"/>
      <c r="F234" s="89"/>
      <c r="G234" s="89"/>
    </row>
    <row r="235" spans="1:7" ht="15">
      <c r="A235" s="91"/>
      <c r="B235" s="91"/>
      <c r="C235" s="89"/>
      <c r="D235" s="89"/>
      <c r="E235" s="89"/>
      <c r="F235" s="89"/>
      <c r="G235" s="89"/>
    </row>
    <row r="236" spans="1:7" ht="15">
      <c r="A236" s="91"/>
      <c r="B236" s="91"/>
      <c r="C236" s="89"/>
      <c r="D236" s="89"/>
      <c r="E236" s="89"/>
      <c r="F236" s="89"/>
      <c r="G236" s="89"/>
    </row>
    <row r="237" spans="1:7" ht="15">
      <c r="A237" s="91"/>
      <c r="B237" s="91"/>
      <c r="C237" s="89"/>
      <c r="D237" s="89"/>
      <c r="E237" s="89"/>
      <c r="F237" s="89"/>
      <c r="G237" s="89"/>
    </row>
    <row r="238" spans="1:7" ht="15">
      <c r="A238" s="91"/>
      <c r="B238" s="91"/>
      <c r="C238" s="89"/>
      <c r="D238" s="89"/>
      <c r="E238" s="89"/>
      <c r="F238" s="89"/>
      <c r="G238" s="89"/>
    </row>
    <row r="239" spans="1:7" ht="15">
      <c r="A239" s="91"/>
      <c r="B239" s="91"/>
      <c r="C239" s="89"/>
      <c r="D239" s="89"/>
      <c r="E239" s="89"/>
      <c r="F239" s="89"/>
      <c r="G239" s="89"/>
    </row>
    <row r="240" spans="1:7" ht="15">
      <c r="A240" s="91"/>
      <c r="B240" s="91"/>
      <c r="C240" s="89"/>
      <c r="D240" s="89"/>
      <c r="E240" s="89"/>
      <c r="F240" s="89"/>
      <c r="G240" s="89"/>
    </row>
    <row r="241" spans="1:7" ht="15">
      <c r="A241" s="91"/>
      <c r="B241" s="91"/>
      <c r="C241" s="89"/>
      <c r="D241" s="89"/>
      <c r="E241" s="89"/>
      <c r="F241" s="89"/>
      <c r="G241" s="89"/>
    </row>
    <row r="242" spans="1:7" ht="15">
      <c r="A242" s="91"/>
      <c r="B242" s="91"/>
      <c r="C242" s="89"/>
      <c r="D242" s="89"/>
      <c r="E242" s="89"/>
      <c r="F242" s="89"/>
      <c r="G242" s="89"/>
    </row>
    <row r="243" spans="1:7" ht="15">
      <c r="A243" s="91"/>
      <c r="B243" s="91"/>
      <c r="C243" s="89"/>
      <c r="D243" s="89"/>
      <c r="E243" s="89"/>
      <c r="F243" s="89"/>
      <c r="G243" s="89"/>
    </row>
    <row r="244" spans="1:7" ht="15">
      <c r="A244" s="91"/>
      <c r="B244" s="91"/>
      <c r="C244" s="89"/>
      <c r="D244" s="89"/>
      <c r="E244" s="89"/>
      <c r="F244" s="89"/>
      <c r="G244" s="89"/>
    </row>
    <row r="245" spans="1:7" ht="15">
      <c r="A245" s="91"/>
      <c r="B245" s="91"/>
      <c r="C245" s="89"/>
      <c r="D245" s="89"/>
      <c r="E245" s="89"/>
      <c r="F245" s="89"/>
      <c r="G245" s="89"/>
    </row>
    <row r="246" spans="1:7" ht="15">
      <c r="A246" s="91"/>
      <c r="B246" s="91"/>
      <c r="C246" s="89"/>
      <c r="D246" s="89"/>
      <c r="E246" s="89"/>
      <c r="F246" s="89"/>
      <c r="G246" s="89"/>
    </row>
    <row r="247" spans="1:7" ht="15">
      <c r="A247" s="91"/>
      <c r="B247" s="91"/>
      <c r="C247" s="89"/>
      <c r="D247" s="89"/>
      <c r="E247" s="89"/>
      <c r="F247" s="89"/>
      <c r="G247" s="89"/>
    </row>
    <row r="248" spans="1:7" ht="15">
      <c r="A248" s="91"/>
      <c r="B248" s="91"/>
      <c r="C248" s="89"/>
      <c r="D248" s="89"/>
      <c r="E248" s="89"/>
      <c r="F248" s="89"/>
      <c r="G248" s="89"/>
    </row>
    <row r="249" spans="1:7" ht="15">
      <c r="A249" s="91"/>
      <c r="B249" s="91"/>
      <c r="C249" s="89"/>
      <c r="D249" s="89"/>
      <c r="E249" s="89"/>
      <c r="F249" s="89"/>
      <c r="G249" s="89"/>
    </row>
    <row r="250" spans="1:7" ht="15">
      <c r="A250" s="91"/>
      <c r="B250" s="91"/>
      <c r="C250" s="89"/>
      <c r="D250" s="89"/>
      <c r="E250" s="89"/>
      <c r="F250" s="89"/>
      <c r="G250" s="89"/>
    </row>
    <row r="251" spans="1:7" ht="15">
      <c r="A251" s="91"/>
      <c r="B251" s="91"/>
      <c r="C251" s="89"/>
      <c r="D251" s="89"/>
      <c r="E251" s="89"/>
      <c r="F251" s="89"/>
      <c r="G251" s="89"/>
    </row>
    <row r="252" spans="1:7" ht="15">
      <c r="A252" s="91"/>
      <c r="B252" s="91"/>
      <c r="C252" s="89"/>
      <c r="D252" s="89"/>
      <c r="E252" s="89"/>
      <c r="F252" s="89"/>
      <c r="G252" s="89"/>
    </row>
    <row r="253" spans="1:7" ht="15">
      <c r="A253" s="91"/>
      <c r="B253" s="91"/>
      <c r="C253" s="89"/>
      <c r="D253" s="89"/>
      <c r="E253" s="89"/>
      <c r="F253" s="89"/>
      <c r="G253" s="89"/>
    </row>
    <row r="254" spans="1:7" ht="15">
      <c r="A254" s="91"/>
      <c r="B254" s="91"/>
      <c r="C254" s="89"/>
      <c r="D254" s="89"/>
      <c r="E254" s="89"/>
      <c r="F254" s="89"/>
      <c r="G254" s="89"/>
    </row>
    <row r="255" spans="1:7" ht="15">
      <c r="A255" s="91"/>
      <c r="B255" s="91"/>
      <c r="C255" s="89"/>
      <c r="D255" s="89"/>
      <c r="E255" s="89"/>
      <c r="F255" s="89"/>
      <c r="G255" s="89"/>
    </row>
    <row r="256" spans="1:7" ht="15">
      <c r="A256" s="91"/>
      <c r="B256" s="91"/>
      <c r="C256" s="89"/>
      <c r="D256" s="89"/>
      <c r="E256" s="89"/>
      <c r="F256" s="89"/>
      <c r="G256" s="89"/>
    </row>
    <row r="257" spans="1:7" ht="15">
      <c r="A257" s="91"/>
      <c r="B257" s="91"/>
      <c r="C257" s="89"/>
      <c r="D257" s="89"/>
      <c r="E257" s="89"/>
      <c r="F257" s="89"/>
      <c r="G257" s="89"/>
    </row>
    <row r="258" spans="1:7" ht="15">
      <c r="A258" s="91"/>
      <c r="B258" s="91"/>
      <c r="C258" s="89"/>
      <c r="D258" s="89"/>
      <c r="E258" s="89"/>
      <c r="F258" s="89"/>
      <c r="G258" s="89"/>
    </row>
    <row r="259" spans="1:7" ht="15">
      <c r="A259" s="91"/>
      <c r="B259" s="91"/>
      <c r="C259" s="89"/>
      <c r="D259" s="89"/>
      <c r="E259" s="89"/>
      <c r="F259" s="89"/>
      <c r="G259" s="89"/>
    </row>
    <row r="260" spans="1:7" ht="15">
      <c r="A260" s="91"/>
      <c r="B260" s="91"/>
      <c r="C260" s="89"/>
      <c r="D260" s="89"/>
      <c r="E260" s="89"/>
      <c r="F260" s="89"/>
      <c r="G260" s="89"/>
    </row>
    <row r="261" spans="1:7" ht="15">
      <c r="A261" s="91"/>
      <c r="B261" s="91"/>
      <c r="C261" s="89"/>
      <c r="D261" s="89"/>
      <c r="E261" s="89"/>
      <c r="F261" s="89"/>
      <c r="G261" s="89"/>
    </row>
    <row r="262" spans="1:7" ht="15">
      <c r="A262" s="91"/>
      <c r="B262" s="91"/>
      <c r="C262" s="89"/>
      <c r="D262" s="89"/>
      <c r="E262" s="89"/>
      <c r="F262" s="89"/>
      <c r="G262" s="89"/>
    </row>
    <row r="263" spans="1:7" ht="15">
      <c r="A263" s="91"/>
      <c r="B263" s="91"/>
      <c r="C263" s="89"/>
      <c r="D263" s="89"/>
      <c r="E263" s="89"/>
      <c r="F263" s="89"/>
      <c r="G263" s="89"/>
    </row>
    <row r="264" spans="1:7" ht="15">
      <c r="A264" s="91"/>
      <c r="B264" s="91"/>
      <c r="C264" s="89"/>
      <c r="D264" s="89"/>
      <c r="E264" s="89"/>
      <c r="F264" s="89"/>
      <c r="G264" s="89"/>
    </row>
    <row r="265" spans="1:7" ht="15">
      <c r="A265" s="91"/>
      <c r="B265" s="91"/>
      <c r="C265" s="89"/>
      <c r="D265" s="89"/>
      <c r="E265" s="89"/>
      <c r="F265" s="89"/>
      <c r="G265" s="89"/>
    </row>
    <row r="266" spans="1:7" ht="15">
      <c r="A266" s="91"/>
      <c r="B266" s="91"/>
      <c r="C266" s="89"/>
      <c r="D266" s="89"/>
      <c r="E266" s="89"/>
      <c r="F266" s="89"/>
      <c r="G266" s="89"/>
    </row>
    <row r="267" spans="1:7" ht="15">
      <c r="A267" s="91"/>
      <c r="B267" s="91"/>
      <c r="C267" s="89"/>
      <c r="D267" s="89"/>
      <c r="E267" s="89"/>
      <c r="F267" s="89"/>
      <c r="G267" s="89"/>
    </row>
    <row r="268" spans="1:7" ht="15">
      <c r="A268" s="91"/>
      <c r="B268" s="91"/>
      <c r="C268" s="89"/>
      <c r="D268" s="89"/>
      <c r="E268" s="89"/>
      <c r="F268" s="89"/>
      <c r="G268" s="89"/>
    </row>
    <row r="269" spans="1:7" ht="15">
      <c r="A269" s="91"/>
      <c r="B269" s="91"/>
      <c r="C269" s="89"/>
      <c r="D269" s="89"/>
      <c r="E269" s="89"/>
      <c r="F269" s="89"/>
      <c r="G269" s="89"/>
    </row>
    <row r="270" spans="1:7" ht="15">
      <c r="A270" s="91"/>
      <c r="B270" s="91"/>
      <c r="C270" s="89"/>
      <c r="D270" s="89"/>
      <c r="E270" s="89"/>
      <c r="F270" s="89"/>
      <c r="G270" s="89"/>
    </row>
    <row r="271" spans="1:7" ht="15">
      <c r="A271" s="91"/>
      <c r="B271" s="91"/>
      <c r="C271" s="89"/>
      <c r="D271" s="89"/>
      <c r="E271" s="89"/>
      <c r="F271" s="89"/>
      <c r="G271" s="89"/>
    </row>
    <row r="272" spans="1:7" ht="15">
      <c r="A272" s="91"/>
      <c r="B272" s="91"/>
      <c r="C272" s="89"/>
      <c r="D272" s="89"/>
      <c r="E272" s="89"/>
      <c r="F272" s="89"/>
      <c r="G272" s="89"/>
    </row>
    <row r="273" spans="1:7" ht="15">
      <c r="A273" s="91"/>
      <c r="B273" s="91"/>
      <c r="C273" s="89"/>
      <c r="D273" s="89"/>
      <c r="E273" s="89"/>
      <c r="F273" s="89"/>
      <c r="G273" s="89"/>
    </row>
    <row r="274" spans="1:7" ht="15">
      <c r="A274" s="91"/>
      <c r="B274" s="91"/>
      <c r="C274" s="89"/>
      <c r="D274" s="89"/>
      <c r="E274" s="89"/>
      <c r="F274" s="89"/>
      <c r="G274" s="89"/>
    </row>
    <row r="275" spans="1:7" ht="15">
      <c r="A275" s="91"/>
      <c r="B275" s="91"/>
      <c r="C275" s="89"/>
      <c r="D275" s="89"/>
      <c r="E275" s="89"/>
      <c r="F275" s="89"/>
      <c r="G275" s="89"/>
    </row>
    <row r="276" spans="1:7" ht="15">
      <c r="A276" s="91"/>
      <c r="B276" s="91"/>
      <c r="C276" s="89"/>
      <c r="D276" s="89"/>
      <c r="E276" s="89"/>
      <c r="F276" s="89"/>
      <c r="G276" s="89"/>
    </row>
    <row r="277" spans="1:7" ht="15">
      <c r="A277" s="91"/>
      <c r="B277" s="91"/>
      <c r="C277" s="89"/>
      <c r="D277" s="89"/>
      <c r="E277" s="89"/>
      <c r="F277" s="89"/>
      <c r="G277" s="89"/>
    </row>
    <row r="278" spans="1:7" ht="15">
      <c r="A278" s="91"/>
      <c r="B278" s="91"/>
      <c r="C278" s="89"/>
      <c r="D278" s="89"/>
      <c r="E278" s="89"/>
      <c r="F278" s="89"/>
      <c r="G278" s="89"/>
    </row>
    <row r="279" spans="1:7" ht="15">
      <c r="A279" s="91"/>
      <c r="B279" s="91"/>
      <c r="C279" s="89"/>
      <c r="D279" s="89"/>
      <c r="E279" s="89"/>
      <c r="F279" s="89"/>
      <c r="G279" s="89"/>
    </row>
    <row r="280" spans="1:7" ht="15">
      <c r="A280" s="91"/>
      <c r="B280" s="91"/>
      <c r="C280" s="89"/>
      <c r="D280" s="89"/>
      <c r="E280" s="89"/>
      <c r="F280" s="89"/>
      <c r="G280" s="89"/>
    </row>
    <row r="281" spans="1:7" ht="15">
      <c r="A281" s="91"/>
      <c r="B281" s="91"/>
      <c r="C281" s="89"/>
      <c r="D281" s="89"/>
      <c r="E281" s="89"/>
      <c r="F281" s="89"/>
      <c r="G281" s="89"/>
    </row>
    <row r="282" spans="1:7" ht="15">
      <c r="A282" s="91"/>
      <c r="B282" s="91"/>
      <c r="C282" s="89"/>
      <c r="D282" s="89"/>
      <c r="E282" s="89"/>
      <c r="F282" s="89"/>
      <c r="G282" s="89"/>
    </row>
    <row r="283" spans="1:7" ht="15">
      <c r="A283" s="91"/>
      <c r="B283" s="91"/>
      <c r="C283" s="89"/>
      <c r="D283" s="89"/>
      <c r="E283" s="89"/>
      <c r="F283" s="89"/>
      <c r="G283" s="89"/>
    </row>
    <row r="284" spans="1:7" ht="15">
      <c r="A284" s="91"/>
      <c r="B284" s="91"/>
      <c r="C284" s="89"/>
      <c r="D284" s="89"/>
      <c r="E284" s="89"/>
      <c r="F284" s="89"/>
      <c r="G284" s="89"/>
    </row>
    <row r="285" spans="1:7" ht="15">
      <c r="A285" s="91"/>
      <c r="B285" s="91"/>
      <c r="C285" s="89"/>
      <c r="D285" s="89"/>
      <c r="E285" s="89"/>
      <c r="F285" s="89"/>
      <c r="G285" s="89"/>
    </row>
    <row r="286" spans="1:7" ht="15">
      <c r="A286" s="91"/>
      <c r="B286" s="91"/>
      <c r="C286" s="89"/>
      <c r="D286" s="89"/>
      <c r="E286" s="89"/>
      <c r="F286" s="89"/>
      <c r="G286" s="89"/>
    </row>
    <row r="287" spans="1:7" ht="15">
      <c r="A287" s="91"/>
      <c r="B287" s="91"/>
      <c r="C287" s="89"/>
      <c r="D287" s="89"/>
      <c r="E287" s="89"/>
      <c r="F287" s="89"/>
      <c r="G287" s="89"/>
    </row>
    <row r="288" spans="1:7" ht="15">
      <c r="A288" s="91"/>
      <c r="B288" s="91"/>
      <c r="C288" s="89"/>
      <c r="D288" s="89"/>
      <c r="E288" s="89"/>
      <c r="F288" s="89"/>
      <c r="G288" s="89"/>
    </row>
    <row r="289" spans="1:7" ht="15">
      <c r="A289" s="91"/>
      <c r="B289" s="91"/>
      <c r="C289" s="89"/>
      <c r="D289" s="89"/>
      <c r="E289" s="89"/>
      <c r="F289" s="89"/>
      <c r="G289" s="89"/>
    </row>
    <row r="290" spans="1:7" ht="15">
      <c r="A290" s="91"/>
      <c r="B290" s="91"/>
      <c r="C290" s="89"/>
      <c r="D290" s="89"/>
      <c r="E290" s="89"/>
      <c r="F290" s="89"/>
      <c r="G290" s="89"/>
    </row>
    <row r="291" spans="1:7" ht="15">
      <c r="A291" s="91"/>
      <c r="B291" s="91"/>
      <c r="C291" s="89"/>
      <c r="D291" s="89"/>
      <c r="E291" s="89"/>
      <c r="F291" s="89"/>
      <c r="G291" s="89"/>
    </row>
    <row r="292" spans="1:7" ht="15">
      <c r="A292" s="91"/>
      <c r="B292" s="91"/>
      <c r="C292" s="89"/>
      <c r="D292" s="89"/>
      <c r="E292" s="89"/>
      <c r="F292" s="89"/>
      <c r="G292" s="89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5"/>
      <c r="D2" s="92"/>
      <c r="E2" s="92"/>
      <c r="F2" s="92"/>
      <c r="G2" s="92"/>
      <c r="H2" s="92"/>
    </row>
    <row r="3" spans="3:8" ht="15">
      <c r="C3" s="85" t="s">
        <v>268</v>
      </c>
      <c r="D3" s="92" t="str">
        <f>+Input!D6</f>
        <v>Anno 1</v>
      </c>
      <c r="E3" s="92" t="str">
        <f>+Input!E6</f>
        <v>Anno 2</v>
      </c>
      <c r="F3" s="92" t="str">
        <f>+Input!F6</f>
        <v>Anno 3</v>
      </c>
      <c r="G3" s="92" t="str">
        <f>+Input!G6</f>
        <v>Anno 4</v>
      </c>
      <c r="H3" s="92" t="str">
        <f>+Input!H6</f>
        <v>Anno 5</v>
      </c>
    </row>
    <row r="4" spans="3:8" ht="15">
      <c r="C4" s="86"/>
      <c r="D4" s="86"/>
      <c r="E4" s="86"/>
      <c r="F4" s="86"/>
      <c r="G4" s="86"/>
      <c r="H4" s="86"/>
    </row>
    <row r="5" spans="3:8" ht="15">
      <c r="C5" s="86" t="s">
        <v>247</v>
      </c>
      <c r="D5" s="87">
        <f>+'CE'!D51</f>
        <v>5018.593248214484</v>
      </c>
      <c r="E5" s="87">
        <f>+'CE'!E51</f>
        <v>30486.602254159425</v>
      </c>
      <c r="F5" s="87">
        <f>+'CE'!F51</f>
        <v>58104.03762837856</v>
      </c>
      <c r="G5" s="87">
        <f>+'CE'!G51</f>
        <v>69217.22801578777</v>
      </c>
      <c r="H5" s="87">
        <f>+'CE'!H51</f>
        <v>69763.62323972453</v>
      </c>
    </row>
    <row r="6" spans="3:8" ht="15">
      <c r="C6" s="86"/>
      <c r="D6" s="86"/>
      <c r="E6" s="86"/>
      <c r="F6" s="86"/>
      <c r="G6" s="86"/>
      <c r="H6" s="86"/>
    </row>
    <row r="7" spans="3:8" ht="15">
      <c r="C7" s="86" t="s">
        <v>269</v>
      </c>
      <c r="D7" s="93">
        <v>1</v>
      </c>
      <c r="E7" s="93">
        <v>1</v>
      </c>
      <c r="F7" s="93">
        <v>1</v>
      </c>
      <c r="G7" s="93">
        <v>1</v>
      </c>
      <c r="H7" s="93">
        <v>1</v>
      </c>
    </row>
    <row r="8" spans="3:8" ht="15">
      <c r="C8" s="86"/>
      <c r="D8" s="86"/>
      <c r="E8" s="86"/>
      <c r="F8" s="86"/>
      <c r="G8" s="86"/>
      <c r="H8" s="86"/>
    </row>
    <row r="9" spans="3:8" ht="15">
      <c r="C9" s="86" t="s">
        <v>351</v>
      </c>
      <c r="D9" s="93">
        <f>+Input!$D$27</f>
        <v>1</v>
      </c>
      <c r="E9" s="93">
        <f>+Input!$D$27</f>
        <v>1</v>
      </c>
      <c r="F9" s="93">
        <f>+Input!$D$27</f>
        <v>1</v>
      </c>
      <c r="G9" s="93">
        <f>+Input!$D$27</f>
        <v>1</v>
      </c>
      <c r="H9" s="93">
        <f>+Input!$D$27</f>
        <v>1</v>
      </c>
    </row>
    <row r="10" spans="3:8" ht="15">
      <c r="C10" s="86"/>
      <c r="D10" s="86"/>
      <c r="E10" s="86"/>
      <c r="F10" s="86"/>
      <c r="G10" s="86"/>
      <c r="H10" s="86"/>
    </row>
    <row r="11" spans="3:8" ht="15">
      <c r="C11" s="86" t="s">
        <v>271</v>
      </c>
      <c r="D11" s="87">
        <f>+D5*D7*D9</f>
        <v>5018.593248214484</v>
      </c>
      <c r="E11" s="87">
        <f>+E5*E7*E9</f>
        <v>30486.602254159425</v>
      </c>
      <c r="F11" s="87">
        <f>+F5*F7*F9</f>
        <v>58104.03762837856</v>
      </c>
      <c r="G11" s="87">
        <f>+G5*G7*G9</f>
        <v>69217.22801578777</v>
      </c>
      <c r="H11" s="87">
        <f>+H5*H7*H9</f>
        <v>69763.62323972453</v>
      </c>
    </row>
    <row r="13" spans="3:8" ht="15">
      <c r="C13" t="s">
        <v>354</v>
      </c>
      <c r="D13" s="116">
        <f>+T23</f>
        <v>3192.89</v>
      </c>
      <c r="E13" s="116">
        <f>+U23</f>
        <v>6520.2311831647</v>
      </c>
      <c r="F13" s="116">
        <f>+V23</f>
        <v>12566.59874699396</v>
      </c>
      <c r="G13" s="116">
        <f>+W23</f>
        <v>15054.842074734881</v>
      </c>
      <c r="H13" s="116">
        <f>+X23</f>
        <v>15177.179965374322</v>
      </c>
    </row>
    <row r="15" ht="15">
      <c r="H15" s="124"/>
    </row>
    <row r="18" spans="20:24" ht="15">
      <c r="T18" s="1" t="s">
        <v>257</v>
      </c>
      <c r="U18" s="1" t="s">
        <v>258</v>
      </c>
      <c r="V18" s="1" t="s">
        <v>259</v>
      </c>
      <c r="W18" s="1" t="s">
        <v>260</v>
      </c>
      <c r="X18" s="1" t="s">
        <v>261</v>
      </c>
    </row>
    <row r="19" spans="12:24" ht="25.5">
      <c r="L19" s="159" t="s">
        <v>352</v>
      </c>
      <c r="M19" s="160"/>
      <c r="N19" s="160"/>
      <c r="O19" s="161"/>
      <c r="P19" s="112" t="s">
        <v>357</v>
      </c>
      <c r="Q19" s="112" t="s">
        <v>355</v>
      </c>
      <c r="R19" s="112" t="s">
        <v>356</v>
      </c>
      <c r="S19" s="112" t="s">
        <v>358</v>
      </c>
      <c r="T19" s="118" t="s">
        <v>359</v>
      </c>
      <c r="U19" s="118" t="s">
        <v>359</v>
      </c>
      <c r="V19" s="118" t="s">
        <v>359</v>
      </c>
      <c r="W19" s="118" t="s">
        <v>359</v>
      </c>
      <c r="X19" s="118" t="s">
        <v>359</v>
      </c>
    </row>
    <row r="20" spans="12:24" ht="15">
      <c r="L20" s="159" t="s">
        <v>353</v>
      </c>
      <c r="M20" s="160"/>
      <c r="N20" s="160"/>
      <c r="O20" s="161"/>
      <c r="P20" s="115"/>
      <c r="Q20" s="115">
        <v>14931</v>
      </c>
      <c r="R20" s="115">
        <v>3192.89</v>
      </c>
      <c r="S20" s="115"/>
      <c r="T20" s="119">
        <f>+$R$20</f>
        <v>3192.89</v>
      </c>
      <c r="U20" s="119">
        <f>+$R$20</f>
        <v>3192.89</v>
      </c>
      <c r="V20" s="119">
        <f>+$R$20</f>
        <v>3192.89</v>
      </c>
      <c r="W20" s="119">
        <f>+$R$20</f>
        <v>3192.89</v>
      </c>
      <c r="X20" s="119">
        <f>+$R$20</f>
        <v>3192.89</v>
      </c>
    </row>
    <row r="21" spans="12:24" ht="15">
      <c r="L21" s="159" t="s">
        <v>353</v>
      </c>
      <c r="M21" s="160"/>
      <c r="N21" s="160"/>
      <c r="O21" s="161"/>
      <c r="P21" s="115">
        <v>14931.01</v>
      </c>
      <c r="Q21" s="115">
        <v>44204</v>
      </c>
      <c r="R21" s="115"/>
      <c r="S21" s="114">
        <v>0.2139</v>
      </c>
      <c r="T21" s="119">
        <f>+IF(D11&lt;$P$21,0,IF(D11&gt;$Q$21,(($Q$21-$P$21)*$S$21),((D11-$P$21)*$S$21)))</f>
        <v>0</v>
      </c>
      <c r="U21" s="119">
        <f>+IF(E11&lt;$P$21,0,IF(E11&gt;$Q$21,(($Q$21-$P$21)*$S$21),((E11-$P$21)*$S$21)))</f>
        <v>3327.341183164701</v>
      </c>
      <c r="V21" s="119">
        <f>+IF(F11&lt;$P$21,0,IF(F11&gt;$Q$21,(($Q$21-$P$21)*$S$21),((F11-$P$21)*$S$21)))</f>
        <v>6261.492561</v>
      </c>
      <c r="W21" s="119">
        <f>+IF(G11&lt;$P$21,0,IF(G11&gt;$Q$21,(($Q$21-$P$21)*$S$21),((G11-$P$21)*$S$21)))</f>
        <v>6261.492561</v>
      </c>
      <c r="X21" s="119">
        <f>+IF(H11&lt;$P$21,0,IF(H11&gt;$Q$21,(($Q$21-$P$21)*$S$21),((H11-$P$21)*$S$21)))</f>
        <v>6261.492561</v>
      </c>
    </row>
    <row r="22" spans="12:24" ht="15">
      <c r="L22" s="159" t="s">
        <v>353</v>
      </c>
      <c r="M22" s="160"/>
      <c r="N22" s="160"/>
      <c r="O22" s="161"/>
      <c r="P22" s="115">
        <v>44204.01</v>
      </c>
      <c r="Q22" s="113"/>
      <c r="R22" s="114"/>
      <c r="S22" s="114">
        <v>0.2239</v>
      </c>
      <c r="T22" s="119">
        <f>+IF(D11&lt;$P$22,0,(D11-$P$22)*$S$22)</f>
        <v>0</v>
      </c>
      <c r="U22" s="119">
        <f>+IF(E11&lt;$P$22,0,(E11-$P$22)*$S$22)</f>
        <v>0</v>
      </c>
      <c r="V22" s="119">
        <f>+IF(F11&lt;$P$22,0,(F11-$P$22)*$S$22)</f>
        <v>3112.216185993959</v>
      </c>
      <c r="W22" s="119">
        <f>+IF(G11&lt;$P$22,0,(G11-$P$22)*$S$22)</f>
        <v>5600.459513734881</v>
      </c>
      <c r="X22" s="119">
        <f>+IF(H11&lt;$P$22,0,(H11-$P$22)*$S$22)</f>
        <v>5722.7974043743225</v>
      </c>
    </row>
    <row r="23" spans="4:24" ht="15">
      <c r="D23" s="111"/>
      <c r="S23" s="6" t="s">
        <v>15</v>
      </c>
      <c r="T23" s="117">
        <f>SUM(T20:T22)</f>
        <v>3192.89</v>
      </c>
      <c r="U23" s="117">
        <f>SUM(U20:U22)</f>
        <v>6520.2311831647</v>
      </c>
      <c r="V23" s="117">
        <f>SUM(V20:V22)</f>
        <v>12566.59874699396</v>
      </c>
      <c r="W23" s="117">
        <f>SUM(W20:W22)</f>
        <v>15054.842074734881</v>
      </c>
      <c r="X23" s="117">
        <f>SUM(X20:X22)</f>
        <v>15177.179965374322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J16" sqref="J16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>
        <f>+SP!C3</f>
        <v>2015</v>
      </c>
      <c r="D2" s="7">
        <f>+SP!D3</f>
        <v>2016</v>
      </c>
      <c r="E2" s="7">
        <f>+SP!E3</f>
        <v>2017</v>
      </c>
      <c r="F2" s="7">
        <f>+SP!F3</f>
        <v>2018</v>
      </c>
      <c r="G2" s="7">
        <f>+SP!G3</f>
        <v>2019</v>
      </c>
    </row>
    <row r="3" spans="2:7" ht="15">
      <c r="B3" t="s">
        <v>36</v>
      </c>
      <c r="C3" s="25">
        <f>+MCL!D69+finanziamento!E34+Input!D29+Input!D147</f>
        <v>112688.02329762306</v>
      </c>
      <c r="D3" s="25">
        <f>+MCL!E69+finanziamento!F34+Input!E29+C3+Input!E147</f>
        <v>241224.21754762306</v>
      </c>
      <c r="E3" s="25">
        <f>+MCL!F69+finanziamento!G34+Input!F29+D3+Input!F147</f>
        <v>416524.45907416474</v>
      </c>
      <c r="F3" s="25">
        <f>+MCL!G69+finanziamento!H34+Input!G29+E3+Input!G147</f>
        <v>611433.6536759859</v>
      </c>
      <c r="G3" s="25">
        <f>+MCL!H69+finanziamento!I34+Input!H29+F3+Input!H147</f>
        <v>808374.0917892108</v>
      </c>
    </row>
    <row r="4" spans="2:7" ht="15">
      <c r="B4" t="s">
        <v>61</v>
      </c>
      <c r="C4" s="25">
        <f>+MCL!M69+Inve!M23+Personale!D23+finanziamento!E35+'Altri costi'!D51+Iva!C27+Irap!E23+Input!D30+MCL!D89+Input!D130</f>
        <v>115116.15833333334</v>
      </c>
      <c r="D4" s="25">
        <f>+MCL!N69+Inve!N23+Personale!E23+finanziamento!F35+'Altri costi'!E51+Iva!D27+Irap!F23+Input!E30+C4+MCL!E89+Input!E130-Input!D130+Input!E30</f>
        <v>261516.66852157097</v>
      </c>
      <c r="E4" s="25">
        <f>+MCL!O69+Inve!O23+Personale!F23+finanziamento!G35+'Altri costi'!F51+Iva!E27+Irap!G23+Input!F30+D4+MCL!F89+Input!F130-Input!E130+Input!F30</f>
        <v>454022.1019054372</v>
      </c>
      <c r="F4" s="25">
        <f>+MCL!P69+Inve!P23+Personale!G23+finanziamento!H35+'Altri costi'!G51+Iva!F27+Irap!H23+Input!G30+E4+MCL!G89+Input!G130-Input!F130+Input!G30</f>
        <v>667022.5295677184</v>
      </c>
      <c r="G4" s="25">
        <f>+MCL!Q69+Inve!Q23+Personale!H23+finanziamento!I35+'Altri costi'!H51+Iva!G27+Irap!I23+Input!H30+F4+MCL!H89+Input!H130-Input!G130+Input!H30</f>
        <v>882216.0227846113</v>
      </c>
    </row>
    <row r="6" spans="2:7" ht="15">
      <c r="B6" t="s">
        <v>327</v>
      </c>
      <c r="C6" s="84">
        <f>+IF((C3-C4)&gt;0,(C3-C4),0)</f>
        <v>0</v>
      </c>
      <c r="D6" s="84">
        <f>+IF((D3-D4)&gt;0,(D3-D4),0)</f>
        <v>0</v>
      </c>
      <c r="E6" s="84">
        <f>+IF((E3-E4)&gt;0,(E3-E4),0)</f>
        <v>0</v>
      </c>
      <c r="F6" s="84">
        <f>+IF((F3-F4)&gt;0,(F3-F4),0)</f>
        <v>0</v>
      </c>
      <c r="G6" s="84">
        <f>+IF((G3-G4)&gt;0,(G3-G4),0)</f>
        <v>0</v>
      </c>
    </row>
    <row r="7" spans="2:7" ht="15">
      <c r="B7" t="s">
        <v>328</v>
      </c>
      <c r="C7" s="84">
        <f>+IF((C3-C4)&lt;0,-(C3-C4),0)</f>
        <v>2428.1350357102783</v>
      </c>
      <c r="D7" s="84">
        <f>+IF((D3-D4)&lt;0,-(D3-D4),0)</f>
        <v>20292.45097394791</v>
      </c>
      <c r="E7" s="84">
        <f>+IF((E3-E4)&lt;0,-(E3-E4),0)</f>
        <v>37497.642831272446</v>
      </c>
      <c r="F7" s="84">
        <f>+IF((F3-F4)&lt;0,-(F3-F4),0)</f>
        <v>55588.87589173252</v>
      </c>
      <c r="G7" s="84">
        <f>+IF((G3-G4)&lt;0,-(G3-G4),0)</f>
        <v>73841.93099540053</v>
      </c>
    </row>
    <row r="9" spans="2:7" ht="15">
      <c r="B9" t="s">
        <v>329</v>
      </c>
      <c r="C9" s="84">
        <f>+C7*Input!$D$123</f>
        <v>121.40675178551392</v>
      </c>
      <c r="D9" s="84">
        <f>+D7*Input!$D$123</f>
        <v>1014.6225486973956</v>
      </c>
      <c r="E9" s="84">
        <f>+E7*Input!$D$123</f>
        <v>1874.8821415636223</v>
      </c>
      <c r="F9" s="84">
        <f>+F7*Input!$D$123</f>
        <v>2779.443794586626</v>
      </c>
      <c r="G9" s="84">
        <f>+G7*Input!$D$123</f>
        <v>3692.0965497700267</v>
      </c>
    </row>
    <row r="10" spans="2:7" ht="15">
      <c r="B10" t="s">
        <v>336</v>
      </c>
      <c r="C10" s="84">
        <f>+C6*Input!$D$125</f>
        <v>0</v>
      </c>
      <c r="D10" s="84">
        <f>+D6*Input!$D$125</f>
        <v>0</v>
      </c>
      <c r="E10" s="84">
        <f>+E6*Input!$D$125</f>
        <v>0</v>
      </c>
      <c r="F10" s="84">
        <f>+F6*Input!$D$125</f>
        <v>0</v>
      </c>
      <c r="G10" s="84">
        <f>+G6*Input!$D$125</f>
        <v>0</v>
      </c>
    </row>
    <row r="12" ht="15">
      <c r="B12" t="s">
        <v>401</v>
      </c>
    </row>
    <row r="13" spans="2:7" ht="15">
      <c r="B13" t="s">
        <v>329</v>
      </c>
      <c r="C13" s="84">
        <f>+C7*Input!$D$123</f>
        <v>121.40675178551392</v>
      </c>
      <c r="D13" s="84">
        <f>+D7*Input!$D$123+C13</f>
        <v>1136.0293004829095</v>
      </c>
      <c r="E13" s="84">
        <f>+E7*Input!$D$123+D13</f>
        <v>3010.911442046532</v>
      </c>
      <c r="F13" s="84">
        <f>+F7*Input!$D$123+E13</f>
        <v>5790.355236633159</v>
      </c>
      <c r="G13" s="84">
        <f>+G7*Input!$D$123+F13</f>
        <v>9482.451786403186</v>
      </c>
    </row>
    <row r="14" spans="2:7" ht="15">
      <c r="B14" t="s">
        <v>336</v>
      </c>
      <c r="C14" s="84">
        <f>+C10</f>
        <v>0</v>
      </c>
      <c r="D14" s="84">
        <f>+C14+D10</f>
        <v>0</v>
      </c>
      <c r="E14" s="84">
        <f>+D14+E10</f>
        <v>0</v>
      </c>
      <c r="F14" s="84">
        <f>+E14+F10</f>
        <v>0</v>
      </c>
      <c r="G14" s="84">
        <f>+F14+G10</f>
        <v>0</v>
      </c>
    </row>
    <row r="16" spans="2:7" ht="15">
      <c r="B16" t="s">
        <v>331</v>
      </c>
      <c r="C16" s="84">
        <f>+C13</f>
        <v>121.40675178551392</v>
      </c>
      <c r="D16" s="84">
        <f aca="true" t="shared" si="0" ref="D16:G17">+D13</f>
        <v>1136.0293004829095</v>
      </c>
      <c r="E16" s="84">
        <f t="shared" si="0"/>
        <v>3010.911442046532</v>
      </c>
      <c r="F16" s="84">
        <f t="shared" si="0"/>
        <v>5790.355236633159</v>
      </c>
      <c r="G16" s="84">
        <f t="shared" si="0"/>
        <v>9482.451786403186</v>
      </c>
    </row>
    <row r="17" spans="2:7" ht="15">
      <c r="B17" t="s">
        <v>337</v>
      </c>
      <c r="C17" s="84">
        <f>+C14</f>
        <v>0</v>
      </c>
      <c r="D17" s="84">
        <f t="shared" si="0"/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</row>
    <row r="18" spans="3:7" ht="15">
      <c r="C18" s="84"/>
      <c r="D18" s="84"/>
      <c r="E18" s="84"/>
      <c r="F18" s="84"/>
      <c r="G18" s="84"/>
    </row>
    <row r="19" spans="2:7" ht="15">
      <c r="B19" t="s">
        <v>338</v>
      </c>
      <c r="C19" s="84"/>
      <c r="D19" s="84"/>
      <c r="E19" s="84"/>
      <c r="F19" s="84"/>
      <c r="G19" s="84"/>
    </row>
    <row r="20" spans="2:7" ht="15">
      <c r="B20" t="s">
        <v>36</v>
      </c>
      <c r="C20" s="84">
        <f>+C3+C17</f>
        <v>112688.02329762306</v>
      </c>
      <c r="D20" s="84">
        <f>+D3+D17</f>
        <v>241224.21754762306</v>
      </c>
      <c r="E20" s="84">
        <f>+E3+E17</f>
        <v>416524.45907416474</v>
      </c>
      <c r="F20" s="84">
        <f>+F3+F17</f>
        <v>611433.6536759859</v>
      </c>
      <c r="G20" s="84">
        <f>+G3+G17</f>
        <v>808374.0917892108</v>
      </c>
    </row>
    <row r="21" spans="2:7" ht="15">
      <c r="B21" t="s">
        <v>61</v>
      </c>
      <c r="C21" s="84">
        <f>+C4+C16</f>
        <v>115237.56508511885</v>
      </c>
      <c r="D21" s="84">
        <f>+D4+D16</f>
        <v>262652.69782205386</v>
      </c>
      <c r="E21" s="84">
        <f>+E4+E16</f>
        <v>457033.0133474837</v>
      </c>
      <c r="F21" s="84">
        <f>+F4+F16</f>
        <v>672812.8848043516</v>
      </c>
      <c r="G21" s="84">
        <f>+G4+G16</f>
        <v>891698.4745710145</v>
      </c>
    </row>
    <row r="23" spans="2:7" ht="15">
      <c r="B23" t="s">
        <v>327</v>
      </c>
      <c r="C23" s="84">
        <f>+IF((C20-C21)&gt;0,(C20-C21),0)</f>
        <v>0</v>
      </c>
      <c r="D23" s="84">
        <f>+IF((D20-D21)&gt;0,(D20-D21),0)</f>
        <v>0</v>
      </c>
      <c r="E23" s="84">
        <f>+IF((E20-E21)&gt;0,(E20-E21),0)</f>
        <v>0</v>
      </c>
      <c r="F23" s="84">
        <f>+IF((F20-F21)&gt;0,(F20-F21),0)</f>
        <v>0</v>
      </c>
      <c r="G23" s="84">
        <f>+IF((G20-G21)&gt;0,(G20-G21),0)</f>
        <v>0</v>
      </c>
    </row>
    <row r="24" spans="2:7" ht="15">
      <c r="B24" t="s">
        <v>328</v>
      </c>
      <c r="C24" s="84">
        <f>+IF((C20-C21)&lt;0,-(C20-C21),0)</f>
        <v>2549.541787495793</v>
      </c>
      <c r="D24" s="84">
        <f>+IF((D20-D21)&lt;0,-(D20-D21),0)</f>
        <v>21428.480274430796</v>
      </c>
      <c r="E24" s="84">
        <f>+IF((E20-E21)&lt;0,-(E20-E21),0)</f>
        <v>40508.554273318965</v>
      </c>
      <c r="F24" s="84">
        <f>+IF((F20-F21)&lt;0,-(F20-F21),0)</f>
        <v>61379.23112836573</v>
      </c>
      <c r="G24" s="84">
        <f>+IF((G20-G21)&lt;0,-(G20-G21),0)</f>
        <v>83324.38278180372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2" sqref="F32"/>
    </sheetView>
  </sheetViews>
  <sheetFormatPr defaultColWidth="9.140625" defaultRowHeight="15"/>
  <cols>
    <col min="2" max="2" width="30.00390625" style="0" customWidth="1"/>
    <col min="3" max="3" width="20.8515625" style="0" customWidth="1"/>
    <col min="4" max="4" width="13.57421875" style="0" customWidth="1"/>
    <col min="5" max="5" width="13.7109375" style="0" customWidth="1"/>
    <col min="6" max="6" width="13.00390625" style="0" customWidth="1"/>
    <col min="7" max="7" width="13.140625" style="0" customWidth="1"/>
  </cols>
  <sheetData>
    <row r="1" ht="15">
      <c r="A1" s="104" t="s">
        <v>341</v>
      </c>
    </row>
    <row r="3" spans="3:7" ht="15">
      <c r="C3" s="7">
        <f>+Input!I34</f>
        <v>2015</v>
      </c>
      <c r="D3" s="7">
        <f>+Input!J34</f>
        <v>2016</v>
      </c>
      <c r="E3" s="7">
        <f>+Input!K34</f>
        <v>2017</v>
      </c>
      <c r="F3" s="7">
        <f>+Input!L34</f>
        <v>2018</v>
      </c>
      <c r="G3" s="7">
        <f>+Input!M34</f>
        <v>2019</v>
      </c>
    </row>
    <row r="4" spans="2:12" ht="15">
      <c r="B4" s="6" t="s">
        <v>32</v>
      </c>
      <c r="C4" s="35">
        <f>+Banca!C23</f>
        <v>0</v>
      </c>
      <c r="D4" s="35">
        <f>+Banca!D23</f>
        <v>0</v>
      </c>
      <c r="E4" s="35">
        <f>+Banca!E23</f>
        <v>0</v>
      </c>
      <c r="F4" s="35">
        <f>+Banca!F23</f>
        <v>0</v>
      </c>
      <c r="G4" s="35">
        <f>+Banca!G23</f>
        <v>0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323</v>
      </c>
      <c r="C6" s="35">
        <f>SUM(C7:C9)</f>
        <v>14618.166666666668</v>
      </c>
      <c r="D6" s="35">
        <f>SUM(D7:D9)</f>
        <v>21408.305083333333</v>
      </c>
      <c r="E6" s="35">
        <f>SUM(E7:E9)</f>
        <v>29190.223981125</v>
      </c>
      <c r="F6" s="35">
        <f>SUM(F7:F9)</f>
        <v>32430.33884302988</v>
      </c>
      <c r="G6" s="35">
        <f>SUM(G7:G9)</f>
        <v>32754.642231460177</v>
      </c>
      <c r="H6" s="25"/>
      <c r="I6" s="25"/>
      <c r="L6" s="25"/>
    </row>
    <row r="7" spans="2:12" ht="15">
      <c r="B7" t="s">
        <v>17</v>
      </c>
      <c r="C7" s="26">
        <f>+MCL!D41</f>
        <v>14618.166666666668</v>
      </c>
      <c r="D7" s="26">
        <f>+MCL!E41</f>
        <v>21408.305083333333</v>
      </c>
      <c r="E7" s="26">
        <f>+MCL!F41</f>
        <v>29190.223981125</v>
      </c>
      <c r="F7" s="26">
        <f>+MCL!G41</f>
        <v>32430.33884302988</v>
      </c>
      <c r="G7" s="26">
        <f>+MCL!H41</f>
        <v>32754.642231460177</v>
      </c>
      <c r="I7" s="25"/>
      <c r="L7" s="25"/>
    </row>
    <row r="8" spans="2:8" ht="15">
      <c r="B8" t="s">
        <v>23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294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7307.5</v>
      </c>
      <c r="D11" s="35">
        <f>+MCL!N27</f>
        <v>10701.83375</v>
      </c>
      <c r="E11" s="35">
        <f>+MCL!O27</f>
        <v>14591.950318125002</v>
      </c>
      <c r="F11" s="35">
        <f>+MCL!P27</f>
        <v>16211.656803436877</v>
      </c>
      <c r="G11" s="35">
        <f>+MCL!Q27</f>
        <v>16373.773371471245</v>
      </c>
      <c r="H11" s="25"/>
    </row>
    <row r="13" spans="2:7" ht="15">
      <c r="B13" s="7" t="s">
        <v>39</v>
      </c>
      <c r="C13" s="35">
        <f>+C14+C15+C16-C17-C18-C19</f>
        <v>22500</v>
      </c>
      <c r="D13" s="35">
        <f>+D14+D15+D16-D17-D18-D19</f>
        <v>20000</v>
      </c>
      <c r="E13" s="35">
        <f>+E14+E15+E16-E17-E18-E19</f>
        <v>17500</v>
      </c>
      <c r="F13" s="35">
        <f>+F14+F15+F16-F17-F18-F19</f>
        <v>15000</v>
      </c>
      <c r="G13" s="35">
        <f>+G14+G15+G16-G17-G18-G19</f>
        <v>12500</v>
      </c>
    </row>
    <row r="14" spans="2:7" ht="15">
      <c r="B14" t="s">
        <v>53</v>
      </c>
      <c r="C14" s="26">
        <f>+Input!E62</f>
        <v>23000</v>
      </c>
      <c r="D14" s="26">
        <f>+Input!F62+C14</f>
        <v>23000</v>
      </c>
      <c r="E14" s="26">
        <f>+Input!G62+D14</f>
        <v>23000</v>
      </c>
      <c r="F14" s="26">
        <f>+Input!H62+E14</f>
        <v>23000</v>
      </c>
      <c r="G14" s="26">
        <f>+Input!I62+F14</f>
        <v>23000</v>
      </c>
    </row>
    <row r="15" spans="2:7" ht="15">
      <c r="B15" t="s">
        <v>54</v>
      </c>
      <c r="C15" s="26">
        <f>+Input!E63</f>
        <v>2000</v>
      </c>
      <c r="D15" s="26">
        <f>+Input!F63+C15</f>
        <v>2000</v>
      </c>
      <c r="E15" s="26">
        <f>+Input!G63+D15</f>
        <v>2000</v>
      </c>
      <c r="F15" s="26">
        <f>+Input!H63+E15</f>
        <v>2000</v>
      </c>
      <c r="G15" s="26">
        <f>+Input!I63+F15</f>
        <v>2000</v>
      </c>
    </row>
    <row r="16" spans="2:7" ht="15" hidden="1">
      <c r="B16" t="s">
        <v>385</v>
      </c>
      <c r="C16" s="26">
        <f>+Inve!D71</f>
        <v>0</v>
      </c>
      <c r="D16" s="26">
        <f>+Inve!E71</f>
        <v>0</v>
      </c>
      <c r="E16" s="26">
        <f>+Inve!F71</f>
        <v>0</v>
      </c>
      <c r="F16" s="26">
        <f>+Inve!G71</f>
        <v>0</v>
      </c>
      <c r="G16" s="26">
        <f>+Inve!H71</f>
        <v>0</v>
      </c>
    </row>
    <row r="17" spans="2:7" ht="15">
      <c r="B17" t="s">
        <v>55</v>
      </c>
      <c r="C17" s="26">
        <f>+Inve!D62</f>
        <v>2300</v>
      </c>
      <c r="D17" s="26">
        <f>+Inve!E62</f>
        <v>4600</v>
      </c>
      <c r="E17" s="26">
        <f>+Inve!F62</f>
        <v>6900</v>
      </c>
      <c r="F17" s="26">
        <f>+Inve!G62</f>
        <v>9200</v>
      </c>
      <c r="G17" s="26">
        <f>+Inve!H62</f>
        <v>11500</v>
      </c>
    </row>
    <row r="18" spans="2:7" ht="15">
      <c r="B18" t="s">
        <v>56</v>
      </c>
      <c r="C18" s="26">
        <f>+Inve!D63</f>
        <v>200</v>
      </c>
      <c r="D18" s="26">
        <f>+Inve!E63</f>
        <v>400</v>
      </c>
      <c r="E18" s="26">
        <f>+Inve!F63</f>
        <v>600</v>
      </c>
      <c r="F18" s="26">
        <f>+Inve!G63</f>
        <v>800</v>
      </c>
      <c r="G18" s="26">
        <f>+Inve!H63</f>
        <v>1000</v>
      </c>
    </row>
    <row r="19" spans="3:7" ht="15" hidden="1">
      <c r="C19" s="26"/>
      <c r="D19" s="26"/>
      <c r="E19" s="26"/>
      <c r="F19" s="26"/>
      <c r="G19" s="26"/>
    </row>
    <row r="20" spans="3:7" ht="15" hidden="1">
      <c r="C20" s="26"/>
      <c r="D20" s="26"/>
      <c r="E20" s="26"/>
      <c r="F20" s="26"/>
      <c r="G20" s="26"/>
    </row>
    <row r="21" spans="2:7" ht="15" hidden="1">
      <c r="B21" t="s">
        <v>373</v>
      </c>
      <c r="C21" s="26">
        <f>+Input!D130</f>
        <v>0</v>
      </c>
      <c r="D21" s="26">
        <f>+Input!E130</f>
        <v>0</v>
      </c>
      <c r="E21" s="26">
        <f>+Input!F130</f>
        <v>0</v>
      </c>
      <c r="F21" s="26">
        <f>+Input!G130</f>
        <v>0</v>
      </c>
      <c r="G21" s="26">
        <f>+Input!H130</f>
        <v>0</v>
      </c>
    </row>
    <row r="23" spans="2:12" ht="15">
      <c r="B23" s="6" t="s">
        <v>28</v>
      </c>
      <c r="C23" s="35">
        <f>+C13+C11+C6+C4+C21</f>
        <v>44425.66666666667</v>
      </c>
      <c r="D23" s="35">
        <f>+D13+D11+D6+D4+D21</f>
        <v>52110.13883333333</v>
      </c>
      <c r="E23" s="35">
        <f>+E13+E11+E6+E4+E21</f>
        <v>61282.17429925001</v>
      </c>
      <c r="F23" s="35">
        <f>+F13+F11+F6+F4+F21</f>
        <v>63641.995646466756</v>
      </c>
      <c r="G23" s="35">
        <f>+G13+G11+G6+G4+G21</f>
        <v>61628.41560293142</v>
      </c>
      <c r="H23" s="35"/>
      <c r="L23" s="25"/>
    </row>
    <row r="24" ht="15" hidden="1"/>
    <row r="25" ht="15" hidden="1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2549.541787495793</v>
      </c>
      <c r="D27" s="35">
        <f>+Banca!D24</f>
        <v>21428.480274430796</v>
      </c>
      <c r="E27" s="35">
        <f>+Banca!E24</f>
        <v>40508.554273318965</v>
      </c>
      <c r="F27" s="35">
        <f>+Banca!F24</f>
        <v>61379.23112836573</v>
      </c>
      <c r="G27" s="35">
        <f>+Banca!G24</f>
        <v>83324.38278180372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324</v>
      </c>
      <c r="C29" s="35">
        <f>SUM(C30:C33)</f>
        <v>9435.366803347031</v>
      </c>
      <c r="D29" s="35">
        <f>SUM(D30:D33)</f>
        <v>12360.363888731856</v>
      </c>
      <c r="E29" s="35">
        <f>SUM(E30:E33)</f>
        <v>17474.441837207647</v>
      </c>
      <c r="F29" s="35">
        <f>SUM(F30:F33)</f>
        <v>19132.446075535343</v>
      </c>
      <c r="G29" s="35">
        <f>SUM(G30:G33)</f>
        <v>19049.675690577096</v>
      </c>
      <c r="H29" s="25"/>
    </row>
    <row r="30" spans="2:12" ht="15">
      <c r="B30" t="s">
        <v>22</v>
      </c>
      <c r="C30" s="26">
        <f>+MCL!D55</f>
        <v>8120.099999999999</v>
      </c>
      <c r="D30" s="26">
        <f>+MCL!E55</f>
        <v>10417.486450000002</v>
      </c>
      <c r="E30" s="26">
        <f>+MCL!F55</f>
        <v>14055.328374575</v>
      </c>
      <c r="F30" s="26">
        <f>+MCL!G55</f>
        <v>15070.256977152829</v>
      </c>
      <c r="G30" s="26">
        <f>+MCL!H55</f>
        <v>14923.600460170557</v>
      </c>
      <c r="L30" s="25"/>
    </row>
    <row r="31" spans="2:12" ht="15">
      <c r="B31" t="s">
        <v>62</v>
      </c>
      <c r="C31" s="26">
        <f>+Inve!M15</f>
        <v>0</v>
      </c>
      <c r="D31" s="26">
        <f>+Inve!N15+C31</f>
        <v>0</v>
      </c>
      <c r="E31" s="26">
        <f>+Inve!O15+D31</f>
        <v>0</v>
      </c>
      <c r="F31" s="26">
        <f>+Inve!P15+E31</f>
        <v>0</v>
      </c>
      <c r="G31" s="26">
        <f>+Inve!Q15+F31</f>
        <v>0</v>
      </c>
      <c r="L31" s="25"/>
    </row>
    <row r="32" spans="2:12" ht="15">
      <c r="B32" t="s">
        <v>295</v>
      </c>
      <c r="C32" s="26">
        <f>+Irap!E20</f>
        <v>1276.025136680365</v>
      </c>
      <c r="D32" s="26">
        <f>+Irap!F20</f>
        <v>993.2523512318526</v>
      </c>
      <c r="E32" s="26">
        <f>+Irap!G20</f>
        <v>2070.332330826399</v>
      </c>
      <c r="F32" s="26">
        <f>+Irap!H20</f>
        <v>2503.746755935358</v>
      </c>
      <c r="G32" s="26">
        <f>+Irap!I20</f>
        <v>2525.056169668893</v>
      </c>
      <c r="L32" s="25"/>
    </row>
    <row r="33" spans="2:8" ht="15">
      <c r="B33" t="s">
        <v>19</v>
      </c>
      <c r="C33" s="26">
        <f>+Iva!C26</f>
        <v>39.24166666666679</v>
      </c>
      <c r="D33" s="26">
        <f>+Iva!D26</f>
        <v>949.6250875000005</v>
      </c>
      <c r="E33" s="26">
        <f>+Iva!E26</f>
        <v>1348.7811318062504</v>
      </c>
      <c r="F33" s="26">
        <f>+Iva!F26</f>
        <v>1558.4423424471588</v>
      </c>
      <c r="G33" s="26">
        <f>+Iva!G26</f>
        <v>1601.019060737648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326</v>
      </c>
      <c r="C35" s="35">
        <f>SUM(C36:C40)</f>
        <v>28698.189964289737</v>
      </c>
      <c r="D35" s="35">
        <f>SUM(D36:D40)</f>
        <v>27172.23512572265</v>
      </c>
      <c r="E35" s="35">
        <f>SUM(E36:E40)</f>
        <v>25404.2039000702</v>
      </c>
      <c r="F35" s="35">
        <f>SUM(F36:F40)</f>
        <v>23374.73017636555</v>
      </c>
      <c r="G35" s="35">
        <f>SUM(G36:G40)</f>
        <v>21062.898554764528</v>
      </c>
      <c r="H35" s="25"/>
    </row>
    <row r="36" spans="2:8" ht="15">
      <c r="B36" t="s">
        <v>325</v>
      </c>
      <c r="C36" s="26">
        <f>+Personale!D22</f>
        <v>1500</v>
      </c>
      <c r="D36" s="26">
        <f>+Personale!E22+C36</f>
        <v>3000</v>
      </c>
      <c r="E36" s="26">
        <f>+Personale!F22+D36</f>
        <v>4500</v>
      </c>
      <c r="F36" s="26">
        <f>+Personale!G22+E36</f>
        <v>6000</v>
      </c>
      <c r="G36" s="26">
        <f>+Personale!H22+F36</f>
        <v>7500</v>
      </c>
      <c r="H36" s="25"/>
    </row>
    <row r="37" spans="3:8" ht="15" hidden="1">
      <c r="C37" s="26"/>
      <c r="D37" s="26"/>
      <c r="E37" s="26"/>
      <c r="F37" s="26"/>
      <c r="G37" s="26"/>
      <c r="H37" s="25"/>
    </row>
    <row r="38" spans="2:8" ht="15">
      <c r="B38" t="s">
        <v>221</v>
      </c>
      <c r="C38" s="101">
        <f>+finanziamento!E23</f>
        <v>22198.189964289737</v>
      </c>
      <c r="D38" s="101">
        <f>+finanziamento!F23</f>
        <v>19172.23512572265</v>
      </c>
      <c r="E38" s="101">
        <f>+finanziamento!G23</f>
        <v>15904.203900070199</v>
      </c>
      <c r="F38" s="101">
        <f>+finanziamento!H23</f>
        <v>12374.73017636555</v>
      </c>
      <c r="G38" s="101">
        <f>+finanziamento!I23</f>
        <v>8562.898554764528</v>
      </c>
      <c r="H38" s="25"/>
    </row>
    <row r="39" spans="2:8" ht="15" hidden="1">
      <c r="B39" t="s">
        <v>376</v>
      </c>
      <c r="C39" s="101">
        <f>+Input!D147</f>
        <v>0</v>
      </c>
      <c r="D39" s="101">
        <f>+C39+Input!E147</f>
        <v>0</v>
      </c>
      <c r="E39" s="101">
        <f>+D39+Input!F147</f>
        <v>0</v>
      </c>
      <c r="F39" s="101">
        <f>+E39+Input!G147</f>
        <v>0</v>
      </c>
      <c r="G39" s="101">
        <f>+F39+Input!H147</f>
        <v>0</v>
      </c>
      <c r="H39" s="25"/>
    </row>
    <row r="40" spans="2:8" ht="15">
      <c r="B40" t="s">
        <v>332</v>
      </c>
      <c r="C40" s="101">
        <f>+Input!D29</f>
        <v>5000</v>
      </c>
      <c r="D40" s="101">
        <f>+C40+Input!E29</f>
        <v>5000</v>
      </c>
      <c r="E40" s="101">
        <f>+D40+Input!F29</f>
        <v>5000</v>
      </c>
      <c r="F40" s="101">
        <f>+E40+Input!G29</f>
        <v>5000</v>
      </c>
      <c r="G40" s="101">
        <f>+F40+Input!H29</f>
        <v>5000</v>
      </c>
      <c r="H40" s="25"/>
    </row>
    <row r="42" spans="2:7" ht="15">
      <c r="B42" s="6" t="s">
        <v>247</v>
      </c>
      <c r="C42" s="35">
        <f>SUM(C43:C44)</f>
        <v>3742.5681115341195</v>
      </c>
      <c r="D42" s="35">
        <f>SUM(D43:D44)</f>
        <v>5359.892877781325</v>
      </c>
      <c r="E42" s="35">
        <f>SUM(E43:E44)</f>
        <v>12917.573038653121</v>
      </c>
      <c r="F42" s="35">
        <f>SUM(F43:F44)</f>
        <v>23155.029161825165</v>
      </c>
      <c r="G42" s="35">
        <f>SUM(G43:G44)</f>
        <v>33117.571095200445</v>
      </c>
    </row>
    <row r="43" spans="2:8" ht="15">
      <c r="B43" t="s">
        <v>31</v>
      </c>
      <c r="D43" s="26">
        <f>+C43+C44-Input!E30</f>
        <v>-9557.43188846588</v>
      </c>
      <c r="E43" s="26">
        <f>+D43+D44-Input!F30</f>
        <v>-18240.107122218673</v>
      </c>
      <c r="F43" s="26">
        <f>+E43+E44-Input!G30</f>
        <v>-14682.426961346879</v>
      </c>
      <c r="G43" s="26">
        <f>+F43+F44-Input!H30</f>
        <v>-4844.970838174835</v>
      </c>
      <c r="H43" s="25"/>
    </row>
    <row r="44" spans="2:9" ht="15">
      <c r="B44" t="s">
        <v>30</v>
      </c>
      <c r="C44" s="26">
        <f>+'CE'!D55</f>
        <v>3742.5681115341195</v>
      </c>
      <c r="D44" s="26">
        <f>+'CE'!E55-Input!E30</f>
        <v>14917.324766247206</v>
      </c>
      <c r="E44" s="26">
        <f>+'CE'!F55-Input!F30</f>
        <v>31157.680160871794</v>
      </c>
      <c r="F44" s="26">
        <f>+'CE'!G55-Input!G30</f>
        <v>37837.45612317204</v>
      </c>
      <c r="G44" s="26">
        <f>+'CE'!H55-Input!H30</f>
        <v>37962.54193337528</v>
      </c>
      <c r="H44" s="25"/>
      <c r="I44" s="25"/>
    </row>
    <row r="45" spans="2:8" ht="15">
      <c r="B45" s="6" t="s">
        <v>29</v>
      </c>
      <c r="C45" s="35">
        <f>+C27+C29+C35+C42</f>
        <v>44425.66666666668</v>
      </c>
      <c r="D45" s="35">
        <f>+D27+D29+D35+D42</f>
        <v>66320.97216666663</v>
      </c>
      <c r="E45" s="35">
        <f>+E27+E29+E35+E42</f>
        <v>96304.77304924992</v>
      </c>
      <c r="F45" s="35">
        <f>+F27+F29+F35+F42</f>
        <v>127041.4365420918</v>
      </c>
      <c r="G45" s="35">
        <f>+G27+G29+G35+G42</f>
        <v>156554.5281223458</v>
      </c>
      <c r="H45" s="35"/>
    </row>
    <row r="47" spans="2:7" ht="15">
      <c r="B47" s="6" t="s">
        <v>319</v>
      </c>
      <c r="C47" s="25">
        <f>+C23-C45</f>
        <v>0</v>
      </c>
      <c r="D47" s="25">
        <f>+D23-D45</f>
        <v>-14210.8333333333</v>
      </c>
      <c r="E47" s="25">
        <f>+E23-E45</f>
        <v>-35022.59874999992</v>
      </c>
      <c r="F47" s="25">
        <f>+F23-F45</f>
        <v>-63399.44089562505</v>
      </c>
      <c r="G47" s="25">
        <f>+G23-G45</f>
        <v>-94926.11251941438</v>
      </c>
    </row>
    <row r="48" spans="3:7" ht="15">
      <c r="C48" s="25"/>
      <c r="D48" s="25"/>
      <c r="E48" s="25">
        <f>+E47-D47</f>
        <v>-20811.765416666618</v>
      </c>
      <c r="F48" s="25">
        <f>+F47-E47</f>
        <v>-28376.84214562513</v>
      </c>
      <c r="G48" s="25">
        <f>+G47-F47</f>
        <v>-31526.671623789334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2" sqref="D42"/>
    </sheetView>
  </sheetViews>
  <sheetFormatPr defaultColWidth="9.140625" defaultRowHeight="15"/>
  <cols>
    <col min="2" max="2" width="36.00390625" style="0" bestFit="1" customWidth="1"/>
    <col min="3" max="3" width="5.57421875" style="0" hidden="1" customWidth="1"/>
    <col min="4" max="8" width="11.421875" style="0" customWidth="1"/>
  </cols>
  <sheetData>
    <row r="1" ht="15">
      <c r="A1" s="104" t="s">
        <v>341</v>
      </c>
    </row>
    <row r="2" spans="2:8" ht="15">
      <c r="B2" t="s">
        <v>398</v>
      </c>
      <c r="D2" s="7">
        <f>+Input!I34</f>
        <v>2015</v>
      </c>
      <c r="E2" s="7">
        <f>+Input!J34</f>
        <v>2016</v>
      </c>
      <c r="F2" s="7">
        <f>+Input!K34</f>
        <v>2017</v>
      </c>
      <c r="G2" s="7">
        <f>+Input!L34</f>
        <v>2018</v>
      </c>
      <c r="H2" s="7">
        <f>+Input!M34</f>
        <v>2019</v>
      </c>
    </row>
    <row r="3" spans="2:8" ht="15">
      <c r="B3" s="6" t="s">
        <v>0</v>
      </c>
      <c r="C3" s="6"/>
      <c r="D3" s="35">
        <f>+MCL!D13</f>
        <v>86400</v>
      </c>
      <c r="E3" s="35">
        <f>+MCL!E13</f>
        <v>126532.8</v>
      </c>
      <c r="F3" s="35">
        <f>+MCL!F13</f>
        <v>172527.47280000002</v>
      </c>
      <c r="G3" s="35">
        <f>+MCL!G13</f>
        <v>191678.02228080004</v>
      </c>
      <c r="H3" s="35">
        <f>+MCL!H13</f>
        <v>193594.80250360802</v>
      </c>
    </row>
    <row r="5" spans="2:8" ht="15">
      <c r="B5" s="6" t="s">
        <v>369</v>
      </c>
      <c r="D5" s="35">
        <f>+D7-D8+D6</f>
        <v>33360</v>
      </c>
      <c r="E5" s="35">
        <f>+E7-E8+E6</f>
        <v>48855.72</v>
      </c>
      <c r="F5" s="35">
        <f>+F7-F8+F6</f>
        <v>66614.77422000002</v>
      </c>
      <c r="G5" s="35">
        <f>+G7-G8+G6</f>
        <v>74009.01415842003</v>
      </c>
      <c r="H5" s="35">
        <f>+H7-H8+H6</f>
        <v>74749.10430000421</v>
      </c>
    </row>
    <row r="6" spans="2:8" ht="15">
      <c r="B6" t="s">
        <v>382</v>
      </c>
      <c r="D6" s="35"/>
      <c r="E6" s="35">
        <f>+D8</f>
        <v>7307.5</v>
      </c>
      <c r="F6" s="35">
        <f>+E8</f>
        <v>10701.83375</v>
      </c>
      <c r="G6" s="35">
        <f>+F8</f>
        <v>14591.950318125002</v>
      </c>
      <c r="H6" s="35">
        <f>+G8</f>
        <v>16211.656803436877</v>
      </c>
    </row>
    <row r="7" spans="2:8" ht="15">
      <c r="B7" t="s">
        <v>9</v>
      </c>
      <c r="C7" s="6"/>
      <c r="D7" s="35">
        <f>+MCL!D27+MCL!M27</f>
        <v>40667.5</v>
      </c>
      <c r="E7" s="35">
        <f>+MCL!E27+MCL!N27-MCL!M27</f>
        <v>52250.05375</v>
      </c>
      <c r="F7" s="35">
        <f>+MCL!F27+MCL!O27-MCL!N27</f>
        <v>70504.89078812502</v>
      </c>
      <c r="G7" s="35">
        <f>+MCL!G27+MCL!P27-MCL!O27</f>
        <v>75628.72064373191</v>
      </c>
      <c r="H7" s="35">
        <f>+MCL!H27+MCL!Q27-MCL!P27</f>
        <v>74911.22086803858</v>
      </c>
    </row>
    <row r="8" spans="2:8" ht="15">
      <c r="B8" t="s">
        <v>383</v>
      </c>
      <c r="C8" s="6"/>
      <c r="D8" s="35">
        <f>+MCL!M27</f>
        <v>7307.5</v>
      </c>
      <c r="E8" s="35">
        <f>+MCL!N27</f>
        <v>10701.83375</v>
      </c>
      <c r="F8" s="35">
        <f>+MCL!O27</f>
        <v>14591.950318125002</v>
      </c>
      <c r="G8" s="35">
        <f>+MCL!P27</f>
        <v>16211.656803436877</v>
      </c>
      <c r="H8" s="35">
        <f>+MCL!Q27</f>
        <v>16373.773371471245</v>
      </c>
    </row>
    <row r="9" spans="3:8" ht="15" hidden="1">
      <c r="C9" s="6"/>
      <c r="D9" s="35"/>
      <c r="E9" s="35"/>
      <c r="F9" s="35"/>
      <c r="G9" s="35"/>
      <c r="H9" s="35"/>
    </row>
    <row r="10" spans="3:8" ht="15" hidden="1">
      <c r="C10" s="6"/>
      <c r="D10" s="35"/>
      <c r="E10" s="35"/>
      <c r="F10" s="35"/>
      <c r="G10" s="35"/>
      <c r="H10" s="35"/>
    </row>
    <row r="11" spans="4:8" ht="15" hidden="1">
      <c r="D11" s="26"/>
      <c r="E11" s="26"/>
      <c r="F11" s="26"/>
      <c r="G11" s="26"/>
      <c r="H11" s="26"/>
    </row>
    <row r="12" spans="2:8" ht="15">
      <c r="B12" s="6" t="s">
        <v>320</v>
      </c>
      <c r="C12" s="6"/>
      <c r="D12" s="35">
        <f>+D3-D5-D10</f>
        <v>53040</v>
      </c>
      <c r="E12" s="35">
        <f>+E3-E5-E10</f>
        <v>77677.08</v>
      </c>
      <c r="F12" s="35">
        <f>+F3-F5-F10</f>
        <v>105912.69858</v>
      </c>
      <c r="G12" s="35">
        <f>+G3-G5-G10</f>
        <v>117669.00812238001</v>
      </c>
      <c r="H12" s="35">
        <f>+H3-H5-H10</f>
        <v>118845.69820360381</v>
      </c>
    </row>
    <row r="13" spans="2:8" ht="15">
      <c r="B13" t="s">
        <v>384</v>
      </c>
      <c r="D13" s="129">
        <f>+D12/D3</f>
        <v>0.6138888888888889</v>
      </c>
      <c r="E13" s="129">
        <f>+E12/E3</f>
        <v>0.6138888888888889</v>
      </c>
      <c r="F13" s="129">
        <f>+F12/F3</f>
        <v>0.6138888888888888</v>
      </c>
      <c r="G13" s="129">
        <f>+G12/G3</f>
        <v>0.6138888888888888</v>
      </c>
      <c r="H13" s="129">
        <f>+H12/H3</f>
        <v>0.6138888888888888</v>
      </c>
    </row>
    <row r="15" spans="2:8" ht="15">
      <c r="B15" s="6" t="s">
        <v>223</v>
      </c>
      <c r="C15" s="6"/>
      <c r="D15" s="35">
        <f>SUM(D16:D36)</f>
        <v>15700</v>
      </c>
      <c r="E15" s="35">
        <f>SUM(E16:E36)</f>
        <v>14200</v>
      </c>
      <c r="F15" s="35">
        <f>SUM(F16:F36)</f>
        <v>14200</v>
      </c>
      <c r="G15" s="35">
        <f>SUM(G16:G36)</f>
        <v>14200</v>
      </c>
      <c r="H15" s="35">
        <f>SUM(H16:H36)</f>
        <v>14200</v>
      </c>
    </row>
    <row r="16" spans="2:8" ht="15">
      <c r="B16" t="str">
        <f>+Input!C99</f>
        <v>spese utenze</v>
      </c>
      <c r="D16" s="26">
        <f>+Input!F99</f>
        <v>2400</v>
      </c>
      <c r="E16" s="26">
        <f>+Input!G99</f>
        <v>2400</v>
      </c>
      <c r="F16" s="26">
        <f>+Input!H99</f>
        <v>2400</v>
      </c>
      <c r="G16" s="26">
        <f>+Input!I99</f>
        <v>2400</v>
      </c>
      <c r="H16" s="26">
        <f>+Input!J99</f>
        <v>2400</v>
      </c>
    </row>
    <row r="17" spans="2:8" ht="15" hidden="1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1500</v>
      </c>
      <c r="E18" s="26">
        <f>+Input!G101</f>
        <v>0</v>
      </c>
      <c r="F18" s="26">
        <f>+Input!H101</f>
        <v>0</v>
      </c>
      <c r="G18" s="26">
        <f>+Input!I101</f>
        <v>0</v>
      </c>
      <c r="H18" s="26">
        <f>+Input!J101</f>
        <v>0</v>
      </c>
    </row>
    <row r="19" spans="2:8" ht="15" hidden="1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 hidden="1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 hidden="1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1800</v>
      </c>
      <c r="E22" s="26">
        <f>+Input!G105</f>
        <v>1800</v>
      </c>
      <c r="F22" s="26">
        <f>+Input!H105</f>
        <v>1800</v>
      </c>
      <c r="G22" s="26">
        <f>+Input!I105</f>
        <v>1800</v>
      </c>
      <c r="H22" s="26">
        <f>+Input!J105</f>
        <v>1800</v>
      </c>
    </row>
    <row r="23" spans="2:8" ht="15" hidden="1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8000</v>
      </c>
      <c r="E24" s="26">
        <f>+Input!G107</f>
        <v>8000</v>
      </c>
      <c r="F24" s="26">
        <f>+Input!H107</f>
        <v>8000</v>
      </c>
      <c r="G24" s="26">
        <f>+Input!I107</f>
        <v>8000</v>
      </c>
      <c r="H24" s="26">
        <f>+Input!J107</f>
        <v>8000</v>
      </c>
    </row>
    <row r="25" spans="2:8" ht="15" hidden="1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1000</v>
      </c>
      <c r="E26" s="26">
        <f>+Input!G109</f>
        <v>1000</v>
      </c>
      <c r="F26" s="26">
        <f>+Input!H109</f>
        <v>1000</v>
      </c>
      <c r="G26" s="26">
        <f>+Input!I109</f>
        <v>1000</v>
      </c>
      <c r="H26" s="26">
        <f>+Input!J109</f>
        <v>1000</v>
      </c>
    </row>
    <row r="27" spans="2:8" ht="15">
      <c r="B27" t="str">
        <f>+Input!C110</f>
        <v>Premi assicurativi</v>
      </c>
      <c r="D27" s="26">
        <f>+Input!F110</f>
        <v>1000</v>
      </c>
      <c r="E27" s="26">
        <f>+Input!G110</f>
        <v>1000</v>
      </c>
      <c r="F27" s="26">
        <f>+Input!H110</f>
        <v>1000</v>
      </c>
      <c r="G27" s="26">
        <f>+Input!I110</f>
        <v>1000</v>
      </c>
      <c r="H27" s="26">
        <f>+Input!J110</f>
        <v>1000</v>
      </c>
    </row>
    <row r="28" spans="2:8" ht="15" hidden="1">
      <c r="B28" t="str">
        <f>+Input!C111</f>
        <v>Altri costi 1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 hidden="1">
      <c r="B29" t="str">
        <f>+Input!C112</f>
        <v>Altri costi 2</v>
      </c>
      <c r="D29" s="26">
        <f>+Input!F112</f>
        <v>0</v>
      </c>
      <c r="E29" s="26">
        <f>+Input!G112</f>
        <v>0</v>
      </c>
      <c r="F29" s="26">
        <f>+Input!H112</f>
        <v>0</v>
      </c>
      <c r="G29" s="26">
        <f>+Input!I112</f>
        <v>0</v>
      </c>
      <c r="H29" s="26">
        <f>+Input!J112</f>
        <v>0</v>
      </c>
    </row>
    <row r="30" spans="2:8" ht="15" hidden="1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 hidden="1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 hidden="1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 hidden="1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 hidden="1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 hidden="1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 hidden="1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322</v>
      </c>
      <c r="C38" s="6"/>
      <c r="D38" s="35">
        <f>SUM(D39:D41)</f>
        <v>2500</v>
      </c>
      <c r="E38" s="35">
        <f>SUM(E39:E41)</f>
        <v>2500</v>
      </c>
      <c r="F38" s="35">
        <f>SUM(F39:F41)</f>
        <v>2500</v>
      </c>
      <c r="G38" s="35">
        <f>SUM(G39:G41)</f>
        <v>2500</v>
      </c>
      <c r="H38" s="35">
        <f>SUM(H39:H41)</f>
        <v>2500</v>
      </c>
    </row>
    <row r="39" spans="2:8" ht="15">
      <c r="B39" t="s">
        <v>51</v>
      </c>
      <c r="D39" s="26">
        <f>+Inve!D57</f>
        <v>2300</v>
      </c>
      <c r="E39" s="26">
        <f>+Inve!E57</f>
        <v>2300</v>
      </c>
      <c r="F39" s="26">
        <f>+Inve!F57</f>
        <v>2300</v>
      </c>
      <c r="G39" s="26">
        <f>+Inve!G57</f>
        <v>2300</v>
      </c>
      <c r="H39" s="26">
        <f>+Inve!H57</f>
        <v>2300</v>
      </c>
    </row>
    <row r="40" spans="2:8" ht="15">
      <c r="B40" t="s">
        <v>52</v>
      </c>
      <c r="D40" s="26">
        <f>+Inve!D58</f>
        <v>200</v>
      </c>
      <c r="E40" s="26">
        <f>+Inve!E58</f>
        <v>200</v>
      </c>
      <c r="F40" s="26">
        <f>+Inve!F58</f>
        <v>200</v>
      </c>
      <c r="G40" s="26">
        <f>+Inve!G58</f>
        <v>200</v>
      </c>
      <c r="H40" s="26">
        <f>+Inve!H58</f>
        <v>200</v>
      </c>
    </row>
    <row r="41" spans="4:8" ht="15" hidden="1">
      <c r="D41" s="26"/>
      <c r="E41" s="26"/>
      <c r="F41" s="26"/>
      <c r="G41" s="26"/>
      <c r="H41" s="26"/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27700</v>
      </c>
      <c r="E43" s="35">
        <f>+Personale!E8</f>
        <v>27700</v>
      </c>
      <c r="F43" s="35">
        <f>+Personale!F8</f>
        <v>27700</v>
      </c>
      <c r="G43" s="35">
        <f>+Personale!G8</f>
        <v>27700</v>
      </c>
      <c r="H43" s="35">
        <f>+Personale!H8</f>
        <v>27700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321</v>
      </c>
      <c r="C45" s="6"/>
      <c r="D45" s="35">
        <f>+D12-D15-D38-D43</f>
        <v>7140</v>
      </c>
      <c r="E45" s="35">
        <f>+E12-E15-E38-E43</f>
        <v>33277.08</v>
      </c>
      <c r="F45" s="35">
        <f>+F12-F15-F38-F43</f>
        <v>61512.69858</v>
      </c>
      <c r="G45" s="35">
        <f>+G12-G15-G38-G43</f>
        <v>73269.00812238001</v>
      </c>
      <c r="H45" s="35">
        <f>+H12-H15-H38-H43</f>
        <v>74445.69820360381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335</v>
      </c>
      <c r="C47" s="6"/>
      <c r="D47" s="35">
        <f>-D48+D49</f>
        <v>-2121.4067517855156</v>
      </c>
      <c r="E47" s="35">
        <f>-E48+E49</f>
        <v>-2790.477745840576</v>
      </c>
      <c r="F47" s="35">
        <f>-F48+F49</f>
        <v>-3408.6609516214357</v>
      </c>
      <c r="G47" s="35">
        <f>-G48+G49</f>
        <v>-4051.780106592243</v>
      </c>
      <c r="H47" s="35">
        <f>-H48+H49</f>
        <v>-4682.074963879271</v>
      </c>
    </row>
    <row r="48" spans="2:8" ht="15">
      <c r="B48" t="s">
        <v>127</v>
      </c>
      <c r="D48" s="26">
        <f>+finanziamento!E29+Banca!C9</f>
        <v>2121.4067517855156</v>
      </c>
      <c r="E48" s="26">
        <f>+finanziamento!F29+Banca!D9</f>
        <v>2790.477745840576</v>
      </c>
      <c r="F48" s="26">
        <f>+finanziamento!G29+Banca!E9</f>
        <v>3408.6609516214357</v>
      </c>
      <c r="G48" s="26">
        <f>+finanziamento!H29+Banca!F9</f>
        <v>4051.780106592243</v>
      </c>
      <c r="H48" s="26">
        <f>+finanziamento!I29+Banca!G9</f>
        <v>4682.074963879271</v>
      </c>
    </row>
    <row r="49" spans="2:8" ht="15">
      <c r="B49" t="s">
        <v>334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245</v>
      </c>
      <c r="C51" s="6"/>
      <c r="D51" s="35">
        <f>+D45+D47</f>
        <v>5018.593248214484</v>
      </c>
      <c r="E51" s="35">
        <f>+E45+E47</f>
        <v>30486.602254159425</v>
      </c>
      <c r="F51" s="35">
        <f>+F45+F47</f>
        <v>58104.03762837856</v>
      </c>
      <c r="G51" s="35">
        <f>+G45+G47</f>
        <v>69217.22801578777</v>
      </c>
      <c r="H51" s="35">
        <f>+H45+H47</f>
        <v>69763.62323972453</v>
      </c>
    </row>
    <row r="53" spans="2:8" ht="15">
      <c r="B53" t="s">
        <v>287</v>
      </c>
      <c r="D53" s="35">
        <f>+Irap!E16</f>
        <v>1276.025136680365</v>
      </c>
      <c r="E53" s="35">
        <f>+Irap!F16</f>
        <v>2269.2774879122176</v>
      </c>
      <c r="F53" s="35">
        <f>+Irap!G16</f>
        <v>3346.357467506764</v>
      </c>
      <c r="G53" s="35">
        <f>+Irap!H16</f>
        <v>3779.771892615723</v>
      </c>
      <c r="H53" s="35">
        <f>+Irap!I16</f>
        <v>3801.081306349257</v>
      </c>
    </row>
    <row r="55" spans="2:8" ht="15.75" thickBot="1">
      <c r="B55" s="6" t="s">
        <v>293</v>
      </c>
      <c r="D55" s="35">
        <f>+D51-D53</f>
        <v>3742.5681115341195</v>
      </c>
      <c r="E55" s="35">
        <f>+E51-E53</f>
        <v>28217.324766247206</v>
      </c>
      <c r="F55" s="35">
        <f>+F51-F53</f>
        <v>54757.680160871794</v>
      </c>
      <c r="G55" s="35">
        <f>+G51-G53</f>
        <v>65437.45612317204</v>
      </c>
      <c r="H55" s="35">
        <f>+H51-H53</f>
        <v>65962.54193337528</v>
      </c>
    </row>
    <row r="56" spans="4:8" ht="15" hidden="1">
      <c r="D56" s="35"/>
      <c r="E56" s="35"/>
      <c r="F56" s="35"/>
      <c r="G56" s="35"/>
      <c r="H56" s="35"/>
    </row>
    <row r="57" spans="4:8" ht="15" hidden="1">
      <c r="D57" s="35"/>
      <c r="E57" s="35"/>
      <c r="F57" s="35"/>
      <c r="G57" s="35"/>
      <c r="H57" s="35"/>
    </row>
    <row r="58" ht="15.75" hidden="1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350</v>
      </c>
      <c r="C60" s="12"/>
      <c r="D60" s="17"/>
      <c r="E60" s="17"/>
      <c r="F60" s="17"/>
      <c r="G60" s="17"/>
      <c r="H60" s="15"/>
    </row>
    <row r="61" spans="2:8" ht="15">
      <c r="B61" s="16" t="s">
        <v>349</v>
      </c>
      <c r="C61" s="120">
        <f>+Input!D27</f>
        <v>1</v>
      </c>
      <c r="D61" s="34">
        <f>+'Irpef socio'!G27</f>
        <v>1154.2764470893314</v>
      </c>
      <c r="E61" s="34">
        <f>+'Irpef socio'!I27</f>
        <v>7904.908856580581</v>
      </c>
      <c r="F61" s="34">
        <f>+'Irpef socio'!K27</f>
        <v>18492.65542763521</v>
      </c>
      <c r="G61" s="34">
        <f>+'Irpef socio'!M27</f>
        <v>23049.063486472984</v>
      </c>
      <c r="H61" s="121">
        <f>+'Irpef socio'!O27</f>
        <v>23273.085528287058</v>
      </c>
    </row>
    <row r="62" spans="2:8" ht="15">
      <c r="B62" s="16" t="s">
        <v>360</v>
      </c>
      <c r="C62" s="120">
        <f>+Input!D27</f>
        <v>1</v>
      </c>
      <c r="D62" s="34">
        <f>+'Inps socio'!T23</f>
        <v>3192.89</v>
      </c>
      <c r="E62" s="34">
        <f>+'Inps socio'!U23</f>
        <v>6520.2311831647</v>
      </c>
      <c r="F62" s="34">
        <f>+'Inps socio'!V23</f>
        <v>12566.59874699396</v>
      </c>
      <c r="G62" s="34">
        <f>+'Inps socio'!W23</f>
        <v>15054.842074734881</v>
      </c>
      <c r="H62" s="121">
        <f>+'Inps socio'!X23</f>
        <v>15177.179965374322</v>
      </c>
    </row>
    <row r="63" spans="2:8" ht="15">
      <c r="B63" s="122" t="s">
        <v>348</v>
      </c>
      <c r="C63" s="120">
        <f>+Input!D27</f>
        <v>1</v>
      </c>
      <c r="D63" s="34">
        <f>+(D55*$C$63)-D61-D62</f>
        <v>-604.5983355552121</v>
      </c>
      <c r="E63" s="34">
        <f>+(E55*$C$63)-E61-E62</f>
        <v>13792.184726501926</v>
      </c>
      <c r="F63" s="34">
        <f>+(F55*$C$63)-F61-F62</f>
        <v>23698.425986242626</v>
      </c>
      <c r="G63" s="34">
        <f>+(G55*$C$63)-G61-G62</f>
        <v>27333.550561964184</v>
      </c>
      <c r="H63" s="121">
        <f>+(H55*$C$63)-H61-H62</f>
        <v>27512.276439713896</v>
      </c>
    </row>
    <row r="64" spans="2:8" ht="15" hidden="1">
      <c r="B64" s="16"/>
      <c r="C64" s="17"/>
      <c r="D64" s="17"/>
      <c r="E64" s="17"/>
      <c r="F64" s="17"/>
      <c r="G64" s="17"/>
      <c r="H64" s="15"/>
    </row>
    <row r="65" spans="2:8" ht="15" hidden="1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5"/>
  <sheetViews>
    <sheetView showGridLines="0" zoomScale="120" zoomScaleNormal="120" zoomScalePageLayoutView="0" workbookViewId="0" topLeftCell="A17">
      <selection activeCell="D44" sqref="D44"/>
    </sheetView>
  </sheetViews>
  <sheetFormatPr defaultColWidth="9.140625" defaultRowHeight="15"/>
  <cols>
    <col min="1" max="1" width="13.8515625" style="0" bestFit="1" customWidth="1"/>
    <col min="2" max="2" width="42.00390625" style="0" customWidth="1"/>
    <col min="3" max="6" width="10.57421875" style="0" bestFit="1" customWidth="1"/>
    <col min="7" max="7" width="11.57421875" style="0" bestFit="1" customWidth="1"/>
  </cols>
  <sheetData>
    <row r="1" spans="1:7" ht="15">
      <c r="A1" s="104" t="s">
        <v>341</v>
      </c>
      <c r="C1" s="7">
        <f>+SP!C3</f>
        <v>2015</v>
      </c>
      <c r="D1" s="7">
        <f>+SP!D3</f>
        <v>2016</v>
      </c>
      <c r="E1" s="7">
        <f>+SP!E3</f>
        <v>2017</v>
      </c>
      <c r="F1" s="7">
        <f>+SP!F3</f>
        <v>2018</v>
      </c>
      <c r="G1" s="7">
        <f>+SP!G3</f>
        <v>2019</v>
      </c>
    </row>
    <row r="2" ht="15">
      <c r="B2" t="s">
        <v>296</v>
      </c>
    </row>
    <row r="3" spans="2:7" ht="15">
      <c r="B3" s="6" t="s">
        <v>297</v>
      </c>
      <c r="C3" s="100">
        <f>+'CE'!D45</f>
        <v>7140</v>
      </c>
      <c r="D3" s="100">
        <f>+'CE'!E45</f>
        <v>33277.08</v>
      </c>
      <c r="E3" s="100">
        <f>+'CE'!F45</f>
        <v>61512.69858</v>
      </c>
      <c r="F3" s="100">
        <f>+'CE'!G45</f>
        <v>73269.00812238001</v>
      </c>
      <c r="G3" s="100">
        <f>+'CE'!H45</f>
        <v>74445.69820360381</v>
      </c>
    </row>
    <row r="4" spans="2:7" ht="15">
      <c r="B4" t="s">
        <v>298</v>
      </c>
      <c r="C4" s="25">
        <f>+SP!C36</f>
        <v>1500</v>
      </c>
      <c r="D4" s="25">
        <f>+SP!D36-SP!C36</f>
        <v>1500</v>
      </c>
      <c r="E4" s="25">
        <f>+SP!E36-SP!D36</f>
        <v>1500</v>
      </c>
      <c r="F4" s="25">
        <f>+SP!F36-SP!E36</f>
        <v>1500</v>
      </c>
      <c r="G4" s="25">
        <f>+SP!G36-SP!F36</f>
        <v>1500</v>
      </c>
    </row>
    <row r="5" spans="2:7" ht="15">
      <c r="B5" t="s">
        <v>299</v>
      </c>
      <c r="C5" s="25">
        <f>+'CE'!D38</f>
        <v>2500</v>
      </c>
      <c r="D5" s="25">
        <f>+'CE'!E38</f>
        <v>2500</v>
      </c>
      <c r="E5" s="25">
        <f>+'CE'!F38</f>
        <v>2500</v>
      </c>
      <c r="F5" s="25">
        <f>+'CE'!G38</f>
        <v>2500</v>
      </c>
      <c r="G5" s="25">
        <f>+'CE'!H38</f>
        <v>2500</v>
      </c>
    </row>
    <row r="6" spans="2:7" ht="15">
      <c r="B6" t="s">
        <v>300</v>
      </c>
      <c r="C6" s="100">
        <f>+C3+C4+C5</f>
        <v>11140</v>
      </c>
      <c r="D6" s="100">
        <f>+D3+D4+D5</f>
        <v>37277.08</v>
      </c>
      <c r="E6" s="100">
        <f>+E3+E4+E5</f>
        <v>65512.69858</v>
      </c>
      <c r="F6" s="100">
        <f>+F3+F4+F5</f>
        <v>77269.00812238001</v>
      </c>
      <c r="G6" s="100">
        <f>+G3+G4+G5</f>
        <v>78445.69820360381</v>
      </c>
    </row>
    <row r="8" spans="2:7" ht="15">
      <c r="B8" s="6" t="s">
        <v>301</v>
      </c>
      <c r="C8" s="100">
        <f>SUM(C9:C13)</f>
        <v>-12490.29986331964</v>
      </c>
      <c r="D8" s="100">
        <f>SUM(D9:D13)</f>
        <v>-7259.47508128184</v>
      </c>
      <c r="E8" s="100">
        <f>SUM(E9:E13)</f>
        <v>-6557.9575174408765</v>
      </c>
      <c r="F8" s="100">
        <f>SUM(F9:F13)</f>
        <v>-3201.8171088890585</v>
      </c>
      <c r="G8" s="100">
        <f>SUM(G9:G13)</f>
        <v>-569.1903414229118</v>
      </c>
    </row>
    <row r="9" spans="2:7" ht="15">
      <c r="B9" t="s">
        <v>302</v>
      </c>
      <c r="C9" s="25">
        <f>-SP!C7</f>
        <v>-14618.166666666668</v>
      </c>
      <c r="D9" s="25">
        <f>+SP!C7-SP!D7</f>
        <v>-6790.138416666665</v>
      </c>
      <c r="E9" s="25">
        <f>+SP!D7-SP!E7</f>
        <v>-7781.918897791667</v>
      </c>
      <c r="F9" s="25">
        <f>+SP!E7-SP!F7</f>
        <v>-3240.11486190488</v>
      </c>
      <c r="G9" s="25">
        <f>+SP!F7-SP!G7</f>
        <v>-324.30338843029676</v>
      </c>
    </row>
    <row r="10" spans="2:7" ht="15">
      <c r="B10" t="s">
        <v>303</v>
      </c>
      <c r="C10" s="25">
        <f>-SP!C8+SP!C33</f>
        <v>39.24166666666679</v>
      </c>
      <c r="D10" s="25">
        <f>+SP!C8-SP!D8+SP!D33-SP!C33</f>
        <v>910.3834208333337</v>
      </c>
      <c r="E10" s="25">
        <f>+SP!D8-SP!E8+SP!E33-SP!D33</f>
        <v>399.1560443062499</v>
      </c>
      <c r="F10" s="25">
        <f>+SP!E8-SP!F8+SP!F33-SP!E33</f>
        <v>209.6612106409084</v>
      </c>
      <c r="G10" s="25">
        <f>+SP!F8-SP!G8+SP!G33-SP!F33</f>
        <v>42.576718290489225</v>
      </c>
    </row>
    <row r="11" spans="2:7" ht="15">
      <c r="B11" t="s">
        <v>304</v>
      </c>
      <c r="C11" s="25">
        <f>-SP!C11</f>
        <v>-7307.5</v>
      </c>
      <c r="D11" s="25">
        <f>+SP!C11-SP!D11</f>
        <v>-3394.33375</v>
      </c>
      <c r="E11" s="25">
        <f>+SP!D11-SP!E11</f>
        <v>-3890.1165681250022</v>
      </c>
      <c r="F11" s="25">
        <f>+SP!E11-SP!F11</f>
        <v>-1619.7064853118754</v>
      </c>
      <c r="G11" s="25">
        <f>+SP!F11-SP!G11</f>
        <v>-162.11656803436745</v>
      </c>
    </row>
    <row r="12" spans="2:7" ht="15">
      <c r="B12" t="s">
        <v>305</v>
      </c>
      <c r="C12" s="25">
        <f>+SP!C30</f>
        <v>8120.099999999999</v>
      </c>
      <c r="D12" s="25">
        <f>+SP!D30-SP!C30</f>
        <v>2297.3864500000027</v>
      </c>
      <c r="E12" s="25">
        <f>+SP!E30-SP!D30</f>
        <v>3637.8419245749974</v>
      </c>
      <c r="F12" s="25">
        <f>+SP!F30-SP!E30</f>
        <v>1014.9286025778292</v>
      </c>
      <c r="G12" s="25">
        <f>+SP!G30-SP!F30</f>
        <v>-146.65651698227157</v>
      </c>
    </row>
    <row r="13" spans="2:7" ht="15">
      <c r="B13" t="s">
        <v>303</v>
      </c>
      <c r="C13" s="25">
        <f>+SP!C32-SP!C9</f>
        <v>1276.025136680365</v>
      </c>
      <c r="D13" s="25">
        <f>+SP!D32-SP!C32+SP!C9-SP!D9</f>
        <v>-282.7727854485124</v>
      </c>
      <c r="E13" s="25">
        <f>+SP!E32-SP!D32+SP!D9-SP!E9</f>
        <v>1077.0799795945463</v>
      </c>
      <c r="F13" s="25">
        <f>+SP!F32-SP!E32+SP!E9-SP!F9</f>
        <v>433.4144251089592</v>
      </c>
      <c r="G13" s="25">
        <f>+SP!G32-SP!F32+SP!F9-SP!G9</f>
        <v>21.30941373353471</v>
      </c>
    </row>
    <row r="14" ht="15">
      <c r="A14" s="104"/>
    </row>
    <row r="15" spans="2:7" ht="15">
      <c r="B15" s="6" t="s">
        <v>306</v>
      </c>
      <c r="C15" s="100">
        <f>+C6+C8</f>
        <v>-1350.2998633196403</v>
      </c>
      <c r="D15" s="100">
        <f>+D6+D8</f>
        <v>30017.604918718163</v>
      </c>
      <c r="E15" s="100">
        <f>+E6+E8</f>
        <v>58954.74106255912</v>
      </c>
      <c r="F15" s="100">
        <f>+F6+F8</f>
        <v>74067.19101349096</v>
      </c>
      <c r="G15" s="100">
        <f>+G6+G8</f>
        <v>77876.5078621809</v>
      </c>
    </row>
    <row r="17" spans="2:7" ht="15">
      <c r="B17" s="6" t="s">
        <v>307</v>
      </c>
      <c r="C17" s="100">
        <f>SUM(C18:C20)</f>
        <v>-25000</v>
      </c>
      <c r="D17" s="100">
        <f>SUM(D18:D20)</f>
        <v>0</v>
      </c>
      <c r="E17" s="100">
        <f>SUM(E18:E20)</f>
        <v>0</v>
      </c>
      <c r="F17" s="100">
        <f>SUM(F18:F20)</f>
        <v>0</v>
      </c>
      <c r="G17" s="100">
        <f>SUM(G18:G20)</f>
        <v>0</v>
      </c>
    </row>
    <row r="18" spans="2:7" ht="15">
      <c r="B18" t="s">
        <v>308</v>
      </c>
      <c r="C18" s="25">
        <f>-SP!C14</f>
        <v>-23000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309</v>
      </c>
      <c r="C19" s="25">
        <f>-SP!C15</f>
        <v>-2000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 hidden="1">
      <c r="B20" t="s">
        <v>388</v>
      </c>
      <c r="C20" s="25">
        <f>-SP!C16</f>
        <v>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 hidden="1">
      <c r="C21" s="25"/>
      <c r="D21" s="25"/>
      <c r="E21" s="25"/>
      <c r="F21" s="25"/>
      <c r="G21" s="25"/>
    </row>
    <row r="22" spans="2:7" ht="15" hidden="1">
      <c r="B22" s="131" t="s">
        <v>374</v>
      </c>
      <c r="C22" s="100">
        <f>-SP!C21</f>
        <v>0</v>
      </c>
      <c r="D22" s="100">
        <f>+SP!C21-SP!D21</f>
        <v>0</v>
      </c>
      <c r="E22" s="100">
        <f>+SP!D21-SP!E21</f>
        <v>0</v>
      </c>
      <c r="F22" s="100">
        <f>+SP!E21-SP!F21</f>
        <v>0</v>
      </c>
      <c r="G22" s="100">
        <f>+SP!F21-SP!G21</f>
        <v>0</v>
      </c>
    </row>
    <row r="24" spans="2:7" ht="15">
      <c r="B24" s="6" t="s">
        <v>310</v>
      </c>
      <c r="C24" s="100">
        <f>+C15+C17+C22</f>
        <v>-26350.29986331964</v>
      </c>
      <c r="D24" s="100">
        <f>+D15+D17+D22</f>
        <v>30017.604918718163</v>
      </c>
      <c r="E24" s="100">
        <f>+E15+E17+E22</f>
        <v>58954.74106255912</v>
      </c>
      <c r="F24" s="100">
        <f>+F15+F17+F22</f>
        <v>74067.19101349096</v>
      </c>
      <c r="G24" s="100">
        <f>+G15+G17+G22</f>
        <v>77876.5078621809</v>
      </c>
    </row>
    <row r="26" spans="2:7" ht="15">
      <c r="B26" t="s">
        <v>311</v>
      </c>
      <c r="C26" s="100">
        <f>SUM(C27:C31)</f>
        <v>27198.189964289737</v>
      </c>
      <c r="D26" s="100">
        <f>SUM(D27:D31)</f>
        <v>-3025.954838567086</v>
      </c>
      <c r="E26" s="100">
        <f>SUM(E27:E31)</f>
        <v>-3268.031225652452</v>
      </c>
      <c r="F26" s="100">
        <f>SUM(F27:F31)</f>
        <v>-3529.4737237046484</v>
      </c>
      <c r="G26" s="100">
        <f>SUM(G27:G31)</f>
        <v>-3811.8316216010226</v>
      </c>
    </row>
    <row r="27" spans="2:7" ht="15">
      <c r="B27" t="s">
        <v>312</v>
      </c>
      <c r="C27" s="25">
        <f>+SP!C38</f>
        <v>22198.189964289737</v>
      </c>
      <c r="D27" s="25">
        <f>+SP!D38-SP!C38</f>
        <v>-3025.954838567086</v>
      </c>
      <c r="E27" s="25">
        <f>+SP!E38-SP!D38</f>
        <v>-3268.031225652452</v>
      </c>
      <c r="F27" s="25">
        <f>+SP!F38-SP!E38</f>
        <v>-3529.4737237046484</v>
      </c>
      <c r="G27" s="25">
        <f>+SP!G38-SP!F38</f>
        <v>-3811.8316216010226</v>
      </c>
    </row>
    <row r="28" spans="2:7" ht="15">
      <c r="B28" t="s">
        <v>313</v>
      </c>
      <c r="C28" s="25">
        <f>+SP!C40</f>
        <v>5000</v>
      </c>
      <c r="D28" s="25">
        <f>+SP!D40-SP!C40</f>
        <v>0</v>
      </c>
      <c r="E28" s="25">
        <f>+SP!E40-SP!D40</f>
        <v>0</v>
      </c>
      <c r="F28" s="25">
        <f>+SP!F40-SP!E40</f>
        <v>0</v>
      </c>
      <c r="G28" s="25">
        <f>+SP!G40-SP!F40</f>
        <v>0</v>
      </c>
    </row>
    <row r="29" spans="2:7" ht="15" hidden="1">
      <c r="B29" t="s">
        <v>375</v>
      </c>
      <c r="C29" s="25">
        <f>+SP!C37</f>
        <v>0</v>
      </c>
      <c r="D29" s="25">
        <f>+SP!D37-SP!C37</f>
        <v>0</v>
      </c>
      <c r="E29" s="25">
        <f>+SP!E37-SP!D37</f>
        <v>0</v>
      </c>
      <c r="F29" s="25">
        <f>+SP!F37-SP!E37</f>
        <v>0</v>
      </c>
      <c r="G29" s="25">
        <f>+SP!G37-SP!F37</f>
        <v>0</v>
      </c>
    </row>
    <row r="30" spans="2:7" ht="15" hidden="1">
      <c r="B30" t="s">
        <v>314</v>
      </c>
      <c r="C30" s="25">
        <f>+SP!C31</f>
        <v>0</v>
      </c>
      <c r="D30" s="25">
        <f>+SP!D31-SP!C31</f>
        <v>0</v>
      </c>
      <c r="E30" s="25">
        <f>+SP!E31-SP!D31</f>
        <v>0</v>
      </c>
      <c r="F30" s="25">
        <f>+SP!F31-SP!E31</f>
        <v>0</v>
      </c>
      <c r="G30" s="25">
        <f>+SP!G31-SP!F31</f>
        <v>0</v>
      </c>
    </row>
    <row r="31" spans="2:7" ht="15" hidden="1">
      <c r="B31" t="s">
        <v>377</v>
      </c>
      <c r="C31" s="25">
        <f>+SP!C39</f>
        <v>0</v>
      </c>
      <c r="D31" s="25">
        <f>+SP!D39-SP!C39</f>
        <v>0</v>
      </c>
      <c r="E31" s="25">
        <f>+SP!E39-SP!D39</f>
        <v>0</v>
      </c>
      <c r="F31" s="25">
        <f>+SP!F39-SP!E39</f>
        <v>0</v>
      </c>
      <c r="G31" s="25">
        <f>+SP!G39-SP!F39</f>
        <v>0</v>
      </c>
    </row>
    <row r="33" spans="2:7" ht="15">
      <c r="B33" t="s">
        <v>315</v>
      </c>
      <c r="C33" s="100">
        <f>+'CE'!D47</f>
        <v>-2121.4067517855156</v>
      </c>
      <c r="D33" s="100">
        <f>+'CE'!E47</f>
        <v>-2790.477745840576</v>
      </c>
      <c r="E33" s="100">
        <f>+'CE'!F47</f>
        <v>-3408.6609516214357</v>
      </c>
      <c r="F33" s="100">
        <f>+'CE'!G47</f>
        <v>-4051.780106592243</v>
      </c>
      <c r="G33" s="100">
        <f>+'CE'!H47</f>
        <v>-4682.074963879271</v>
      </c>
    </row>
    <row r="34" spans="2:7" ht="15">
      <c r="B34" t="s">
        <v>316</v>
      </c>
      <c r="C34" s="100">
        <f>-'CE'!D53</f>
        <v>-1276.025136680365</v>
      </c>
      <c r="D34" s="100">
        <f>-'CE'!E53</f>
        <v>-2269.2774879122176</v>
      </c>
      <c r="E34" s="100">
        <f>-'CE'!F53</f>
        <v>-3346.357467506764</v>
      </c>
      <c r="F34" s="100">
        <f>-'CE'!G53</f>
        <v>-3779.771892615723</v>
      </c>
      <c r="G34" s="100">
        <f>-'CE'!H53</f>
        <v>-3801.081306349257</v>
      </c>
    </row>
    <row r="35" spans="3:7" ht="15" hidden="1">
      <c r="C35" s="100"/>
      <c r="D35" s="100"/>
      <c r="E35" s="100"/>
      <c r="F35" s="100"/>
      <c r="G35" s="100"/>
    </row>
    <row r="36" ht="15" hidden="1"/>
    <row r="37" spans="2:7" ht="15">
      <c r="B37" t="s">
        <v>317</v>
      </c>
      <c r="C37" s="100">
        <f>+SP!C43</f>
        <v>0</v>
      </c>
      <c r="D37" s="100">
        <f>+SP!D43-SP!C43-SP!C44</f>
        <v>-13300</v>
      </c>
      <c r="E37" s="100">
        <f>+SP!E43-SP!D43-SP!D44</f>
        <v>-23600</v>
      </c>
      <c r="F37" s="100">
        <f>+SP!F43-SP!E43-SP!E44</f>
        <v>-27600</v>
      </c>
      <c r="G37" s="100">
        <f>+SP!G43-SP!F43-SP!F44</f>
        <v>-28000</v>
      </c>
    </row>
    <row r="39" spans="2:7" ht="15">
      <c r="B39" s="6" t="s">
        <v>318</v>
      </c>
      <c r="C39" s="100">
        <f>+C24+C26+C33+C34+C37</f>
        <v>-2549.541787495784</v>
      </c>
      <c r="D39" s="100">
        <f>+D24+D26+D33+D34+D37</f>
        <v>8631.894846398282</v>
      </c>
      <c r="E39" s="100">
        <f>+E24+E26+E33+E34+E37</f>
        <v>25331.691417778464</v>
      </c>
      <c r="F39" s="100">
        <f>+F24+F26+F33+F34+F37</f>
        <v>35106.16529057834</v>
      </c>
      <c r="G39" s="100">
        <f>+G24+G26+G33+G34+G37</f>
        <v>37581.519970351335</v>
      </c>
    </row>
    <row r="40" spans="2:7" ht="15">
      <c r="B40" s="6" t="s">
        <v>394</v>
      </c>
      <c r="C40" s="100"/>
      <c r="D40" s="100">
        <f>+'CE'!D61+'CE'!D62</f>
        <v>4347.166447089331</v>
      </c>
      <c r="E40" s="100">
        <f>+'CE'!E61+'CE'!E62</f>
        <v>14425.140039745282</v>
      </c>
      <c r="F40" s="100">
        <f>+'CE'!F61+'CE'!F62</f>
        <v>31059.254174629168</v>
      </c>
      <c r="G40" s="100">
        <f>+'CE'!G61+'CE'!G62</f>
        <v>38103.90556120787</v>
      </c>
    </row>
    <row r="41" spans="2:7" ht="15">
      <c r="B41" s="6" t="s">
        <v>395</v>
      </c>
      <c r="C41" s="100">
        <f>+C39-C40</f>
        <v>-2549.541787495784</v>
      </c>
      <c r="D41" s="100">
        <f>+D39-D40</f>
        <v>4284.72839930895</v>
      </c>
      <c r="E41" s="100">
        <f>+E39-E40</f>
        <v>10906.551378033182</v>
      </c>
      <c r="F41" s="100">
        <f>+F39-F40</f>
        <v>4046.911115949173</v>
      </c>
      <c r="G41" s="100">
        <f>+G39-G40</f>
        <v>-522.385590856531</v>
      </c>
    </row>
    <row r="43" spans="2:7" ht="15">
      <c r="B43" t="s">
        <v>392</v>
      </c>
      <c r="C43" s="25">
        <v>0</v>
      </c>
      <c r="D43" s="25">
        <f>+C44</f>
        <v>-2549.541787495784</v>
      </c>
      <c r="E43" s="25">
        <f>+D44</f>
        <v>1735.1866118131666</v>
      </c>
      <c r="F43" s="25">
        <f>+E44</f>
        <v>12641.737989846348</v>
      </c>
      <c r="G43" s="25">
        <f>+F44</f>
        <v>16688.64910579552</v>
      </c>
    </row>
    <row r="44" spans="2:7" ht="15">
      <c r="B44" t="s">
        <v>393</v>
      </c>
      <c r="C44" s="25">
        <f>+C39+C43</f>
        <v>-2549.541787495784</v>
      </c>
      <c r="D44" s="25">
        <f>+D43+D41</f>
        <v>1735.1866118131666</v>
      </c>
      <c r="E44" s="25">
        <f>+E43+E41</f>
        <v>12641.737989846348</v>
      </c>
      <c r="F44" s="25">
        <f>+F43+F41</f>
        <v>16688.64910579552</v>
      </c>
      <c r="G44" s="25">
        <f>+G43+G41</f>
        <v>16166.26351493899</v>
      </c>
    </row>
    <row r="45" spans="3:7" ht="15">
      <c r="C45" s="25"/>
      <c r="D45" s="25"/>
      <c r="E45" s="25"/>
      <c r="F45" s="25"/>
      <c r="G45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="120" zoomScaleNormal="120" zoomScalePageLayoutView="0" workbookViewId="0" topLeftCell="A47">
      <selection activeCell="A70" sqref="A70"/>
    </sheetView>
  </sheetViews>
  <sheetFormatPr defaultColWidth="9.140625" defaultRowHeight="15"/>
  <cols>
    <col min="2" max="2" width="3.8515625" style="0" customWidth="1"/>
    <col min="3" max="3" width="26.57421875" style="0" bestFit="1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45.5742187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6"/>
      <c r="E2" s="136"/>
      <c r="F2" s="136"/>
      <c r="G2" s="136"/>
      <c r="H2" s="136"/>
      <c r="I2" s="10"/>
    </row>
    <row r="3" spans="2:9" ht="15">
      <c r="B3" s="16"/>
      <c r="C3" s="12" t="s">
        <v>0</v>
      </c>
      <c r="D3" s="13">
        <f>+Input!I34</f>
        <v>2015</v>
      </c>
      <c r="E3" s="13">
        <f>+Input!J34</f>
        <v>2016</v>
      </c>
      <c r="F3" s="13">
        <f>+Input!K34</f>
        <v>2017</v>
      </c>
      <c r="G3" s="13">
        <f>+Input!L34</f>
        <v>2018</v>
      </c>
      <c r="H3" s="13">
        <f>+Input!M34</f>
        <v>2019</v>
      </c>
      <c r="I3" s="15"/>
    </row>
    <row r="4" spans="2:9" ht="15">
      <c r="B4" s="16"/>
      <c r="C4" s="17" t="str">
        <f>+Input!C35</f>
        <v>Prodotto 1</v>
      </c>
      <c r="D4" s="33">
        <f>+Input!I35*Input!O35</f>
        <v>2400</v>
      </c>
      <c r="E4" s="33">
        <f>+Input!J35*Input!P35</f>
        <v>3514.8</v>
      </c>
      <c r="F4" s="33">
        <f>+Input!K35*Input!Q35</f>
        <v>4792.4298</v>
      </c>
      <c r="G4" s="33">
        <f>+Input!L35*Input!R35</f>
        <v>5324.3895078</v>
      </c>
      <c r="H4" s="33">
        <f>+Input!M35*Input!S35</f>
        <v>5377.633402878</v>
      </c>
      <c r="I4" s="15"/>
    </row>
    <row r="5" spans="2:9" ht="15">
      <c r="B5" s="16"/>
      <c r="C5" s="17" t="str">
        <f>+Input!C36</f>
        <v>Prodotto 2</v>
      </c>
      <c r="D5" s="33">
        <f>+Input!I36*Input!O36</f>
        <v>3000</v>
      </c>
      <c r="E5" s="33">
        <f>+Input!J36*Input!P36</f>
        <v>4393.5</v>
      </c>
      <c r="F5" s="33">
        <f>+Input!K36*Input!Q36</f>
        <v>5990.537250000001</v>
      </c>
      <c r="G5" s="33">
        <f>+Input!L36*Input!R36</f>
        <v>6655.486884750002</v>
      </c>
      <c r="H5" s="33">
        <f>+Input!M36*Input!S36</f>
        <v>6722.041753597503</v>
      </c>
      <c r="I5" s="15"/>
    </row>
    <row r="6" spans="2:12" ht="15">
      <c r="B6" s="16"/>
      <c r="C6" s="17" t="str">
        <f>+Input!C37</f>
        <v>Prodotto 3</v>
      </c>
      <c r="D6" s="33">
        <f>+Input!I37*Input!O37</f>
        <v>9000</v>
      </c>
      <c r="E6" s="33">
        <f>+Input!J37*Input!P37</f>
        <v>13180.500000000002</v>
      </c>
      <c r="F6" s="33">
        <f>+Input!K37*Input!Q37</f>
        <v>17971.61175</v>
      </c>
      <c r="G6" s="33">
        <f>+Input!L37*Input!R37</f>
        <v>19966.460654250004</v>
      </c>
      <c r="H6" s="33">
        <f>+Input!M37*Input!S37</f>
        <v>20166.125260792505</v>
      </c>
      <c r="I6" s="15"/>
      <c r="L6" s="153">
        <f>1-90%</f>
        <v>0.09999999999999998</v>
      </c>
    </row>
    <row r="7" spans="2:9" ht="15">
      <c r="B7" s="16"/>
      <c r="C7" s="17" t="str">
        <f>+Input!C38</f>
        <v>Prodotto 4</v>
      </c>
      <c r="D7" s="33">
        <f>+Input!I38*Input!O38</f>
        <v>20000</v>
      </c>
      <c r="E7" s="33">
        <f>+Input!J38*Input!P38</f>
        <v>29290</v>
      </c>
      <c r="F7" s="33">
        <f>+Input!K38*Input!Q38</f>
        <v>39936.915</v>
      </c>
      <c r="G7" s="33">
        <f>+Input!L38*Input!R38</f>
        <v>44369.912565</v>
      </c>
      <c r="H7" s="33">
        <f>+Input!M38*Input!S38</f>
        <v>44813.61169065</v>
      </c>
      <c r="I7" s="15"/>
    </row>
    <row r="8" spans="2:9" ht="15">
      <c r="B8" s="16"/>
      <c r="C8" s="17" t="str">
        <f>+Input!C39</f>
        <v>Prodotto 5</v>
      </c>
      <c r="D8" s="33">
        <f>+Input!I39*Input!O39</f>
        <v>10000</v>
      </c>
      <c r="E8" s="33">
        <f>+Input!J39*Input!P39</f>
        <v>14645</v>
      </c>
      <c r="F8" s="33">
        <f>+Input!K39*Input!Q39</f>
        <v>19968.457500000004</v>
      </c>
      <c r="G8" s="33">
        <f>+Input!L39*Input!R39</f>
        <v>22184.956282500007</v>
      </c>
      <c r="H8" s="33">
        <f>+Input!M39*Input!S39</f>
        <v>22406.805845325005</v>
      </c>
      <c r="I8" s="15"/>
    </row>
    <row r="9" spans="2:9" ht="15">
      <c r="B9" s="16"/>
      <c r="C9" s="17" t="str">
        <f>+Input!C40</f>
        <v>Prodotto 6</v>
      </c>
      <c r="D9" s="33">
        <f>+Input!I40*Input!O40</f>
        <v>12000</v>
      </c>
      <c r="E9" s="33">
        <f>+Input!J40*Input!P40</f>
        <v>17574</v>
      </c>
      <c r="F9" s="33">
        <f>+Input!K40*Input!Q40</f>
        <v>23962.149000000005</v>
      </c>
      <c r="G9" s="33">
        <f>+Input!L40*Input!R40</f>
        <v>26621.947539000008</v>
      </c>
      <c r="H9" s="33">
        <f>+Input!M40*Input!S40</f>
        <v>26888.167014390012</v>
      </c>
      <c r="I9" s="15"/>
    </row>
    <row r="10" spans="2:9" ht="15">
      <c r="B10" s="16"/>
      <c r="C10" s="17" t="str">
        <f>+Input!C41</f>
        <v>Prodotto 7</v>
      </c>
      <c r="D10" s="33">
        <f>+Input!I41*Input!O41</f>
        <v>6000</v>
      </c>
      <c r="E10" s="33">
        <f>+Input!J41*Input!P41</f>
        <v>8787</v>
      </c>
      <c r="F10" s="33">
        <f>+Input!K41*Input!Q41</f>
        <v>11981.0745</v>
      </c>
      <c r="G10" s="33">
        <f>+Input!L41*Input!R41</f>
        <v>13310.9737695</v>
      </c>
      <c r="H10" s="33">
        <f>+Input!M41*Input!S41</f>
        <v>13444.083507195002</v>
      </c>
      <c r="I10" s="15"/>
    </row>
    <row r="11" spans="2:9" ht="15">
      <c r="B11" s="16"/>
      <c r="C11" s="17" t="str">
        <f>+Input!C42</f>
        <v>Prodotto 8</v>
      </c>
      <c r="D11" s="33">
        <f>+Input!I42*Input!O42</f>
        <v>9000</v>
      </c>
      <c r="E11" s="33">
        <f>+Input!J42*Input!P42</f>
        <v>13180.500000000002</v>
      </c>
      <c r="F11" s="33">
        <f>+Input!K42*Input!Q42</f>
        <v>17971.61175</v>
      </c>
      <c r="G11" s="33">
        <f>+Input!L42*Input!R42</f>
        <v>19966.460654250004</v>
      </c>
      <c r="H11" s="33">
        <f>+Input!M42*Input!S42</f>
        <v>20166.125260792505</v>
      </c>
      <c r="I11" s="15"/>
    </row>
    <row r="12" spans="2:9" ht="15" hidden="1">
      <c r="B12" s="16"/>
      <c r="C12" s="17" t="str">
        <f>+Input!C43</f>
        <v>Prodotto 9</v>
      </c>
      <c r="D12" s="33">
        <f>+Input!I43*Input!O43</f>
        <v>15000</v>
      </c>
      <c r="E12" s="33">
        <f>+Input!J43*Input!P43</f>
        <v>21967.5</v>
      </c>
      <c r="F12" s="33">
        <f>+Input!K43*Input!Q43</f>
        <v>29952.686250000002</v>
      </c>
      <c r="G12" s="33">
        <f>+Input!L43*Input!R43</f>
        <v>33277.434423750004</v>
      </c>
      <c r="H12" s="33">
        <f>+Input!M43*Input!S43</f>
        <v>33610.208767987504</v>
      </c>
      <c r="I12" s="15"/>
    </row>
    <row r="13" spans="2:9" ht="15">
      <c r="B13" s="16"/>
      <c r="C13" s="12" t="s">
        <v>15</v>
      </c>
      <c r="D13" s="34">
        <f>SUM(D4:D12)</f>
        <v>86400</v>
      </c>
      <c r="E13" s="34">
        <f>SUM(E4:E12)</f>
        <v>126532.8</v>
      </c>
      <c r="F13" s="34">
        <f>SUM(F4:F12)</f>
        <v>172527.47280000002</v>
      </c>
      <c r="G13" s="34">
        <f>SUM(G4:G12)</f>
        <v>191678.02228080004</v>
      </c>
      <c r="H13" s="34">
        <f>SUM(H4:H12)</f>
        <v>193594.80250360802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>
        <f>+Input!I34</f>
        <v>2015</v>
      </c>
      <c r="E17" s="13">
        <f>+Input!J34</f>
        <v>2016</v>
      </c>
      <c r="F17" s="13">
        <f>+Input!K34</f>
        <v>2017</v>
      </c>
      <c r="G17" s="13">
        <f>+Input!L34</f>
        <v>2018</v>
      </c>
      <c r="H17" s="13">
        <f>+Input!M34</f>
        <v>2019</v>
      </c>
      <c r="I17" s="15"/>
      <c r="K17" s="31"/>
      <c r="L17" s="12" t="s">
        <v>14</v>
      </c>
      <c r="M17" s="13">
        <f>+D17</f>
        <v>2015</v>
      </c>
      <c r="N17" s="13">
        <f>+E17</f>
        <v>2016</v>
      </c>
      <c r="O17" s="13">
        <f>+F17</f>
        <v>2017</v>
      </c>
      <c r="P17" s="13">
        <f>+G17</f>
        <v>2018</v>
      </c>
      <c r="Q17" s="13">
        <f>+H17</f>
        <v>2019</v>
      </c>
      <c r="R17" s="15"/>
      <c r="T17" s="31"/>
      <c r="U17" s="12" t="s">
        <v>21</v>
      </c>
      <c r="V17" s="13">
        <f>+M17</f>
        <v>2015</v>
      </c>
      <c r="W17" s="13">
        <f>+N17</f>
        <v>2016</v>
      </c>
      <c r="X17" s="13">
        <f>+O17</f>
        <v>2017</v>
      </c>
      <c r="Y17" s="13">
        <f>+P17</f>
        <v>2018</v>
      </c>
      <c r="Z17" s="13">
        <f>+Q17</f>
        <v>2019</v>
      </c>
      <c r="AA17" s="15"/>
    </row>
    <row r="18" spans="2:27" ht="15">
      <c r="B18" s="16"/>
      <c r="C18" s="17" t="str">
        <f>+Input!C48</f>
        <v>Mp xProdotto 1</v>
      </c>
      <c r="D18" s="33">
        <f>+D4*(1-(Input!$E35))</f>
        <v>960</v>
      </c>
      <c r="E18" s="33">
        <f>+E4*(1-(Input!$E35))</f>
        <v>1405.92</v>
      </c>
      <c r="F18" s="33">
        <f>+F4*(1-(Input!$E35))</f>
        <v>1916.97192</v>
      </c>
      <c r="G18" s="33">
        <f>+G4*(1-(Input!$E35))</f>
        <v>2129.75580312</v>
      </c>
      <c r="H18" s="33">
        <f>+H4*(1-(Input!$E35))</f>
        <v>2151.0533611512</v>
      </c>
      <c r="I18" s="15"/>
      <c r="K18" s="31"/>
      <c r="L18" s="17" t="str">
        <f aca="true" t="shared" si="0" ref="L18:L26">+C18</f>
        <v>Mp xProdotto 1</v>
      </c>
      <c r="M18" s="29">
        <f>+D18*(Input!$F48/360)</f>
        <v>320</v>
      </c>
      <c r="N18" s="29">
        <f>+E18*(Input!$F48/360)</f>
        <v>468.64</v>
      </c>
      <c r="O18" s="29">
        <f>+F18*(Input!$F48/360)</f>
        <v>638.99064</v>
      </c>
      <c r="P18" s="29">
        <f>+G18*(Input!$F48/360)</f>
        <v>709.91860104</v>
      </c>
      <c r="Q18" s="29">
        <f>+H18*(Input!$F48/360)</f>
        <v>717.0177870504</v>
      </c>
      <c r="R18" s="32"/>
      <c r="T18" s="31"/>
      <c r="U18" s="17" t="str">
        <f aca="true" t="shared" si="1" ref="U18:U26">+L18</f>
        <v>Mp xProdotto 1</v>
      </c>
      <c r="V18" s="29">
        <f>+D18+M18</f>
        <v>1280</v>
      </c>
      <c r="W18" s="29">
        <f>+E18+N18-M18</f>
        <v>1554.56</v>
      </c>
      <c r="X18" s="29">
        <f aca="true" t="shared" si="2" ref="X18:Z26">+F18+O18-N18</f>
        <v>2087.32256</v>
      </c>
      <c r="Y18" s="29">
        <f t="shared" si="2"/>
        <v>2200.68376416</v>
      </c>
      <c r="Z18" s="29">
        <f t="shared" si="2"/>
        <v>2158.1525471616</v>
      </c>
      <c r="AA18" s="32"/>
    </row>
    <row r="19" spans="2:27" ht="15">
      <c r="B19" s="16"/>
      <c r="C19" s="17" t="str">
        <f>+Input!C49</f>
        <v>Mp xProdotto 2</v>
      </c>
      <c r="D19" s="33">
        <f>+D5*(1-(Input!$E36))</f>
        <v>1650.0000000000002</v>
      </c>
      <c r="E19" s="33">
        <f>+E5*(1-(Input!$E36))</f>
        <v>2416.425</v>
      </c>
      <c r="F19" s="33">
        <f>+F5*(1-(Input!$E36))</f>
        <v>3294.795487500001</v>
      </c>
      <c r="G19" s="33">
        <f>+G5*(1-(Input!$E36))</f>
        <v>3660.5177866125014</v>
      </c>
      <c r="H19" s="33">
        <f>+H5*(1-(Input!$E36))</f>
        <v>3697.1229644786267</v>
      </c>
      <c r="I19" s="15"/>
      <c r="K19" s="31"/>
      <c r="L19" s="17" t="str">
        <f t="shared" si="0"/>
        <v>Mp xProdotto 2</v>
      </c>
      <c r="M19" s="29">
        <f>+D19*(Input!$F49/360)</f>
        <v>275</v>
      </c>
      <c r="N19" s="29">
        <f>+E19*(Input!$F49/360)</f>
        <v>402.7375</v>
      </c>
      <c r="O19" s="29">
        <f>+F19*(Input!$F49/360)</f>
        <v>549.1325812500002</v>
      </c>
      <c r="P19" s="29">
        <f>+G19*(Input!$F49/360)</f>
        <v>610.0862977687502</v>
      </c>
      <c r="Q19" s="29">
        <f>+H19*(Input!$F49/360)</f>
        <v>616.1871607464377</v>
      </c>
      <c r="R19" s="32"/>
      <c r="T19" s="31"/>
      <c r="U19" s="17" t="str">
        <f t="shared" si="1"/>
        <v>Mp xProdotto 2</v>
      </c>
      <c r="V19" s="29">
        <f aca="true" t="shared" si="3" ref="V19:V26">+D19+M19</f>
        <v>1925.0000000000002</v>
      </c>
      <c r="W19" s="29">
        <f aca="true" t="shared" si="4" ref="W19:W26">+E19+N19-M19</f>
        <v>2544.1625000000004</v>
      </c>
      <c r="X19" s="29">
        <f t="shared" si="2"/>
        <v>3441.190568750001</v>
      </c>
      <c r="Y19" s="29">
        <f t="shared" si="2"/>
        <v>3721.4715031312517</v>
      </c>
      <c r="Z19" s="29">
        <f t="shared" si="2"/>
        <v>3703.223827456314</v>
      </c>
      <c r="AA19" s="32"/>
    </row>
    <row r="20" spans="2:27" ht="15">
      <c r="B20" s="16"/>
      <c r="C20" s="17" t="str">
        <f>+Input!C50</f>
        <v>Mp xProdotto 3</v>
      </c>
      <c r="D20" s="33">
        <f>+D6*(1-(Input!$E37))</f>
        <v>4950</v>
      </c>
      <c r="E20" s="33">
        <f>+E6*(1-(Input!$E37))</f>
        <v>7249.2750000000015</v>
      </c>
      <c r="F20" s="33">
        <f>+F6*(1-(Input!$E37))</f>
        <v>9884.3864625</v>
      </c>
      <c r="G20" s="33">
        <f>+G6*(1-(Input!$E37))</f>
        <v>10981.553359837502</v>
      </c>
      <c r="H20" s="33">
        <f>+H6*(1-(Input!$E37))</f>
        <v>11091.368893435878</v>
      </c>
      <c r="I20" s="15"/>
      <c r="K20" s="31"/>
      <c r="L20" s="17" t="str">
        <f t="shared" si="0"/>
        <v>Mp xProdotto 3</v>
      </c>
      <c r="M20" s="29">
        <f>+D20*(Input!$F50/360)</f>
        <v>825</v>
      </c>
      <c r="N20" s="29">
        <f>+E20*(Input!$F50/360)</f>
        <v>1208.2125</v>
      </c>
      <c r="O20" s="29">
        <f>+F20*(Input!$F50/360)</f>
        <v>1647.39774375</v>
      </c>
      <c r="P20" s="29">
        <f>+G20*(Input!$F50/360)</f>
        <v>1830.2588933062502</v>
      </c>
      <c r="Q20" s="29">
        <f>+H20*(Input!$F50/360)</f>
        <v>1848.561482239313</v>
      </c>
      <c r="R20" s="32"/>
      <c r="T20" s="31"/>
      <c r="U20" s="17" t="str">
        <f t="shared" si="1"/>
        <v>Mp xProdotto 3</v>
      </c>
      <c r="V20" s="29">
        <f t="shared" si="3"/>
        <v>5775</v>
      </c>
      <c r="W20" s="29">
        <f t="shared" si="4"/>
        <v>7632.487500000001</v>
      </c>
      <c r="X20" s="29">
        <f t="shared" si="2"/>
        <v>10323.57170625</v>
      </c>
      <c r="Y20" s="29">
        <f t="shared" si="2"/>
        <v>11164.414509393753</v>
      </c>
      <c r="Z20" s="29">
        <f t="shared" si="2"/>
        <v>11109.67148236894</v>
      </c>
      <c r="AA20" s="32"/>
    </row>
    <row r="21" spans="2:27" ht="15">
      <c r="B21" s="16"/>
      <c r="C21" s="17" t="str">
        <f>+Input!C51</f>
        <v>Mp xProdotto 4</v>
      </c>
      <c r="D21" s="33">
        <f>+D7*(1-(Input!$E38))</f>
        <v>8000</v>
      </c>
      <c r="E21" s="33">
        <f>+E7*(1-(Input!$E38))</f>
        <v>11716</v>
      </c>
      <c r="F21" s="33">
        <f>+F7*(1-(Input!$E38))</f>
        <v>15974.766000000001</v>
      </c>
      <c r="G21" s="33">
        <f>+G7*(1-(Input!$E38))</f>
        <v>17747.965026</v>
      </c>
      <c r="H21" s="33">
        <f>+H7*(1-(Input!$E38))</f>
        <v>17925.444676260002</v>
      </c>
      <c r="I21" s="15"/>
      <c r="K21" s="31"/>
      <c r="L21" s="17" t="str">
        <f t="shared" si="0"/>
        <v>Mp xProdotto 4</v>
      </c>
      <c r="M21" s="29">
        <f>+D21*(Input!$F51/360)</f>
        <v>2666.6666666666665</v>
      </c>
      <c r="N21" s="29">
        <f>+E21*(Input!$F51/360)</f>
        <v>3905.333333333333</v>
      </c>
      <c r="O21" s="29">
        <f>+F21*(Input!$F51/360)</f>
        <v>5324.9220000000005</v>
      </c>
      <c r="P21" s="29">
        <f>+G21*(Input!$F51/360)</f>
        <v>5915.988342000001</v>
      </c>
      <c r="Q21" s="29">
        <f>+H21*(Input!$F51/360)</f>
        <v>5975.14822542</v>
      </c>
      <c r="R21" s="32"/>
      <c r="T21" s="31"/>
      <c r="U21" s="17" t="str">
        <f t="shared" si="1"/>
        <v>Mp xProdotto 4</v>
      </c>
      <c r="V21" s="29">
        <f t="shared" si="3"/>
        <v>10666.666666666666</v>
      </c>
      <c r="W21" s="29">
        <f t="shared" si="4"/>
        <v>12954.666666666666</v>
      </c>
      <c r="X21" s="29">
        <f t="shared" si="2"/>
        <v>17394.35466666667</v>
      </c>
      <c r="Y21" s="29">
        <f t="shared" si="2"/>
        <v>18339.031368000004</v>
      </c>
      <c r="Z21" s="29">
        <f t="shared" si="2"/>
        <v>17984.60455968</v>
      </c>
      <c r="AA21" s="32"/>
    </row>
    <row r="22" spans="2:27" ht="15">
      <c r="B22" s="16"/>
      <c r="C22" s="17" t="str">
        <f>+Input!C52</f>
        <v>Mp xProdotto 5</v>
      </c>
      <c r="D22" s="33">
        <f>+D8*(1-(Input!$E39))</f>
        <v>5500</v>
      </c>
      <c r="E22" s="33">
        <f>+E8*(1-(Input!$E39))</f>
        <v>8054.750000000001</v>
      </c>
      <c r="F22" s="33">
        <f>+F8*(1-(Input!$E39))</f>
        <v>10982.651625000002</v>
      </c>
      <c r="G22" s="33">
        <f>+G8*(1-(Input!$E39))</f>
        <v>12201.725955375005</v>
      </c>
      <c r="H22" s="33">
        <f>+H8*(1-(Input!$E39))</f>
        <v>12323.743214928754</v>
      </c>
      <c r="I22" s="15"/>
      <c r="K22" s="31"/>
      <c r="L22" s="17" t="str">
        <f t="shared" si="0"/>
        <v>Mp xProdotto 5</v>
      </c>
      <c r="M22" s="29">
        <f>+D22*(Input!$F52/360)</f>
        <v>1833.3333333333333</v>
      </c>
      <c r="N22" s="29">
        <f>+E22*(Input!$F52/360)</f>
        <v>2684.916666666667</v>
      </c>
      <c r="O22" s="29">
        <f>+F22*(Input!$F52/360)</f>
        <v>3660.8838750000004</v>
      </c>
      <c r="P22" s="29">
        <f>+G22*(Input!$F52/360)</f>
        <v>4067.2419851250015</v>
      </c>
      <c r="Q22" s="29">
        <f>+H22*(Input!$F52/360)</f>
        <v>4107.914404976251</v>
      </c>
      <c r="R22" s="32"/>
      <c r="T22" s="31"/>
      <c r="U22" s="17" t="str">
        <f t="shared" si="1"/>
        <v>Mp xProdotto 5</v>
      </c>
      <c r="V22" s="29">
        <f t="shared" si="3"/>
        <v>7333.333333333333</v>
      </c>
      <c r="W22" s="29">
        <f t="shared" si="4"/>
        <v>8906.333333333334</v>
      </c>
      <c r="X22" s="29">
        <f t="shared" si="2"/>
        <v>11958.618833333334</v>
      </c>
      <c r="Y22" s="29">
        <f t="shared" si="2"/>
        <v>12608.084065500007</v>
      </c>
      <c r="Z22" s="29">
        <f t="shared" si="2"/>
        <v>12364.415634780002</v>
      </c>
      <c r="AA22" s="32"/>
    </row>
    <row r="23" spans="2:27" ht="15">
      <c r="B23" s="16"/>
      <c r="C23" s="17" t="str">
        <f>+Input!C53</f>
        <v>Mp xProdotto 6</v>
      </c>
      <c r="D23" s="33">
        <f>+D9*(1-(Input!$E40))</f>
        <v>3000</v>
      </c>
      <c r="E23" s="33">
        <f>+E9*(1-(Input!$E40))</f>
        <v>4393.5</v>
      </c>
      <c r="F23" s="33">
        <f>+F9*(1-(Input!$E40))</f>
        <v>5990.537250000001</v>
      </c>
      <c r="G23" s="33">
        <f>+G9*(1-(Input!$E40))</f>
        <v>6655.486884750002</v>
      </c>
      <c r="H23" s="33">
        <f>+H9*(1-(Input!$E40))</f>
        <v>6722.041753597503</v>
      </c>
      <c r="I23" s="15"/>
      <c r="K23" s="31"/>
      <c r="L23" s="17" t="str">
        <f t="shared" si="0"/>
        <v>Mp xProdotto 6</v>
      </c>
      <c r="M23" s="29">
        <f>+D23*(Input!$F53/360)</f>
        <v>250</v>
      </c>
      <c r="N23" s="29">
        <f>+E23*(Input!$F53/360)</f>
        <v>366.125</v>
      </c>
      <c r="O23" s="29">
        <f>+F23*(Input!$F53/360)</f>
        <v>499.2114375000001</v>
      </c>
      <c r="P23" s="29">
        <f>+G23*(Input!$F53/360)</f>
        <v>554.6239070625002</v>
      </c>
      <c r="Q23" s="29">
        <f>+H23*(Input!$F53/360)</f>
        <v>560.1701461331252</v>
      </c>
      <c r="R23" s="32"/>
      <c r="T23" s="31"/>
      <c r="U23" s="17" t="str">
        <f t="shared" si="1"/>
        <v>Mp xProdotto 6</v>
      </c>
      <c r="V23" s="29">
        <f t="shared" si="3"/>
        <v>3250</v>
      </c>
      <c r="W23" s="29">
        <f t="shared" si="4"/>
        <v>4509.625</v>
      </c>
      <c r="X23" s="29">
        <f t="shared" si="2"/>
        <v>6123.623687500001</v>
      </c>
      <c r="Y23" s="29">
        <f t="shared" si="2"/>
        <v>6710.899354312502</v>
      </c>
      <c r="Z23" s="29">
        <f t="shared" si="2"/>
        <v>6727.587992668128</v>
      </c>
      <c r="AA23" s="32"/>
    </row>
    <row r="24" spans="2:27" ht="15">
      <c r="B24" s="16"/>
      <c r="C24" s="17" t="str">
        <f>+Input!C54</f>
        <v>Mp xProdotto 7</v>
      </c>
      <c r="D24" s="33">
        <f>+D10*(1-(Input!$E41))</f>
        <v>3300.0000000000005</v>
      </c>
      <c r="E24" s="33">
        <f>+E10*(1-(Input!$E41))</f>
        <v>4832.85</v>
      </c>
      <c r="F24" s="33">
        <f>+F10*(1-(Input!$E41))</f>
        <v>6589.590975000001</v>
      </c>
      <c r="G24" s="33">
        <f>+G10*(1-(Input!$E41))</f>
        <v>7321.035573225001</v>
      </c>
      <c r="H24" s="33">
        <f>+H10*(1-(Input!$E41))</f>
        <v>7394.245928957252</v>
      </c>
      <c r="I24" s="15"/>
      <c r="K24" s="31"/>
      <c r="L24" s="17" t="str">
        <f t="shared" si="0"/>
        <v>Mp xProdotto 7</v>
      </c>
      <c r="M24" s="29">
        <f>+D24*(Input!$F54/360)</f>
        <v>825.0000000000001</v>
      </c>
      <c r="N24" s="29">
        <f>+E24*(Input!$F54/360)</f>
        <v>1208.2125</v>
      </c>
      <c r="O24" s="29">
        <f>+F24*(Input!$F54/360)</f>
        <v>1647.3977437500002</v>
      </c>
      <c r="P24" s="29">
        <f>+G24*(Input!$F54/360)</f>
        <v>1830.2588933062502</v>
      </c>
      <c r="Q24" s="29">
        <f>+H24*(Input!$F54/360)</f>
        <v>1848.561482239313</v>
      </c>
      <c r="R24" s="32"/>
      <c r="T24" s="31"/>
      <c r="U24" s="17" t="str">
        <f t="shared" si="1"/>
        <v>Mp xProdotto 7</v>
      </c>
      <c r="V24" s="29">
        <f t="shared" si="3"/>
        <v>4125.000000000001</v>
      </c>
      <c r="W24" s="29">
        <f t="shared" si="4"/>
        <v>5216.0625</v>
      </c>
      <c r="X24" s="29">
        <f t="shared" si="2"/>
        <v>7028.776218750001</v>
      </c>
      <c r="Y24" s="29">
        <f t="shared" si="2"/>
        <v>7503.896722781252</v>
      </c>
      <c r="Z24" s="29">
        <f t="shared" si="2"/>
        <v>7412.5485178903145</v>
      </c>
      <c r="AA24" s="32"/>
    </row>
    <row r="25" spans="2:27" ht="15">
      <c r="B25" s="16"/>
      <c r="C25" s="17" t="str">
        <f>+Input!C55</f>
        <v>Mp xProdotto 8</v>
      </c>
      <c r="D25" s="33">
        <f>+D11*(1-(Input!$E42))</f>
        <v>2250</v>
      </c>
      <c r="E25" s="33">
        <f>+E11*(1-(Input!$E42))</f>
        <v>3295.1250000000005</v>
      </c>
      <c r="F25" s="33">
        <f>+F11*(1-(Input!$E42))</f>
        <v>4492.9029375</v>
      </c>
      <c r="G25" s="33">
        <f>+G11*(1-(Input!$E42))</f>
        <v>4991.615163562501</v>
      </c>
      <c r="H25" s="33">
        <f>+H11*(1-(Input!$E42))</f>
        <v>5041.531315198126</v>
      </c>
      <c r="I25" s="15"/>
      <c r="K25" s="16"/>
      <c r="L25" s="17" t="str">
        <f t="shared" si="0"/>
        <v>Mp xProdotto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xProdotto 8</v>
      </c>
      <c r="V25" s="29">
        <f t="shared" si="3"/>
        <v>2250</v>
      </c>
      <c r="W25" s="29">
        <f t="shared" si="4"/>
        <v>3295.1250000000005</v>
      </c>
      <c r="X25" s="29">
        <f t="shared" si="2"/>
        <v>4492.9029375</v>
      </c>
      <c r="Y25" s="29">
        <f t="shared" si="2"/>
        <v>4991.615163562501</v>
      </c>
      <c r="Z25" s="29">
        <f t="shared" si="2"/>
        <v>5041.531315198126</v>
      </c>
      <c r="AA25" s="32"/>
    </row>
    <row r="26" spans="2:27" ht="15" hidden="1">
      <c r="B26" s="16"/>
      <c r="C26" s="17" t="str">
        <f>+Input!C56</f>
        <v>Mp xProdotto 9</v>
      </c>
      <c r="D26" s="33">
        <f>+D12*(1-(Input!$E43))</f>
        <v>3750</v>
      </c>
      <c r="E26" s="33">
        <f>+E12*(1-(Input!$E43))</f>
        <v>5491.875</v>
      </c>
      <c r="F26" s="33">
        <f>+F12*(1-(Input!$E43))</f>
        <v>7488.171562500001</v>
      </c>
      <c r="G26" s="33">
        <f>+G12*(1-(Input!$E43))</f>
        <v>8319.358605937501</v>
      </c>
      <c r="H26" s="33">
        <f>+H12*(1-(Input!$E43))</f>
        <v>8402.552191996876</v>
      </c>
      <c r="I26" s="15"/>
      <c r="K26" s="16"/>
      <c r="L26" s="17" t="str">
        <f t="shared" si="0"/>
        <v>Mp xProdotto 9</v>
      </c>
      <c r="M26" s="29">
        <f>+D26*(Input!$F56/360)</f>
        <v>312.5</v>
      </c>
      <c r="N26" s="29">
        <f>+E26*(Input!$F56/360)</f>
        <v>457.65625</v>
      </c>
      <c r="O26" s="29">
        <f>+F26*(Input!$F56/360)</f>
        <v>624.014296875</v>
      </c>
      <c r="P26" s="29">
        <f>+G26*(Input!$F56/360)</f>
        <v>693.2798838281251</v>
      </c>
      <c r="Q26" s="29">
        <f>+H26*(Input!$F56/360)</f>
        <v>700.2126826664063</v>
      </c>
      <c r="R26" s="32"/>
      <c r="T26" s="16"/>
      <c r="U26" s="17" t="str">
        <f t="shared" si="1"/>
        <v>Mp xProdotto 9</v>
      </c>
      <c r="V26" s="29">
        <f t="shared" si="3"/>
        <v>4062.5</v>
      </c>
      <c r="W26" s="29">
        <f t="shared" si="4"/>
        <v>5637.03125</v>
      </c>
      <c r="X26" s="29">
        <f t="shared" si="2"/>
        <v>7654.529609375</v>
      </c>
      <c r="Y26" s="29">
        <f t="shared" si="2"/>
        <v>8388.624192890626</v>
      </c>
      <c r="Z26" s="29">
        <f t="shared" si="2"/>
        <v>8409.484990835157</v>
      </c>
      <c r="AA26" s="32"/>
    </row>
    <row r="27" spans="2:27" ht="15">
      <c r="B27" s="16"/>
      <c r="C27" s="12" t="s">
        <v>15</v>
      </c>
      <c r="D27" s="34">
        <f>SUM(D18:D26)</f>
        <v>33360</v>
      </c>
      <c r="E27" s="34">
        <f>SUM(E18:E26)</f>
        <v>48855.72</v>
      </c>
      <c r="F27" s="34">
        <f>SUM(F18:F26)</f>
        <v>66614.77422000002</v>
      </c>
      <c r="G27" s="34">
        <f>SUM(G18:G26)</f>
        <v>74009.01415842003</v>
      </c>
      <c r="H27" s="34">
        <f>SUM(H18:H26)</f>
        <v>74749.10430000423</v>
      </c>
      <c r="I27" s="15"/>
      <c r="K27" s="16"/>
      <c r="L27" s="12" t="s">
        <v>15</v>
      </c>
      <c r="M27" s="34">
        <f>SUM(M18:M26)</f>
        <v>7307.5</v>
      </c>
      <c r="N27" s="34">
        <f>SUM(N18:N26)</f>
        <v>10701.83375</v>
      </c>
      <c r="O27" s="34">
        <f>SUM(O18:O26)</f>
        <v>14591.950318125002</v>
      </c>
      <c r="P27" s="34">
        <f>SUM(P18:P26)</f>
        <v>16211.656803436877</v>
      </c>
      <c r="Q27" s="34">
        <f>SUM(Q18:Q26)</f>
        <v>16373.773371471245</v>
      </c>
      <c r="R27" s="32"/>
      <c r="T27" s="16"/>
      <c r="U27" s="12" t="s">
        <v>15</v>
      </c>
      <c r="V27" s="34">
        <f>SUM(V18:V26)</f>
        <v>40667.5</v>
      </c>
      <c r="W27" s="34">
        <f>SUM(W18:W26)</f>
        <v>52250.05375</v>
      </c>
      <c r="X27" s="34">
        <f>SUM(X18:X26)</f>
        <v>70504.890788125</v>
      </c>
      <c r="Y27" s="34">
        <f>SUM(Y18:Y26)</f>
        <v>75628.7206437319</v>
      </c>
      <c r="Z27" s="34">
        <f>SUM(Z18:Z26)</f>
        <v>74911.22086803858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4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>
        <f>+D17</f>
        <v>2015</v>
      </c>
      <c r="E31" s="13">
        <f>+E17</f>
        <v>2016</v>
      </c>
      <c r="F31" s="13">
        <f>+F17</f>
        <v>2017</v>
      </c>
      <c r="G31" s="13">
        <f>+G17</f>
        <v>2018</v>
      </c>
      <c r="H31" s="13">
        <f>+H17</f>
        <v>2019</v>
      </c>
      <c r="I31" s="36"/>
      <c r="K31" s="16"/>
      <c r="L31" s="12" t="s">
        <v>18</v>
      </c>
      <c r="M31" s="13">
        <f>+M17</f>
        <v>2015</v>
      </c>
      <c r="N31" s="13">
        <f>+N17</f>
        <v>2016</v>
      </c>
      <c r="O31" s="13">
        <f>+O17</f>
        <v>2017</v>
      </c>
      <c r="P31" s="13">
        <f>+P17</f>
        <v>2018</v>
      </c>
      <c r="Q31" s="13">
        <f>+Q17</f>
        <v>2019</v>
      </c>
      <c r="R31" s="36"/>
      <c r="T31" s="16"/>
      <c r="U31" s="12" t="s">
        <v>363</v>
      </c>
      <c r="V31" s="13">
        <f>+V17</f>
        <v>2015</v>
      </c>
      <c r="W31" s="13">
        <f>+W17</f>
        <v>2016</v>
      </c>
      <c r="X31" s="13">
        <f>+X17</f>
        <v>2017</v>
      </c>
      <c r="Y31" s="13">
        <f>+Y17</f>
        <v>2018</v>
      </c>
      <c r="Z31" s="13">
        <f>+Z17</f>
        <v>2019</v>
      </c>
      <c r="AA31" s="36"/>
    </row>
    <row r="32" spans="2:27" ht="15">
      <c r="B32" s="16"/>
      <c r="C32" s="17" t="str">
        <f>+C18</f>
        <v>Mp xProdotto 1</v>
      </c>
      <c r="D32" s="33">
        <f>+IF(Input!$G35=0,0,IF(Input!$G35=30,((D4+V32)/12),IF(Input!$G35=60,(D4+V32)/6,IF(Input!$G35=90,(D4+V32)/4,IF(Input!$G35=120,(D4+V32)/3,IF(Input!$G35=150,(D4+V32)*0.416667,(D4+V32)/2))))))</f>
        <v>407.3333333333333</v>
      </c>
      <c r="E32" s="33">
        <f>+IF(Input!$G35=0,0,IF(Input!$G35=30,((E4+W32)/12),IF(Input!$G35=60,(E4+W32)/6,IF(Input!$G35=90,(E4+W32)/4,IF(Input!$G35=120,(E4+W32)/3,IF(Input!$G35=150,(E4+W32)*0.416667,(E4+W32)/2))))))</f>
        <v>596.5396666666667</v>
      </c>
      <c r="F32" s="33">
        <f>+IF(Input!$G35=0,0,IF(Input!$G35=30,((F4+X32)/12),IF(Input!$G35=60,(F4+X32)/6,IF(Input!$G35=90,(F4+X32)/4,IF(Input!$G35=120,(F4+X32)/3,IF(Input!$G35=150,(F4+X32)*0.416667,(F4+X32)/2))))))</f>
        <v>813.3818355</v>
      </c>
      <c r="G32" s="33">
        <f>+IF(Input!$G35=0,0,IF(Input!$G35=30,((G4+Y32)/12),IF(Input!$G35=60,(G4+Y32)/6,IF(Input!$G35=90,(G4+Y32)/4,IF(Input!$G35=120,(G4+Y32)/3,IF(Input!$G35=150,(G4+Y32)*0.416667,(G4+Y32)/2))))))</f>
        <v>903.6672192404999</v>
      </c>
      <c r="H32" s="33">
        <f>+IF(Input!$G35=0,0,IF(Input!$G35=30,((H4+Z32)/12),IF(Input!$G35=60,(H4+Z32)/6,IF(Input!$G35=90,(H4+Z32)/4,IF(Input!$G35=120,(H4+Z32)/3,IF(Input!$G35=150,(H4+Z32)*0.416667,(H4+Z32)/2))))))</f>
        <v>912.703891432905</v>
      </c>
      <c r="I32" s="15"/>
      <c r="K32" s="16"/>
      <c r="L32" s="17" t="str">
        <f>+L18</f>
        <v>Mp xProdotto 1</v>
      </c>
      <c r="M32" s="33">
        <f>+Input!$F35*D4</f>
        <v>528</v>
      </c>
      <c r="N32" s="33">
        <f>+Input!$F35*E4</f>
        <v>773.2560000000001</v>
      </c>
      <c r="O32" s="33">
        <f>+Input!$F35*F4</f>
        <v>1054.334556</v>
      </c>
      <c r="P32" s="33">
        <f>+Input!$F35*G4</f>
        <v>1171.365691716</v>
      </c>
      <c r="Q32" s="33">
        <f>+Input!$F35*H4</f>
        <v>1183.07934863316</v>
      </c>
      <c r="R32" s="15"/>
      <c r="T32" s="16"/>
      <c r="U32" s="17" t="str">
        <f>+U18</f>
        <v>Mp xProdotto 1</v>
      </c>
      <c r="V32" s="33">
        <f>+M32/12</f>
        <v>44</v>
      </c>
      <c r="W32" s="33">
        <f aca="true" t="shared" si="5" ref="W32:Z40">+N32/12</f>
        <v>64.438</v>
      </c>
      <c r="X32" s="33">
        <f t="shared" si="5"/>
        <v>87.861213</v>
      </c>
      <c r="Y32" s="33">
        <f t="shared" si="5"/>
        <v>97.61380764299999</v>
      </c>
      <c r="Z32" s="33">
        <f t="shared" si="5"/>
        <v>98.58994571942999</v>
      </c>
      <c r="AA32" s="15"/>
    </row>
    <row r="33" spans="2:27" ht="15">
      <c r="B33" s="16"/>
      <c r="C33" s="17" t="str">
        <f aca="true" t="shared" si="6" ref="C33:C40">+C19</f>
        <v>Mp xProdotto 2</v>
      </c>
      <c r="D33" s="33">
        <f>+IF(Input!$G36=0,0,IF(Input!$G36=30,((D5+V33)/12),IF(Input!$G36=60,(D5+V33)/6,IF(Input!$G36=90,(D5+V33)/4,IF(Input!$G36=120,(D5+V33)/3,IF(Input!$G36=150,(D5+V33)*0.416667,(D5+V33)/2))))))</f>
        <v>509.1666666666667</v>
      </c>
      <c r="E33" s="33">
        <f>+IF(Input!$G36=0,0,IF(Input!$G36=30,((E5+W33)/12),IF(Input!$G36=60,(E5+W33)/6,IF(Input!$G36=90,(E5+W33)/4,IF(Input!$G36=120,(E5+W33)/3,IF(Input!$G36=150,(E5+W33)*0.416667,(E5+W33)/2))))))</f>
        <v>745.6745833333333</v>
      </c>
      <c r="F33" s="33">
        <f>+IF(Input!$G36=0,0,IF(Input!$G36=30,((F5+X33)/12),IF(Input!$G36=60,(F5+X33)/6,IF(Input!$G36=90,(F5+X33)/4,IF(Input!$G36=120,(F5+X33)/3,IF(Input!$G36=150,(F5+X33)*0.416667,(F5+X33)/2))))))</f>
        <v>1016.7272943750003</v>
      </c>
      <c r="G33" s="33">
        <f>+IF(Input!$G36=0,0,IF(Input!$G36=30,((G5+Y33)/12),IF(Input!$G36=60,(G5+Y33)/6,IF(Input!$G36=90,(G5+Y33)/4,IF(Input!$G36=120,(G5+Y33)/3,IF(Input!$G36=150,(G5+Y33)*0.416667,(G5+Y33)/2))))))</f>
        <v>1129.5840240506252</v>
      </c>
      <c r="H33" s="33">
        <f>+IF(Input!$G36=0,0,IF(Input!$G36=30,((H5+Z33)/12),IF(Input!$G36=60,(H5+Z33)/6,IF(Input!$G36=90,(H5+Z33)/4,IF(Input!$G36=120,(H5+Z33)/3,IF(Input!$G36=150,(H5+Z33)*0.416667,(H5+Z33)/2))))))</f>
        <v>1140.8798642911318</v>
      </c>
      <c r="I33" s="15"/>
      <c r="K33" s="16"/>
      <c r="L33" s="17" t="str">
        <f aca="true" t="shared" si="7" ref="L33:L40">+L19</f>
        <v>Mp xProdotto 2</v>
      </c>
      <c r="M33" s="33">
        <f>+Input!$F36*D5</f>
        <v>660</v>
      </c>
      <c r="N33" s="33">
        <f>+Input!$F36*E5</f>
        <v>966.57</v>
      </c>
      <c r="O33" s="33">
        <f>+Input!$F36*F5</f>
        <v>1317.9181950000002</v>
      </c>
      <c r="P33" s="33">
        <f>+Input!$F36*G5</f>
        <v>1464.2071146450005</v>
      </c>
      <c r="Q33" s="33">
        <f>+Input!$F36*H5</f>
        <v>1478.8491857914507</v>
      </c>
      <c r="R33" s="15"/>
      <c r="T33" s="16"/>
      <c r="U33" s="17" t="str">
        <f aca="true" t="shared" si="8" ref="U33:U40">+U19</f>
        <v>Mp xProdotto 2</v>
      </c>
      <c r="V33" s="33">
        <f aca="true" t="shared" si="9" ref="V33:V40">+M33/12</f>
        <v>55</v>
      </c>
      <c r="W33" s="33">
        <f t="shared" si="5"/>
        <v>80.5475</v>
      </c>
      <c r="X33" s="33">
        <f t="shared" si="5"/>
        <v>109.82651625000001</v>
      </c>
      <c r="Y33" s="33">
        <f t="shared" si="5"/>
        <v>122.01725955375004</v>
      </c>
      <c r="Z33" s="33">
        <f t="shared" si="5"/>
        <v>123.23743214928756</v>
      </c>
      <c r="AA33" s="15"/>
    </row>
    <row r="34" spans="2:27" ht="15">
      <c r="B34" s="16"/>
      <c r="C34" s="17" t="str">
        <f t="shared" si="6"/>
        <v>Mp xProdotto 3</v>
      </c>
      <c r="D34" s="33">
        <f>+IF(Input!$G37=0,0,IF(Input!$G37=30,((D6+V34)/12),IF(Input!$G37=60,(D6+V34)/6,IF(Input!$G37=90,(D6+V34)/4,IF(Input!$G37=120,(D6+V34)/3,IF(Input!$G37=150,(D6+V34)*0.416667,(D6+V34)/2))))))</f>
        <v>1527.5</v>
      </c>
      <c r="E34" s="33">
        <f>+IF(Input!$G37=0,0,IF(Input!$G37=30,((E6+W34)/12),IF(Input!$G37=60,(E6+W34)/6,IF(Input!$G37=90,(E6+W34)/4,IF(Input!$G37=120,(E6+W34)/3,IF(Input!$G37=150,(E6+W34)*0.416667,(E6+W34)/2))))))</f>
        <v>2237.0237500000003</v>
      </c>
      <c r="F34" s="33">
        <f>+IF(Input!$G37=0,0,IF(Input!$G37=30,((F6+X34)/12),IF(Input!$G37=60,(F6+X34)/6,IF(Input!$G37=90,(F6+X34)/4,IF(Input!$G37=120,(F6+X34)/3,IF(Input!$G37=150,(F6+X34)*0.416667,(F6+X34)/2))))))</f>
        <v>3050.1818831250002</v>
      </c>
      <c r="G34" s="33">
        <f>+IF(Input!$G37=0,0,IF(Input!$G37=30,((G6+Y34)/12),IF(Input!$G37=60,(G6+Y34)/6,IF(Input!$G37=90,(G6+Y34)/4,IF(Input!$G37=120,(G6+Y34)/3,IF(Input!$G37=150,(G6+Y34)*0.416667,(G6+Y34)/2))))))</f>
        <v>3388.752072151876</v>
      </c>
      <c r="H34" s="33">
        <f>+IF(Input!$G37=0,0,IF(Input!$G37=30,((H6+Z34)/12),IF(Input!$G37=60,(H6+Z34)/6,IF(Input!$G37=90,(H6+Z34)/4,IF(Input!$G37=120,(H6+Z34)/3,IF(Input!$G37=150,(H6+Z34)*0.416667,(H6+Z34)/2))))))</f>
        <v>3422.6395928733946</v>
      </c>
      <c r="I34" s="15"/>
      <c r="K34" s="16"/>
      <c r="L34" s="17" t="str">
        <f t="shared" si="7"/>
        <v>Mp xProdotto 3</v>
      </c>
      <c r="M34" s="33">
        <f>+Input!$F37*D6</f>
        <v>1980</v>
      </c>
      <c r="N34" s="33">
        <f>+Input!$F37*E6</f>
        <v>2899.7100000000005</v>
      </c>
      <c r="O34" s="33">
        <f>+Input!$F37*F6</f>
        <v>3953.754585</v>
      </c>
      <c r="P34" s="33">
        <f>+Input!$F37*G6</f>
        <v>4392.621343935001</v>
      </c>
      <c r="Q34" s="33">
        <f>+Input!$F37*H6</f>
        <v>4436.5475573743515</v>
      </c>
      <c r="R34" s="15"/>
      <c r="T34" s="16"/>
      <c r="U34" s="17" t="str">
        <f t="shared" si="8"/>
        <v>Mp xProdotto 3</v>
      </c>
      <c r="V34" s="33">
        <f t="shared" si="9"/>
        <v>165</v>
      </c>
      <c r="W34" s="33">
        <f t="shared" si="5"/>
        <v>241.64250000000004</v>
      </c>
      <c r="X34" s="33">
        <f t="shared" si="5"/>
        <v>329.47954875</v>
      </c>
      <c r="Y34" s="33">
        <f t="shared" si="5"/>
        <v>366.0517786612501</v>
      </c>
      <c r="Z34" s="33">
        <f t="shared" si="5"/>
        <v>369.7122964478626</v>
      </c>
      <c r="AA34" s="15"/>
    </row>
    <row r="35" spans="2:27" ht="15">
      <c r="B35" s="16"/>
      <c r="C35" s="17" t="str">
        <f t="shared" si="6"/>
        <v>Mp xProdotto 4</v>
      </c>
      <c r="D35" s="33">
        <f>+IF(Input!$G38=0,0,IF(Input!$G38=30,((D7+V35)/12),IF(Input!$G38=60,(D7+V35)/6,IF(Input!$G38=90,(D7+V35)/4,IF(Input!$G38=120,(D7+V35)/3,IF(Input!$G38=150,(D7+V35)*0.416667,(D7+V35)/2))))))</f>
        <v>3394.444444444445</v>
      </c>
      <c r="E35" s="33">
        <f>+IF(Input!$G38=0,0,IF(Input!$G38=30,((E7+W35)/12),IF(Input!$G38=60,(E7+W35)/6,IF(Input!$G38=90,(E7+W35)/4,IF(Input!$G38=120,(E7+W35)/3,IF(Input!$G38=150,(E7+W35)*0.416667,(E7+W35)/2))))))</f>
        <v>4971.163888888889</v>
      </c>
      <c r="F35" s="33">
        <f>+IF(Input!$G38=0,0,IF(Input!$G38=30,((F7+X35)/12),IF(Input!$G38=60,(F7+X35)/6,IF(Input!$G38=90,(F7+X35)/4,IF(Input!$G38=120,(F7+X35)/3,IF(Input!$G38=150,(F7+X35)*0.416667,(F7+X35)/2))))))</f>
        <v>6778.1819625</v>
      </c>
      <c r="G35" s="33">
        <f>+IF(Input!$G38=0,0,IF(Input!$G38=30,((G7+Y35)/12),IF(Input!$G38=60,(G7+Y35)/6,IF(Input!$G38=90,(G7+Y35)/4,IF(Input!$G38=120,(G7+Y35)/3,IF(Input!$G38=150,(G7+Y35)*0.416667,(G7+Y35)/2))))))</f>
        <v>7530.5601603375</v>
      </c>
      <c r="H35" s="33">
        <f>+IF(Input!$G38=0,0,IF(Input!$G38=30,((H7+Z35)/12),IF(Input!$G38=60,(H7+Z35)/6,IF(Input!$G38=90,(H7+Z35)/4,IF(Input!$G38=120,(H7+Z35)/3,IF(Input!$G38=150,(H7+Z35)*0.416667,(H7+Z35)/2))))))</f>
        <v>7605.865761940876</v>
      </c>
      <c r="I35" s="15"/>
      <c r="K35" s="16"/>
      <c r="L35" s="17" t="str">
        <f t="shared" si="7"/>
        <v>Mp xProdotto 4</v>
      </c>
      <c r="M35" s="33">
        <f>+Input!$F38*D7</f>
        <v>4400</v>
      </c>
      <c r="N35" s="33">
        <f>+Input!$F38*E7</f>
        <v>6443.8</v>
      </c>
      <c r="O35" s="33">
        <f>+Input!$F38*F7</f>
        <v>8786.1213</v>
      </c>
      <c r="P35" s="33">
        <f>+Input!$F38*G7</f>
        <v>9761.3807643</v>
      </c>
      <c r="Q35" s="33">
        <f>+Input!$F38*H7</f>
        <v>9858.994571943002</v>
      </c>
      <c r="R35" s="15"/>
      <c r="T35" s="16"/>
      <c r="U35" s="17" t="str">
        <f t="shared" si="8"/>
        <v>Mp xProdotto 4</v>
      </c>
      <c r="V35" s="33">
        <f t="shared" si="9"/>
        <v>366.6666666666667</v>
      </c>
      <c r="W35" s="33">
        <f t="shared" si="5"/>
        <v>536.9833333333333</v>
      </c>
      <c r="X35" s="33">
        <f t="shared" si="5"/>
        <v>732.176775</v>
      </c>
      <c r="Y35" s="33">
        <f t="shared" si="5"/>
        <v>813.448397025</v>
      </c>
      <c r="Z35" s="33">
        <f t="shared" si="5"/>
        <v>821.5828809952501</v>
      </c>
      <c r="AA35" s="15"/>
    </row>
    <row r="36" spans="2:27" ht="15">
      <c r="B36" s="16"/>
      <c r="C36" s="17" t="str">
        <f t="shared" si="6"/>
        <v>Mp xProdotto 5</v>
      </c>
      <c r="D36" s="33">
        <f>+IF(Input!$G39=0,0,IF(Input!$G39=30,((D8+V36)/12),IF(Input!$G39=60,(D8+V36)/6,IF(Input!$G39=90,(D8+V36)/4,IF(Input!$G39=120,(D8+V36)/3,IF(Input!$G39=150,(D8+V36)*0.416667,(D8+V36)/2))))))</f>
        <v>1697.2222222222224</v>
      </c>
      <c r="E36" s="33">
        <f>+IF(Input!$G39=0,0,IF(Input!$G39=30,((E8+W36)/12),IF(Input!$G39=60,(E8+W36)/6,IF(Input!$G39=90,(E8+W36)/4,IF(Input!$G39=120,(E8+W36)/3,IF(Input!$G39=150,(E8+W36)*0.416667,(E8+W36)/2))))))</f>
        <v>2485.5819444444446</v>
      </c>
      <c r="F36" s="33">
        <f>+IF(Input!$G39=0,0,IF(Input!$G39=30,((F8+X36)/12),IF(Input!$G39=60,(F8+X36)/6,IF(Input!$G39=90,(F8+X36)/4,IF(Input!$G39=120,(F8+X36)/3,IF(Input!$G39=150,(F8+X36)*0.416667,(F8+X36)/2))))))</f>
        <v>3389.090981250001</v>
      </c>
      <c r="G36" s="33">
        <f>+IF(Input!$G39=0,0,IF(Input!$G39=30,((G8+Y36)/12),IF(Input!$G39=60,(G8+Y36)/6,IF(Input!$G39=90,(G8+Y36)/4,IF(Input!$G39=120,(G8+Y36)/3,IF(Input!$G39=150,(G8+Y36)*0.416667,(G8+Y36)/2))))))</f>
        <v>3765.2800801687513</v>
      </c>
      <c r="H36" s="33">
        <f>+IF(Input!$G39=0,0,IF(Input!$G39=30,((H8+Z36)/12),IF(Input!$G39=60,(H8+Z36)/6,IF(Input!$G39=90,(H8+Z36)/4,IF(Input!$G39=120,(H8+Z36)/3,IF(Input!$G39=150,(H8+Z36)*0.416667,(H8+Z36)/2))))))</f>
        <v>3802.9328809704384</v>
      </c>
      <c r="I36" s="15"/>
      <c r="K36" s="16"/>
      <c r="L36" s="17" t="str">
        <f t="shared" si="7"/>
        <v>Mp xProdotto 5</v>
      </c>
      <c r="M36" s="33">
        <f>+Input!$F39*D8</f>
        <v>2200</v>
      </c>
      <c r="N36" s="33">
        <f>+Input!$F39*E8</f>
        <v>3221.9</v>
      </c>
      <c r="O36" s="33">
        <f>+Input!$F39*F8</f>
        <v>4393.060650000001</v>
      </c>
      <c r="P36" s="33">
        <f>+Input!$F39*G8</f>
        <v>4880.690382150002</v>
      </c>
      <c r="Q36" s="33">
        <f>+Input!$F39*H8</f>
        <v>4929.497285971501</v>
      </c>
      <c r="R36" s="15"/>
      <c r="T36" s="16"/>
      <c r="U36" s="17" t="str">
        <f t="shared" si="8"/>
        <v>Mp xProdotto 5</v>
      </c>
      <c r="V36" s="33">
        <f t="shared" si="9"/>
        <v>183.33333333333334</v>
      </c>
      <c r="W36" s="33">
        <f t="shared" si="5"/>
        <v>268.4916666666667</v>
      </c>
      <c r="X36" s="33">
        <f t="shared" si="5"/>
        <v>366.0883875000001</v>
      </c>
      <c r="Y36" s="33">
        <f t="shared" si="5"/>
        <v>406.72419851250015</v>
      </c>
      <c r="Z36" s="33">
        <f t="shared" si="5"/>
        <v>410.79144049762505</v>
      </c>
      <c r="AA36" s="15"/>
    </row>
    <row r="37" spans="2:27" ht="15">
      <c r="B37" s="16"/>
      <c r="C37" s="17" t="str">
        <f t="shared" si="6"/>
        <v>Mp xProdotto 6</v>
      </c>
      <c r="D37" s="33">
        <f>+IF(Input!$G40=0,0,IF(Input!$G40=30,((D9+V37)/12),IF(Input!$G40=60,(D9+V37)/6,IF(Input!$G40=90,(D9+V37)/4,IF(Input!$G40=120,(D9+V37)/3,IF(Input!$G40=150,(D9+V37)*0.416667,(D9+V37)/2))))))</f>
        <v>2036.6666666666667</v>
      </c>
      <c r="E37" s="33">
        <f>+IF(Input!$G40=0,0,IF(Input!$G40=30,((E9+W37)/12),IF(Input!$G40=60,(E9+W37)/6,IF(Input!$G40=90,(E9+W37)/4,IF(Input!$G40=120,(E9+W37)/3,IF(Input!$G40=150,(E9+W37)*0.416667,(E9+W37)/2))))))</f>
        <v>2982.6983333333333</v>
      </c>
      <c r="F37" s="33">
        <f>+IF(Input!$G40=0,0,IF(Input!$G40=30,((F9+X37)/12),IF(Input!$G40=60,(F9+X37)/6,IF(Input!$G40=90,(F9+X37)/4,IF(Input!$G40=120,(F9+X37)/3,IF(Input!$G40=150,(F9+X37)*0.416667,(F9+X37)/2))))))</f>
        <v>4066.909177500001</v>
      </c>
      <c r="G37" s="33">
        <f>+IF(Input!$G40=0,0,IF(Input!$G40=30,((G9+Y37)/12),IF(Input!$G40=60,(G9+Y37)/6,IF(Input!$G40=90,(G9+Y37)/4,IF(Input!$G40=120,(G9+Y37)/3,IF(Input!$G40=150,(G9+Y37)*0.416667,(G9+Y37)/2))))))</f>
        <v>4518.336096202501</v>
      </c>
      <c r="H37" s="33">
        <f>+IF(Input!$G40=0,0,IF(Input!$G40=30,((H9+Z37)/12),IF(Input!$G40=60,(H9+Z37)/6,IF(Input!$G40=90,(H9+Z37)/4,IF(Input!$G40=120,(H9+Z37)/3,IF(Input!$G40=150,(H9+Z37)*0.416667,(H9+Z37)/2))))))</f>
        <v>4563.519457164527</v>
      </c>
      <c r="I37" s="15"/>
      <c r="K37" s="16"/>
      <c r="L37" s="17" t="str">
        <f t="shared" si="7"/>
        <v>Mp xProdotto 6</v>
      </c>
      <c r="M37" s="33">
        <f>+Input!$F40*D9</f>
        <v>2640</v>
      </c>
      <c r="N37" s="33">
        <f>+Input!$F40*E9</f>
        <v>3866.28</v>
      </c>
      <c r="O37" s="33">
        <f>+Input!$F40*F9</f>
        <v>5271.672780000001</v>
      </c>
      <c r="P37" s="33">
        <f>+Input!$F40*G9</f>
        <v>5856.828458580002</v>
      </c>
      <c r="Q37" s="33">
        <f>+Input!$F40*H9</f>
        <v>5915.396743165803</v>
      </c>
      <c r="R37" s="15"/>
      <c r="T37" s="16"/>
      <c r="U37" s="17" t="str">
        <f t="shared" si="8"/>
        <v>Mp xProdotto 6</v>
      </c>
      <c r="V37" s="33">
        <f t="shared" si="9"/>
        <v>220</v>
      </c>
      <c r="W37" s="33">
        <f t="shared" si="5"/>
        <v>322.19</v>
      </c>
      <c r="X37" s="33">
        <f t="shared" si="5"/>
        <v>439.30606500000005</v>
      </c>
      <c r="Y37" s="33">
        <f t="shared" si="5"/>
        <v>488.06903821500015</v>
      </c>
      <c r="Z37" s="33">
        <f t="shared" si="5"/>
        <v>492.9497285971502</v>
      </c>
      <c r="AA37" s="15"/>
    </row>
    <row r="38" spans="2:27" ht="15">
      <c r="B38" s="16"/>
      <c r="C38" s="17" t="str">
        <f t="shared" si="6"/>
        <v>Mp xProdotto 7</v>
      </c>
      <c r="D38" s="33">
        <f>+IF(Input!$G41=0,0,IF(Input!$G41=30,((D10+V38)/12),IF(Input!$G41=60,(D10+V38)/6,IF(Input!$G41=90,(D10+V38)/4,IF(Input!$G41=120,(D10+V38)/3,IF(Input!$G41=150,(D10+V38)*0.416667,(D10+V38)/2))))))</f>
        <v>1018.3333333333334</v>
      </c>
      <c r="E38" s="33">
        <f>+IF(Input!$G41=0,0,IF(Input!$G41=30,((E10+W38)/12),IF(Input!$G41=60,(E10+W38)/6,IF(Input!$G41=90,(E10+W38)/4,IF(Input!$G41=120,(E10+W38)/3,IF(Input!$G41=150,(E10+W38)*0.416667,(E10+W38)/2))))))</f>
        <v>1491.3491666666666</v>
      </c>
      <c r="F38" s="33">
        <f>+IF(Input!$G41=0,0,IF(Input!$G41=30,((F10+X38)/12),IF(Input!$G41=60,(F10+X38)/6,IF(Input!$G41=90,(F10+X38)/4,IF(Input!$G41=120,(F10+X38)/3,IF(Input!$G41=150,(F10+X38)*0.416667,(F10+X38)/2))))))</f>
        <v>2033.45458875</v>
      </c>
      <c r="G38" s="33">
        <f>+IF(Input!$G41=0,0,IF(Input!$G41=30,((G10+Y38)/12),IF(Input!$G41=60,(G10+Y38)/6,IF(Input!$G41=90,(G10+Y38)/4,IF(Input!$G41=120,(G10+Y38)/3,IF(Input!$G41=150,(G10+Y38)*0.416667,(G10+Y38)/2))))))</f>
        <v>2259.16804810125</v>
      </c>
      <c r="H38" s="33">
        <f>+IF(Input!$G41=0,0,IF(Input!$G41=30,((H10+Z38)/12),IF(Input!$G41=60,(H10+Z38)/6,IF(Input!$G41=90,(H10+Z38)/4,IF(Input!$G41=120,(H10+Z38)/3,IF(Input!$G41=150,(H10+Z38)*0.416667,(H10+Z38)/2))))))</f>
        <v>2281.7597285822626</v>
      </c>
      <c r="I38" s="15"/>
      <c r="K38" s="16"/>
      <c r="L38" s="17" t="str">
        <f t="shared" si="7"/>
        <v>Mp xProdotto 7</v>
      </c>
      <c r="M38" s="33">
        <f>+Input!$F41*D10</f>
        <v>1320</v>
      </c>
      <c r="N38" s="33">
        <f>+Input!$F41*E10</f>
        <v>1933.14</v>
      </c>
      <c r="O38" s="33">
        <f>+Input!$F41*F10</f>
        <v>2635.83639</v>
      </c>
      <c r="P38" s="33">
        <f>+Input!$F41*G10</f>
        <v>2928.41422929</v>
      </c>
      <c r="Q38" s="33">
        <f>+Input!$F41*H10</f>
        <v>2957.6983715829006</v>
      </c>
      <c r="R38" s="15"/>
      <c r="T38" s="16"/>
      <c r="U38" s="17" t="str">
        <f t="shared" si="8"/>
        <v>Mp xProdotto 7</v>
      </c>
      <c r="V38" s="33">
        <f t="shared" si="9"/>
        <v>110</v>
      </c>
      <c r="W38" s="33">
        <f t="shared" si="5"/>
        <v>161.095</v>
      </c>
      <c r="X38" s="33">
        <f t="shared" si="5"/>
        <v>219.6530325</v>
      </c>
      <c r="Y38" s="33">
        <f t="shared" si="5"/>
        <v>244.03451910750002</v>
      </c>
      <c r="Z38" s="33">
        <f t="shared" si="5"/>
        <v>246.47486429857506</v>
      </c>
      <c r="AA38" s="15"/>
    </row>
    <row r="39" spans="2:27" ht="15">
      <c r="B39" s="16"/>
      <c r="C39" s="17" t="str">
        <f t="shared" si="6"/>
        <v>Mp xProdotto 8</v>
      </c>
      <c r="D39" s="33">
        <f>+IF(Input!$G42=0,0,IF(Input!$G42=30,((D11+V39)/12),IF(Input!$G42=60,(D11+V39)/6,IF(Input!$G42=90,(D11+V39)/4,IF(Input!$G42=120,(D11+V39)/3,IF(Input!$G42=150,(D11+V39)*0.416667,(D11+V39)/2))))))</f>
        <v>1527.5</v>
      </c>
      <c r="E39" s="33">
        <f>+IF(Input!$G42=0,0,IF(Input!$G42=30,((E11+W39)/12),IF(Input!$G42=60,(E11+W39)/6,IF(Input!$G42=90,(E11+W39)/4,IF(Input!$G42=120,(E11+W39)/3,IF(Input!$G42=150,(E11+W39)*0.416667,(E11+W39)/2))))))</f>
        <v>2237.0237500000003</v>
      </c>
      <c r="F39" s="33">
        <f>+IF(Input!$G42=0,0,IF(Input!$G42=30,((F11+X39)/12),IF(Input!$G42=60,(F11+X39)/6,IF(Input!$G42=90,(F11+X39)/4,IF(Input!$G42=120,(F11+X39)/3,IF(Input!$G42=150,(F11+X39)*0.416667,(F11+X39)/2))))))</f>
        <v>3050.1818831250002</v>
      </c>
      <c r="G39" s="33">
        <f>+IF(Input!$G42=0,0,IF(Input!$G42=30,((G11+Y39)/12),IF(Input!$G42=60,(G11+Y39)/6,IF(Input!$G42=90,(G11+Y39)/4,IF(Input!$G42=120,(G11+Y39)/3,IF(Input!$G42=150,(G11+Y39)*0.416667,(G11+Y39)/2))))))</f>
        <v>3388.752072151876</v>
      </c>
      <c r="H39" s="33">
        <f>+IF(Input!$G42=0,0,IF(Input!$G42=30,((H11+Z39)/12),IF(Input!$G42=60,(H11+Z39)/6,IF(Input!$G42=90,(H11+Z39)/4,IF(Input!$G42=120,(H11+Z39)/3,IF(Input!$G42=150,(H11+Z39)*0.416667,(H11+Z39)/2))))))</f>
        <v>3422.6395928733946</v>
      </c>
      <c r="I39" s="15"/>
      <c r="K39" s="16"/>
      <c r="L39" s="17" t="str">
        <f t="shared" si="7"/>
        <v>Mp xProdotto 8</v>
      </c>
      <c r="M39" s="33">
        <f>+Input!$F42*D11</f>
        <v>1980</v>
      </c>
      <c r="N39" s="33">
        <f>+Input!$F42*E11</f>
        <v>2899.7100000000005</v>
      </c>
      <c r="O39" s="33">
        <f>+Input!$F42*F11</f>
        <v>3953.754585</v>
      </c>
      <c r="P39" s="33">
        <f>+Input!$F42*G11</f>
        <v>4392.621343935001</v>
      </c>
      <c r="Q39" s="33">
        <f>+Input!$F42*H11</f>
        <v>4436.5475573743515</v>
      </c>
      <c r="R39" s="15"/>
      <c r="T39" s="16"/>
      <c r="U39" s="17" t="str">
        <f t="shared" si="8"/>
        <v>Mp xProdotto 8</v>
      </c>
      <c r="V39" s="33">
        <f t="shared" si="9"/>
        <v>165</v>
      </c>
      <c r="W39" s="33">
        <f t="shared" si="5"/>
        <v>241.64250000000004</v>
      </c>
      <c r="X39" s="33">
        <f t="shared" si="5"/>
        <v>329.47954875</v>
      </c>
      <c r="Y39" s="33">
        <f t="shared" si="5"/>
        <v>366.0517786612501</v>
      </c>
      <c r="Z39" s="33">
        <f t="shared" si="5"/>
        <v>369.7122964478626</v>
      </c>
      <c r="AA39" s="15"/>
    </row>
    <row r="40" spans="2:27" ht="15" hidden="1">
      <c r="B40" s="16"/>
      <c r="C40" s="17" t="str">
        <f t="shared" si="6"/>
        <v>Mp xProdotto 9</v>
      </c>
      <c r="D40" s="33">
        <f>+IF(Input!$G43=0,0,IF(Input!$G43=30,((D12+V40)/12),IF(Input!$G43=60,(D12+V40)/6,IF(Input!$G43=90,(D12+V40)/4,IF(Input!$G43=120,(D12+V40)/3,IF(Input!$G43=150,(D12+V40)*0.416667,(D12+V40)/2))))))</f>
        <v>2500</v>
      </c>
      <c r="E40" s="33">
        <f>+IF(Input!$G43=0,0,IF(Input!$G43=30,((E12+W40)/12),IF(Input!$G43=60,(E12+W40)/6,IF(Input!$G43=90,(E12+W40)/4,IF(Input!$G43=120,(E12+W40)/3,IF(Input!$G43=150,(E12+W40)*0.416667,(E12+W40)/2))))))</f>
        <v>3661.25</v>
      </c>
      <c r="F40" s="33">
        <f>+IF(Input!$G43=0,0,IF(Input!$G43=30,((F12+X40)/12),IF(Input!$G43=60,(F12+X40)/6,IF(Input!$G43=90,(F12+X40)/4,IF(Input!$G43=120,(F12+X40)/3,IF(Input!$G43=150,(F12+X40)*0.416667,(F12+X40)/2))))))</f>
        <v>4992.114375</v>
      </c>
      <c r="G40" s="33">
        <f>+IF(Input!$G43=0,0,IF(Input!$G43=30,((G12+Y40)/12),IF(Input!$G43=60,(G12+Y40)/6,IF(Input!$G43=90,(G12+Y40)/4,IF(Input!$G43=120,(G12+Y40)/3,IF(Input!$G43=150,(G12+Y40)*0.416667,(G12+Y40)/2))))))</f>
        <v>5546.239070625001</v>
      </c>
      <c r="H40" s="33">
        <f>+IF(Input!$G43=0,0,IF(Input!$G43=30,((H12+Z40)/12),IF(Input!$G43=60,(H12+Z40)/6,IF(Input!$G43=90,(H12+Z40)/4,IF(Input!$G43=120,(H12+Z40)/3,IF(Input!$G43=150,(H12+Z40)*0.416667,(H12+Z40)/2))))))</f>
        <v>5601.70146133125</v>
      </c>
      <c r="I40" s="15"/>
      <c r="K40" s="16"/>
      <c r="L40" s="17" t="str">
        <f t="shared" si="7"/>
        <v>Mp xProdotto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xProdotto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14618.166666666668</v>
      </c>
      <c r="E41" s="34">
        <f>SUM(E32:E40)</f>
        <v>21408.305083333333</v>
      </c>
      <c r="F41" s="34">
        <f>SUM(F32:F40)</f>
        <v>29190.223981125</v>
      </c>
      <c r="G41" s="34">
        <f>SUM(G32:G40)</f>
        <v>32430.33884302988</v>
      </c>
      <c r="H41" s="34">
        <f>SUM(H32:H40)</f>
        <v>32754.642231460177</v>
      </c>
      <c r="I41" s="15"/>
      <c r="K41" s="16"/>
      <c r="L41" s="12" t="s">
        <v>24</v>
      </c>
      <c r="M41" s="34">
        <f>SUM(M32:M40)</f>
        <v>15708</v>
      </c>
      <c r="N41" s="34">
        <f>SUM(N32:N40)</f>
        <v>23004.365999999998</v>
      </c>
      <c r="O41" s="34">
        <f>SUM(O32:O40)</f>
        <v>31366.453041</v>
      </c>
      <c r="P41" s="34">
        <f>SUM(P32:P40)</f>
        <v>34848.129328551004</v>
      </c>
      <c r="Q41" s="34">
        <f>SUM(Q32:Q40)</f>
        <v>35196.610621836524</v>
      </c>
      <c r="R41" s="15"/>
      <c r="T41" s="16"/>
      <c r="U41" s="12" t="s">
        <v>364</v>
      </c>
      <c r="V41" s="34">
        <f>SUM(V32:V40)</f>
        <v>1309</v>
      </c>
      <c r="W41" s="34">
        <f>SUM(W32:W40)</f>
        <v>1917.0305000000003</v>
      </c>
      <c r="X41" s="34">
        <f>SUM(X32:X40)</f>
        <v>2613.8710867500004</v>
      </c>
      <c r="Y41" s="34">
        <f>SUM(Y32:Y40)</f>
        <v>2904.01077737925</v>
      </c>
      <c r="Z41" s="34">
        <f>SUM(Z32:Z40)</f>
        <v>2933.050885153043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>
        <f>+D31</f>
        <v>2015</v>
      </c>
      <c r="E45" s="13">
        <f>+E31</f>
        <v>2016</v>
      </c>
      <c r="F45" s="13">
        <f>+F31</f>
        <v>2017</v>
      </c>
      <c r="G45" s="13">
        <f>+G31</f>
        <v>2018</v>
      </c>
      <c r="H45" s="13">
        <f>+H31</f>
        <v>2019</v>
      </c>
      <c r="I45" s="36"/>
      <c r="K45" s="16"/>
      <c r="L45" s="12" t="s">
        <v>23</v>
      </c>
      <c r="M45" s="13">
        <f>+M31</f>
        <v>2015</v>
      </c>
      <c r="N45" s="13">
        <f>+N31</f>
        <v>2016</v>
      </c>
      <c r="O45" s="13">
        <f>+O31</f>
        <v>2017</v>
      </c>
      <c r="P45" s="13">
        <f>+P31</f>
        <v>2018</v>
      </c>
      <c r="Q45" s="13">
        <f>+Q31</f>
        <v>2019</v>
      </c>
      <c r="R45" s="36"/>
      <c r="T45" s="16"/>
      <c r="U45" s="12" t="s">
        <v>397</v>
      </c>
      <c r="V45" s="13">
        <f>+V31</f>
        <v>2015</v>
      </c>
      <c r="W45" s="13">
        <f>+W31</f>
        <v>2016</v>
      </c>
      <c r="X45" s="13">
        <f>+X31</f>
        <v>2017</v>
      </c>
      <c r="Y45" s="13">
        <f>+Y31</f>
        <v>2018</v>
      </c>
      <c r="Z45" s="13">
        <f>+Z31</f>
        <v>2019</v>
      </c>
      <c r="AA45" s="36"/>
    </row>
    <row r="46" spans="2:27" ht="15">
      <c r="B46" s="16"/>
      <c r="C46" s="17" t="str">
        <f>+C32</f>
        <v>Mp xProdotto 1</v>
      </c>
      <c r="D46" s="33">
        <f>+IF(Input!$G48=0,0,IF(Input!$G48=30,(V18+M46)/12,IF(Input!$G48=60,(V18+M46)/6,IF(Input!$G48=90,(V18+M46)/4,IF(Input!$G48=120,(V18+M46)/3,IF(Input!$G48=150,(V18+M46)*0.416667,(V18+M46)/2))))))</f>
        <v>260.26666666666665</v>
      </c>
      <c r="E46" s="33">
        <f>+IF(Input!$G48=0,0,IF(Input!$G48=30,(W18+N46)/12,IF(Input!$G48=60,(W18+N46)/6,IF(Input!$G48=90,(W18+N46)/4,IF(Input!$G48=120,(W18+N46)/3,IF(Input!$G48=150,(W18+N46)*0.416667,(W18+N46)/2))))))</f>
        <v>316.09386666666666</v>
      </c>
      <c r="F46" s="33">
        <f>+IF(Input!$G48=0,0,IF(Input!$G48=30,(X18+O46)/12,IF(Input!$G48=60,(X18+O46)/6,IF(Input!$G48=90,(X18+O46)/4,IF(Input!$G48=120,(X18+O46)/3,IF(Input!$G48=150,(X18+O46)*0.416667,(X18+O46)/2))))))</f>
        <v>424.4222538666667</v>
      </c>
      <c r="G46" s="33">
        <f>+IF(Input!$G48=0,0,IF(Input!$G48=30,(Y18+P46)/12,IF(Input!$G48=60,(Y18+P46)/6,IF(Input!$G48=90,(Y18+P46)/4,IF(Input!$G48=120,(Y18+P46)/3,IF(Input!$G48=150,(Y18+P46)*0.416667,(Y18+P46)/2))))))</f>
        <v>447.4723653792</v>
      </c>
      <c r="H46" s="33">
        <f>+IF(Input!$G48=0,0,IF(Input!$G48=30,(Z18+Q46)/12,IF(Input!$G48=60,(Z18+Q46)/6,IF(Input!$G48=90,(Z18+Q46)/4,IF(Input!$G48=120,(Z18+Q46)/3,IF(Input!$G48=150,(Z18+Q46)*0.416667,(Z18+Q46)/2))))))</f>
        <v>438.82435125619196</v>
      </c>
      <c r="I46" s="15"/>
      <c r="K46" s="16"/>
      <c r="L46" s="17" t="str">
        <f>+L32</f>
        <v>Mp xProdotto 1</v>
      </c>
      <c r="M46" s="33">
        <f>+MCL!V18*Input!$E48</f>
        <v>281.6</v>
      </c>
      <c r="N46" s="33">
        <f>+MCL!W18*Input!$E48</f>
        <v>342.0032</v>
      </c>
      <c r="O46" s="33">
        <f>+MCL!X18*Input!$E48</f>
        <v>459.21096320000004</v>
      </c>
      <c r="P46" s="33">
        <f>+MCL!Y18*Input!$E48</f>
        <v>484.1504281152</v>
      </c>
      <c r="Q46" s="33">
        <f>+MCL!Z18*Input!$E48</f>
        <v>474.79356037555203</v>
      </c>
      <c r="R46" s="15"/>
      <c r="T46" s="16"/>
      <c r="U46" s="17" t="str">
        <f>+U32</f>
        <v>Mp xProdotto 1</v>
      </c>
      <c r="V46" s="33">
        <f>+M46/12</f>
        <v>23.46666666666667</v>
      </c>
      <c r="W46" s="33">
        <f aca="true" t="shared" si="10" ref="W46:W54">+N46/12</f>
        <v>28.500266666666665</v>
      </c>
      <c r="X46" s="33">
        <f aca="true" t="shared" si="11" ref="X46:X54">+O46/12</f>
        <v>38.26758026666667</v>
      </c>
      <c r="Y46" s="33">
        <f aca="true" t="shared" si="12" ref="Y46:Y54">+P46/12</f>
        <v>40.3458690096</v>
      </c>
      <c r="Z46" s="33">
        <f aca="true" t="shared" si="13" ref="Z46:Z54">+Q46/12</f>
        <v>39.566130031296005</v>
      </c>
      <c r="AA46" s="15"/>
    </row>
    <row r="47" spans="2:27" ht="15">
      <c r="B47" s="16"/>
      <c r="C47" s="17" t="str">
        <f aca="true" t="shared" si="14" ref="C47:C54">+C33</f>
        <v>Mp xProdotto 2</v>
      </c>
      <c r="D47" s="33">
        <f>+IF(Input!$G49=0,0,IF(Input!$G49=30,(V19+M47)/12,IF(Input!$G49=60,(V19+M47)/6,IF(Input!$G49=90,(V19+M47)/4,IF(Input!$G49=120,(V19+M47)/3,IF(Input!$G49=150,(V19+M47)*0.416667,(V19+M47)/2))))))</f>
        <v>391.41666666666674</v>
      </c>
      <c r="E47" s="33">
        <f>+IF(Input!$G49=0,0,IF(Input!$G49=30,(W19+N47)/12,IF(Input!$G49=60,(W19+N47)/6,IF(Input!$G49=90,(W19+N47)/4,IF(Input!$G49=120,(W19+N47)/3,IF(Input!$G49=150,(W19+N47)*0.416667,(W19+N47)/2))))))</f>
        <v>517.3130416666668</v>
      </c>
      <c r="F47" s="33">
        <f>+IF(Input!$G49=0,0,IF(Input!$G49=30,(X19+O47)/12,IF(Input!$G49=60,(X19+O47)/6,IF(Input!$G49=90,(X19+O47)/4,IF(Input!$G49=120,(X19+O47)/3,IF(Input!$G49=150,(X19+O47)*0.416667,(X19+O47)/2))))))</f>
        <v>699.7087489791669</v>
      </c>
      <c r="G47" s="33">
        <f>+IF(Input!$G49=0,0,IF(Input!$G49=30,(Y19+P47)/12,IF(Input!$G49=60,(Y19+P47)/6,IF(Input!$G49=90,(Y19+P47)/4,IF(Input!$G49=120,(Y19+P47)/3,IF(Input!$G49=150,(Y19+P47)*0.416667,(Y19+P47)/2))))))</f>
        <v>756.6992056366879</v>
      </c>
      <c r="H47" s="33">
        <f>+IF(Input!$G49=0,0,IF(Input!$G49=30,(Z19+Q47)/12,IF(Input!$G49=60,(Z19+Q47)/6,IF(Input!$G49=90,(Z19+Q47)/4,IF(Input!$G49=120,(Z19+Q47)/3,IF(Input!$G49=150,(Z19+Q47)*0.416667,(Z19+Q47)/2))))))</f>
        <v>752.9888449161172</v>
      </c>
      <c r="I47" s="15"/>
      <c r="K47" s="16"/>
      <c r="L47" s="17" t="str">
        <f aca="true" t="shared" si="15" ref="L47:L54">+L33</f>
        <v>Mp xProdotto 2</v>
      </c>
      <c r="M47" s="33">
        <f>+MCL!V19*Input!$E49</f>
        <v>423.50000000000006</v>
      </c>
      <c r="N47" s="33">
        <f>+MCL!W19*Input!$E49</f>
        <v>559.7157500000001</v>
      </c>
      <c r="O47" s="33">
        <f>+MCL!X19*Input!$E49</f>
        <v>757.0619251250002</v>
      </c>
      <c r="P47" s="33">
        <f>+MCL!Y19*Input!$E49</f>
        <v>818.7237306888753</v>
      </c>
      <c r="Q47" s="33">
        <f>+MCL!Z19*Input!$E49</f>
        <v>814.7092420403891</v>
      </c>
      <c r="R47" s="15"/>
      <c r="T47" s="16"/>
      <c r="U47" s="17" t="str">
        <f aca="true" t="shared" si="16" ref="U47:U54">+U33</f>
        <v>Mp xProdotto 2</v>
      </c>
      <c r="V47" s="33">
        <f aca="true" t="shared" si="17" ref="V47:V54">+M47/12</f>
        <v>35.29166666666667</v>
      </c>
      <c r="W47" s="33">
        <f t="shared" si="10"/>
        <v>46.64297916666667</v>
      </c>
      <c r="X47" s="33">
        <f t="shared" si="11"/>
        <v>63.08849376041669</v>
      </c>
      <c r="Y47" s="33">
        <f t="shared" si="12"/>
        <v>68.22697755740627</v>
      </c>
      <c r="Z47" s="33">
        <f t="shared" si="13"/>
        <v>67.89243683669909</v>
      </c>
      <c r="AA47" s="15"/>
    </row>
    <row r="48" spans="2:27" ht="15">
      <c r="B48" s="16"/>
      <c r="C48" s="17" t="str">
        <f t="shared" si="14"/>
        <v>Mp xProdotto 3</v>
      </c>
      <c r="D48" s="33">
        <f>+IF(Input!$G50=0,0,IF(Input!$G50=30,(V20+M48)/12,IF(Input!$G50=60,(V20+M48)/6,IF(Input!$G50=90,(V20+M48)/4,IF(Input!$G50=120,(V20+M48)/3,IF(Input!$G50=150,(V20+M48)*0.416667,(V20+M48)/2))))))</f>
        <v>1174.25</v>
      </c>
      <c r="E48" s="33">
        <f>+IF(Input!$G50=0,0,IF(Input!$G50=30,(W20+N48)/12,IF(Input!$G50=60,(W20+N48)/6,IF(Input!$G50=90,(W20+N48)/4,IF(Input!$G50=120,(W20+N48)/3,IF(Input!$G50=150,(W20+N48)*0.416667,(W20+N48)/2))))))</f>
        <v>1551.939125</v>
      </c>
      <c r="F48" s="33">
        <f>+IF(Input!$G50=0,0,IF(Input!$G50=30,(X20+O48)/12,IF(Input!$G50=60,(X20+O48)/6,IF(Input!$G50=90,(X20+O48)/4,IF(Input!$G50=120,(X20+O48)/3,IF(Input!$G50=150,(X20+O48)*0.416667,(X20+O48)/2))))))</f>
        <v>2099.1262469375</v>
      </c>
      <c r="G48" s="33">
        <f>+IF(Input!$G50=0,0,IF(Input!$G50=30,(Y20+P48)/12,IF(Input!$G50=60,(Y20+P48)/6,IF(Input!$G50=90,(Y20+P48)/4,IF(Input!$G50=120,(Y20+P48)/3,IF(Input!$G50=150,(Y20+P48)*0.416667,(Y20+P48)/2))))))</f>
        <v>2270.097616910063</v>
      </c>
      <c r="H48" s="33">
        <f>+IF(Input!$G50=0,0,IF(Input!$G50=30,(Z20+Q48)/12,IF(Input!$G50=60,(Z20+Q48)/6,IF(Input!$G50=90,(Z20+Q48)/4,IF(Input!$G50=120,(Z20+Q48)/3,IF(Input!$G50=150,(Z20+Q48)*0.416667,(Z20+Q48)/2))))))</f>
        <v>2258.966534748351</v>
      </c>
      <c r="I48" s="15"/>
      <c r="K48" s="16"/>
      <c r="L48" s="17" t="str">
        <f t="shared" si="15"/>
        <v>Mp xProdotto 3</v>
      </c>
      <c r="M48" s="33">
        <f>+MCL!V20*Input!$E50</f>
        <v>1270.5</v>
      </c>
      <c r="N48" s="33">
        <f>+MCL!W20*Input!$E50</f>
        <v>1679.1472500000002</v>
      </c>
      <c r="O48" s="33">
        <f>+MCL!X20*Input!$E50</f>
        <v>2271.185775375</v>
      </c>
      <c r="P48" s="33">
        <f>+MCL!Y20*Input!$E50</f>
        <v>2456.1711920666257</v>
      </c>
      <c r="Q48" s="33">
        <f>+MCL!Z20*Input!$E50</f>
        <v>2444.1277261211667</v>
      </c>
      <c r="R48" s="15"/>
      <c r="T48" s="16"/>
      <c r="U48" s="17" t="str">
        <f t="shared" si="16"/>
        <v>Mp xProdotto 3</v>
      </c>
      <c r="V48" s="33">
        <f t="shared" si="17"/>
        <v>105.875</v>
      </c>
      <c r="W48" s="33">
        <f t="shared" si="10"/>
        <v>139.92893750000002</v>
      </c>
      <c r="X48" s="33">
        <f t="shared" si="11"/>
        <v>189.26548128125</v>
      </c>
      <c r="Y48" s="33">
        <f t="shared" si="12"/>
        <v>204.6809326722188</v>
      </c>
      <c r="Z48" s="33">
        <f t="shared" si="13"/>
        <v>203.67731051009721</v>
      </c>
      <c r="AA48" s="15"/>
    </row>
    <row r="49" spans="2:27" ht="15">
      <c r="B49" s="16"/>
      <c r="C49" s="17" t="str">
        <f t="shared" si="14"/>
        <v>Mp xProdotto 4</v>
      </c>
      <c r="D49" s="33">
        <f>+IF(Input!$G51=0,0,IF(Input!$G51=30,(V21+M49)/12,IF(Input!$G51=60,(V21+M49)/6,IF(Input!$G51=90,(V21+M49)/4,IF(Input!$G51=120,(V21+M49)/3,IF(Input!$G51=150,(V21+M49)*0.416667,(V21+M49)/2))))))</f>
        <v>2168.8888888888887</v>
      </c>
      <c r="E49" s="33">
        <f>+IF(Input!$G51=0,0,IF(Input!$G51=30,(W21+N49)/12,IF(Input!$G51=60,(W21+N49)/6,IF(Input!$G51=90,(W21+N49)/4,IF(Input!$G51=120,(W21+N49)/3,IF(Input!$G51=150,(W21+N49)*0.416667,(W21+N49)/2))))))</f>
        <v>2634.1155555555556</v>
      </c>
      <c r="F49" s="33">
        <f>+IF(Input!$G51=0,0,IF(Input!$G51=30,(X21+O49)/12,IF(Input!$G51=60,(X21+O49)/6,IF(Input!$G51=90,(X21+O49)/4,IF(Input!$G51=120,(X21+O49)/3,IF(Input!$G51=150,(X21+O49)*0.416667,(X21+O49)/2))))))</f>
        <v>3536.852115555556</v>
      </c>
      <c r="G49" s="33">
        <f>+IF(Input!$G51=0,0,IF(Input!$G51=30,(Y21+P49)/12,IF(Input!$G51=60,(Y21+P49)/6,IF(Input!$G51=90,(Y21+P49)/4,IF(Input!$G51=120,(Y21+P49)/3,IF(Input!$G51=150,(Y21+P49)*0.416667,(Y21+P49)/2))))))</f>
        <v>3728.9363781600005</v>
      </c>
      <c r="H49" s="33">
        <f>+IF(Input!$G51=0,0,IF(Input!$G51=30,(Z21+Q49)/12,IF(Input!$G51=60,(Z21+Q49)/6,IF(Input!$G51=90,(Z21+Q49)/4,IF(Input!$G51=120,(Z21+Q49)/3,IF(Input!$G51=150,(Z21+Q49)*0.416667,(Z21+Q49)/2))))))</f>
        <v>3656.8695938016003</v>
      </c>
      <c r="I49" s="15"/>
      <c r="K49" s="16"/>
      <c r="L49" s="17" t="str">
        <f t="shared" si="15"/>
        <v>Mp xProdotto 4</v>
      </c>
      <c r="M49" s="33">
        <f>+MCL!V21*Input!$E51</f>
        <v>2346.6666666666665</v>
      </c>
      <c r="N49" s="33">
        <f>+MCL!W21*Input!$E51</f>
        <v>2850.0266666666666</v>
      </c>
      <c r="O49" s="33">
        <f>+MCL!X21*Input!$E51</f>
        <v>3826.7580266666673</v>
      </c>
      <c r="P49" s="33">
        <f>+MCL!Y21*Input!$E51</f>
        <v>4034.586900960001</v>
      </c>
      <c r="Q49" s="33">
        <f>+MCL!Z21*Input!$E51</f>
        <v>3956.6130031295997</v>
      </c>
      <c r="R49" s="15"/>
      <c r="T49" s="16"/>
      <c r="U49" s="17" t="str">
        <f t="shared" si="16"/>
        <v>Mp xProdotto 4</v>
      </c>
      <c r="V49" s="33">
        <f t="shared" si="17"/>
        <v>195.55555555555554</v>
      </c>
      <c r="W49" s="33">
        <f t="shared" si="10"/>
        <v>237.50222222222223</v>
      </c>
      <c r="X49" s="33">
        <f t="shared" si="11"/>
        <v>318.8965022222223</v>
      </c>
      <c r="Y49" s="33">
        <f t="shared" si="12"/>
        <v>336.21557508000006</v>
      </c>
      <c r="Z49" s="33">
        <f t="shared" si="13"/>
        <v>329.71775026079996</v>
      </c>
      <c r="AA49" s="15"/>
    </row>
    <row r="50" spans="2:27" ht="15">
      <c r="B50" s="16"/>
      <c r="C50" s="17" t="str">
        <f t="shared" si="14"/>
        <v>Mp xProdotto 5</v>
      </c>
      <c r="D50" s="33">
        <f>+IF(Input!$G52=0,0,IF(Input!$G52=30,(V22+M50)/12,IF(Input!$G52=60,(V22+M50)/6,IF(Input!$G52=90,(V22+M50)/4,IF(Input!$G52=120,(V22+M50)/3,IF(Input!$G52=150,(V22+M50)*0.416667,(V22+M50)/2))))))</f>
        <v>1491.111111111111</v>
      </c>
      <c r="E50" s="33">
        <f>+IF(Input!$G52=0,0,IF(Input!$G52=30,(W22+N50)/12,IF(Input!$G52=60,(W22+N50)/6,IF(Input!$G52=90,(W22+N50)/4,IF(Input!$G52=120,(W22+N50)/3,IF(Input!$G52=150,(W22+N50)*0.416667,(W22+N50)/2))))))</f>
        <v>1810.9544444444446</v>
      </c>
      <c r="F50" s="33">
        <f>+IF(Input!$G52=0,0,IF(Input!$G52=30,(X22+O50)/12,IF(Input!$G52=60,(X22+O50)/6,IF(Input!$G52=90,(X22+O50)/4,IF(Input!$G52=120,(X22+O50)/3,IF(Input!$G52=150,(X22+O50)*0.416667,(X22+O50)/2))))))</f>
        <v>2431.5858294444447</v>
      </c>
      <c r="G50" s="33">
        <f>+IF(Input!$G52=0,0,IF(Input!$G52=30,(Y22+P50)/12,IF(Input!$G52=60,(Y22+P50)/6,IF(Input!$G52=90,(Y22+P50)/4,IF(Input!$G52=120,(Y22+P50)/3,IF(Input!$G52=150,(Y22+P50)*0.416667,(Y22+P50)/2))))))</f>
        <v>2563.6437599850015</v>
      </c>
      <c r="H50" s="33">
        <f>+IF(Input!$G52=0,0,IF(Input!$G52=30,(Z22+Q50)/12,IF(Input!$G52=60,(Z22+Q50)/6,IF(Input!$G52=90,(Z22+Q50)/4,IF(Input!$G52=120,(Z22+Q50)/3,IF(Input!$G52=150,(Z22+Q50)*0.416667,(Z22+Q50)/2))))))</f>
        <v>2514.0978457386004</v>
      </c>
      <c r="I50" s="15"/>
      <c r="K50" s="16"/>
      <c r="L50" s="17" t="str">
        <f t="shared" si="15"/>
        <v>Mp xProdotto 5</v>
      </c>
      <c r="M50" s="33">
        <f>+MCL!V22*Input!$E52</f>
        <v>1613.3333333333333</v>
      </c>
      <c r="N50" s="33">
        <f>+MCL!W22*Input!$E52</f>
        <v>1959.3933333333334</v>
      </c>
      <c r="O50" s="33">
        <f>+MCL!X22*Input!$E52</f>
        <v>2630.8961433333334</v>
      </c>
      <c r="P50" s="33">
        <f>+MCL!Y22*Input!$E52</f>
        <v>2773.7784944100013</v>
      </c>
      <c r="Q50" s="33">
        <f>+MCL!Z22*Input!$E52</f>
        <v>2720.1714396516004</v>
      </c>
      <c r="R50" s="15"/>
      <c r="T50" s="16"/>
      <c r="U50" s="17" t="str">
        <f t="shared" si="16"/>
        <v>Mp xProdotto 5</v>
      </c>
      <c r="V50" s="33">
        <f t="shared" si="17"/>
        <v>134.44444444444443</v>
      </c>
      <c r="W50" s="33">
        <f t="shared" si="10"/>
        <v>163.2827777777778</v>
      </c>
      <c r="X50" s="33">
        <f t="shared" si="11"/>
        <v>219.24134527777778</v>
      </c>
      <c r="Y50" s="33">
        <f t="shared" si="12"/>
        <v>231.1482078675001</v>
      </c>
      <c r="Z50" s="33">
        <f t="shared" si="13"/>
        <v>226.68095330430003</v>
      </c>
      <c r="AA50" s="15"/>
    </row>
    <row r="51" spans="2:27" ht="15">
      <c r="B51" s="16"/>
      <c r="C51" s="17" t="str">
        <f t="shared" si="14"/>
        <v>Mp xProdotto 6</v>
      </c>
      <c r="D51" s="33">
        <f>+IF(Input!$G53=0,0,IF(Input!$G53=30,(V23+M51)/12,IF(Input!$G53=60,(V23+M51)/6,IF(Input!$G53=90,(V23+M51)/4,IF(Input!$G53=120,(V23+M51)/3,IF(Input!$G53=150,(V23+M51)*0.416667,(V23+M51)/2))))))</f>
        <v>660.8333333333334</v>
      </c>
      <c r="E51" s="33">
        <f>+IF(Input!$G53=0,0,IF(Input!$G53=30,(W23+N51)/12,IF(Input!$G53=60,(W23+N51)/6,IF(Input!$G53=90,(W23+N51)/4,IF(Input!$G53=120,(W23+N51)/3,IF(Input!$G53=150,(W23+N51)*0.416667,(W23+N51)/2))))))</f>
        <v>916.9570833333333</v>
      </c>
      <c r="F51" s="33">
        <f>+IF(Input!$G53=0,0,IF(Input!$G53=30,(X23+O51)/12,IF(Input!$G53=60,(X23+O51)/6,IF(Input!$G53=90,(X23+O51)/4,IF(Input!$G53=120,(X23+O51)/3,IF(Input!$G53=150,(X23+O51)*0.416667,(X23+O51)/2))))))</f>
        <v>1245.1368164583337</v>
      </c>
      <c r="G51" s="33">
        <f>+IF(Input!$G53=0,0,IF(Input!$G53=30,(Y23+P51)/12,IF(Input!$G53=60,(Y23+P51)/6,IF(Input!$G53=90,(Y23+P51)/4,IF(Input!$G53=120,(Y23+P51)/3,IF(Input!$G53=150,(Y23+P51)*0.416667,(Y23+P51)/2))))))</f>
        <v>1364.5495353768754</v>
      </c>
      <c r="H51" s="33">
        <f>+IF(Input!$G53=0,0,IF(Input!$G53=30,(Z23+Q51)/12,IF(Input!$G53=60,(Z23+Q51)/6,IF(Input!$G53=90,(Z23+Q51)/4,IF(Input!$G53=120,(Z23+Q51)/3,IF(Input!$G53=150,(Z23+Q51)*0.416667,(Z23+Q51)/2))))))</f>
        <v>1367.9428918425194</v>
      </c>
      <c r="I51" s="15"/>
      <c r="K51" s="16"/>
      <c r="L51" s="17" t="str">
        <f t="shared" si="15"/>
        <v>Mp xProdotto 6</v>
      </c>
      <c r="M51" s="33">
        <f>+MCL!V23*Input!$E53</f>
        <v>715</v>
      </c>
      <c r="N51" s="33">
        <f>+MCL!W23*Input!$E53</f>
        <v>992.1175</v>
      </c>
      <c r="O51" s="33">
        <f>+MCL!X23*Input!$E53</f>
        <v>1347.1972112500002</v>
      </c>
      <c r="P51" s="33">
        <f>+MCL!Y23*Input!$E53</f>
        <v>1476.3978579487505</v>
      </c>
      <c r="Q51" s="33">
        <f>+MCL!Z23*Input!$E53</f>
        <v>1480.0693583869881</v>
      </c>
      <c r="R51" s="15"/>
      <c r="T51" s="16"/>
      <c r="U51" s="17" t="str">
        <f t="shared" si="16"/>
        <v>Mp xProdotto 6</v>
      </c>
      <c r="V51" s="33">
        <f t="shared" si="17"/>
        <v>59.583333333333336</v>
      </c>
      <c r="W51" s="33">
        <f t="shared" si="10"/>
        <v>82.67645833333333</v>
      </c>
      <c r="X51" s="33">
        <f t="shared" si="11"/>
        <v>112.26643427083336</v>
      </c>
      <c r="Y51" s="33">
        <f t="shared" si="12"/>
        <v>123.03315482906254</v>
      </c>
      <c r="Z51" s="33">
        <f t="shared" si="13"/>
        <v>123.33911319891568</v>
      </c>
      <c r="AA51" s="15"/>
    </row>
    <row r="52" spans="2:27" ht="15">
      <c r="B52" s="16"/>
      <c r="C52" s="17" t="str">
        <f t="shared" si="14"/>
        <v>Mp xProdotto 7</v>
      </c>
      <c r="D52" s="33">
        <f>+IF(Input!$G54=0,0,IF(Input!$G54=30,(V24+M52)/12,IF(Input!$G54=60,(V24+M52)/6,IF(Input!$G54=90,(V24+M52)/4,IF(Input!$G54=120,(V24+M52)/3,IF(Input!$G54=150,(V24+M52)*0.416667,(V24+M52)/2))))))</f>
        <v>838.7500000000001</v>
      </c>
      <c r="E52" s="33">
        <f>+IF(Input!$G54=0,0,IF(Input!$G54=30,(W24+N52)/12,IF(Input!$G54=60,(W24+N52)/6,IF(Input!$G54=90,(W24+N52)/4,IF(Input!$G54=120,(W24+N52)/3,IF(Input!$G54=150,(W24+N52)*0.416667,(W24+N52)/2))))))</f>
        <v>1060.599375</v>
      </c>
      <c r="F52" s="33">
        <f>+IF(Input!$G54=0,0,IF(Input!$G54=30,(X24+O52)/12,IF(Input!$G54=60,(X24+O52)/6,IF(Input!$G54=90,(X24+O52)/4,IF(Input!$G54=120,(X24+O52)/3,IF(Input!$G54=150,(X24+O52)*0.416667,(X24+O52)/2))))))</f>
        <v>1429.1844978125002</v>
      </c>
      <c r="G52" s="33">
        <f>+IF(Input!$G54=0,0,IF(Input!$G54=30,(Y24+P52)/12,IF(Input!$G54=60,(Y24+P52)/6,IF(Input!$G54=90,(Y24+P52)/4,IF(Input!$G54=120,(Y24+P52)/3,IF(Input!$G54=150,(Y24+P52)*0.416667,(Y24+P52)/2))))))</f>
        <v>1525.792333632188</v>
      </c>
      <c r="H52" s="33">
        <f>+IF(Input!$G54=0,0,IF(Input!$G54=30,(Z24+Q52)/12,IF(Input!$G54=60,(Z24+Q52)/6,IF(Input!$G54=90,(Z24+Q52)/4,IF(Input!$G54=120,(Z24+Q52)/3,IF(Input!$G54=150,(Z24+Q52)*0.416667,(Z24+Q52)/2))))))</f>
        <v>1507.2181986376972</v>
      </c>
      <c r="I52" s="15"/>
      <c r="K52" s="16"/>
      <c r="L52" s="17" t="str">
        <f t="shared" si="15"/>
        <v>Mp xProdotto 7</v>
      </c>
      <c r="M52" s="33">
        <f>+MCL!V24*Input!$E54</f>
        <v>907.5000000000002</v>
      </c>
      <c r="N52" s="33">
        <f>+MCL!W24*Input!$E54</f>
        <v>1147.53375</v>
      </c>
      <c r="O52" s="33">
        <f>+MCL!X24*Input!$E54</f>
        <v>1546.3307681250003</v>
      </c>
      <c r="P52" s="33">
        <f>+MCL!Y24*Input!$E54</f>
        <v>1650.8572790118753</v>
      </c>
      <c r="Q52" s="33">
        <f>+MCL!Z24*Input!$E54</f>
        <v>1630.7606739358691</v>
      </c>
      <c r="R52" s="15"/>
      <c r="T52" s="16"/>
      <c r="U52" s="17" t="str">
        <f t="shared" si="16"/>
        <v>Mp xProdotto 7</v>
      </c>
      <c r="V52" s="33">
        <f t="shared" si="17"/>
        <v>75.62500000000001</v>
      </c>
      <c r="W52" s="33">
        <f t="shared" si="10"/>
        <v>95.6278125</v>
      </c>
      <c r="X52" s="33">
        <f t="shared" si="11"/>
        <v>128.86089734375003</v>
      </c>
      <c r="Y52" s="33">
        <f t="shared" si="12"/>
        <v>137.57143991765628</v>
      </c>
      <c r="Z52" s="33">
        <f t="shared" si="13"/>
        <v>135.8967228279891</v>
      </c>
      <c r="AA52" s="15"/>
    </row>
    <row r="53" spans="2:27" ht="15">
      <c r="B53" s="16"/>
      <c r="C53" s="17" t="str">
        <f t="shared" si="14"/>
        <v>Mp xProdotto 8</v>
      </c>
      <c r="D53" s="33">
        <f>+IF(Input!$G55=0,0,IF(Input!$G55=30,(V25+M53)/12,IF(Input!$G55=60,(V25+M53)/6,IF(Input!$G55=90,(V25+M53)/4,IF(Input!$G55=120,(V25+M53)/3,IF(Input!$G55=150,(V25+M53)*0.416667,(V25+M53)/2))))))</f>
        <v>457.5</v>
      </c>
      <c r="E53" s="33">
        <f>+IF(Input!$G55=0,0,IF(Input!$G55=30,(W25+N53)/12,IF(Input!$G55=60,(W25+N53)/6,IF(Input!$G55=90,(W25+N53)/4,IF(Input!$G55=120,(W25+N53)/3,IF(Input!$G55=150,(W25+N53)*0.416667,(W25+N53)/2))))))</f>
        <v>670.0087500000001</v>
      </c>
      <c r="F53" s="33">
        <f>+IF(Input!$G55=0,0,IF(Input!$G55=30,(X25+O53)/12,IF(Input!$G55=60,(X25+O53)/6,IF(Input!$G55=90,(X25+O53)/4,IF(Input!$G55=120,(X25+O53)/3,IF(Input!$G55=150,(X25+O53)*0.416667,(X25+O53)/2))))))</f>
        <v>913.556930625</v>
      </c>
      <c r="G53" s="33">
        <f>+IF(Input!$G55=0,0,IF(Input!$G55=30,(Y25+P53)/12,IF(Input!$G55=60,(Y25+P53)/6,IF(Input!$G55=90,(Y25+P53)/4,IF(Input!$G55=120,(Y25+P53)/3,IF(Input!$G55=150,(Y25+P53)*0.416667,(Y25+P53)/2))))))</f>
        <v>1014.9617499243753</v>
      </c>
      <c r="H53" s="33">
        <f>+IF(Input!$G55=0,0,IF(Input!$G55=30,(Z25+Q53)/12,IF(Input!$G55=60,(Z25+Q53)/6,IF(Input!$G55=90,(Z25+Q53)/4,IF(Input!$G55=120,(Z25+Q53)/3,IF(Input!$G55=150,(Z25+Q53)*0.416667,(Z25+Q53)/2))))))</f>
        <v>1025.1113674236192</v>
      </c>
      <c r="I53" s="15"/>
      <c r="K53" s="16"/>
      <c r="L53" s="17" t="str">
        <f t="shared" si="15"/>
        <v>Mp xProdotto 8</v>
      </c>
      <c r="M53" s="33">
        <f>+MCL!V25*Input!$E55</f>
        <v>495</v>
      </c>
      <c r="N53" s="33">
        <f>+MCL!W25*Input!$E55</f>
        <v>724.9275000000001</v>
      </c>
      <c r="O53" s="33">
        <f>+MCL!X25*Input!$E55</f>
        <v>988.43864625</v>
      </c>
      <c r="P53" s="33">
        <f>+MCL!Y25*Input!$E55</f>
        <v>1098.1553359837503</v>
      </c>
      <c r="Q53" s="33">
        <f>+MCL!Z25*Input!$E55</f>
        <v>1109.1368893435879</v>
      </c>
      <c r="R53" s="15"/>
      <c r="T53" s="16"/>
      <c r="U53" s="17" t="str">
        <f t="shared" si="16"/>
        <v>Mp xProdotto 8</v>
      </c>
      <c r="V53" s="33">
        <f t="shared" si="17"/>
        <v>41.25</v>
      </c>
      <c r="W53" s="33">
        <f t="shared" si="10"/>
        <v>60.41062500000001</v>
      </c>
      <c r="X53" s="33">
        <f t="shared" si="11"/>
        <v>82.3698871875</v>
      </c>
      <c r="Y53" s="33">
        <f t="shared" si="12"/>
        <v>91.51294466531253</v>
      </c>
      <c r="Z53" s="33">
        <f t="shared" si="13"/>
        <v>92.42807411196566</v>
      </c>
      <c r="AA53" s="15"/>
    </row>
    <row r="54" spans="2:27" ht="15" hidden="1">
      <c r="B54" s="16"/>
      <c r="C54" s="17" t="str">
        <f t="shared" si="14"/>
        <v>Mp xProdotto 9</v>
      </c>
      <c r="D54" s="33">
        <f>+IF(Input!$G56=0,0,IF(Input!$G56=30,(V26+M54)/12,IF(Input!$G56=60,(V26+M54)/6,IF(Input!$G56=90,(V26+M54)/4,IF(Input!$G56=120,(V26+M54)/3,IF(Input!$G56=150,(V26+M54)*0.416667,(V26+M54)/2))))))</f>
        <v>677.0833333333334</v>
      </c>
      <c r="E54" s="33">
        <f>+IF(Input!$G56=0,0,IF(Input!$G56=30,(W26+N54)/12,IF(Input!$G56=60,(W26+N54)/6,IF(Input!$G56=90,(W26+N54)/4,IF(Input!$G56=120,(W26+N54)/3,IF(Input!$G56=150,(W26+N54)*0.416667,(W26+N54)/2))))))</f>
        <v>939.5052083333334</v>
      </c>
      <c r="F54" s="33">
        <f>+IF(Input!$G56=0,0,IF(Input!$G56=30,(X26+O54)/12,IF(Input!$G56=60,(X26+O54)/6,IF(Input!$G56=90,(X26+O54)/4,IF(Input!$G56=120,(X26+O54)/3,IF(Input!$G56=150,(X26+O54)*0.416667,(X26+O54)/2))))))</f>
        <v>1275.7549348958335</v>
      </c>
      <c r="G54" s="33">
        <f>+IF(Input!$G56=0,0,IF(Input!$G56=30,(Y26+P54)/12,IF(Input!$G56=60,(Y26+P54)/6,IF(Input!$G56=90,(Y26+P54)/4,IF(Input!$G56=120,(Y26+P54)/3,IF(Input!$G56=150,(Y26+P54)*0.416667,(Y26+P54)/2))))))</f>
        <v>1398.1040321484377</v>
      </c>
      <c r="H54" s="33">
        <f>+IF(Input!$G56=0,0,IF(Input!$G56=30,(Z26+Q54)/12,IF(Input!$G56=60,(Z26+Q54)/6,IF(Input!$G56=90,(Z26+Q54)/4,IF(Input!$G56=120,(Z26+Q54)/3,IF(Input!$G56=150,(Z26+Q54)*0.416667,(Z26+Q54)/2))))))</f>
        <v>1401.5808318058596</v>
      </c>
      <c r="I54" s="15"/>
      <c r="K54" s="16"/>
      <c r="L54" s="17" t="str">
        <f t="shared" si="15"/>
        <v>Mp xProdotto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xProdotto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8120.099999999999</v>
      </c>
      <c r="E55" s="34">
        <f>SUM(E46:E54)</f>
        <v>10417.486450000002</v>
      </c>
      <c r="F55" s="34">
        <f>SUM(F46:F54)</f>
        <v>14055.328374575</v>
      </c>
      <c r="G55" s="34">
        <f>SUM(G46:G54)</f>
        <v>15070.256977152829</v>
      </c>
      <c r="H55" s="34">
        <f>SUM(H46:H54)</f>
        <v>14923.600460170557</v>
      </c>
      <c r="I55" s="15"/>
      <c r="K55" s="16"/>
      <c r="L55" s="12" t="s">
        <v>25</v>
      </c>
      <c r="M55" s="34">
        <f>SUM(M46:M54)</f>
        <v>8053.099999999999</v>
      </c>
      <c r="N55" s="34">
        <f>SUM(N46:N54)</f>
        <v>10254.864950000001</v>
      </c>
      <c r="O55" s="34">
        <f>SUM(O46:O54)</f>
        <v>13827.079459325003</v>
      </c>
      <c r="P55" s="34">
        <f>SUM(P46:P54)</f>
        <v>14792.821219185082</v>
      </c>
      <c r="Q55" s="34">
        <f>SUM(Q46:Q54)</f>
        <v>14630.381892984753</v>
      </c>
      <c r="R55" s="15"/>
      <c r="T55" s="16"/>
      <c r="U55" s="12" t="s">
        <v>365</v>
      </c>
      <c r="V55" s="34">
        <f>SUM(V46:V54)</f>
        <v>671.0916666666667</v>
      </c>
      <c r="W55" s="34">
        <f>SUM(W46:W54)</f>
        <v>854.5720791666668</v>
      </c>
      <c r="X55" s="34">
        <f>SUM(X46:X54)</f>
        <v>1152.2566216104167</v>
      </c>
      <c r="Y55" s="34">
        <f>SUM(Y46:Y54)</f>
        <v>1232.7351015987567</v>
      </c>
      <c r="Z55" s="34">
        <f>SUM(Z46:Z54)</f>
        <v>1219.198491082063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>
        <f>+D45</f>
        <v>2015</v>
      </c>
      <c r="E59" s="13">
        <f>+E45</f>
        <v>2016</v>
      </c>
      <c r="F59" s="13">
        <f>+F45</f>
        <v>2017</v>
      </c>
      <c r="G59" s="13">
        <f>+G45</f>
        <v>2018</v>
      </c>
      <c r="H59" s="13">
        <f>+H45</f>
        <v>2019</v>
      </c>
      <c r="I59" s="15"/>
      <c r="K59" s="16"/>
      <c r="L59" s="37" t="s">
        <v>37</v>
      </c>
      <c r="M59" s="13">
        <f>+M45</f>
        <v>2015</v>
      </c>
      <c r="N59" s="13">
        <f>+N45</f>
        <v>2016</v>
      </c>
      <c r="O59" s="13">
        <f>+O45</f>
        <v>2017</v>
      </c>
      <c r="P59" s="13">
        <f>+P45</f>
        <v>2018</v>
      </c>
      <c r="Q59" s="13">
        <f>+Q45</f>
        <v>2019</v>
      </c>
      <c r="R59" s="15"/>
    </row>
    <row r="60" spans="2:18" ht="15">
      <c r="B60" s="16"/>
      <c r="C60" s="17" t="str">
        <f>+C46</f>
        <v>Mp xProdotto 1</v>
      </c>
      <c r="D60" s="33">
        <f>+D4+MCL!M32-MCL!D32</f>
        <v>2520.6666666666665</v>
      </c>
      <c r="E60" s="33">
        <f>+E4+MCL!N32-MCL!E32+D32</f>
        <v>4098.849666666667</v>
      </c>
      <c r="F60" s="33">
        <f>+F4+MCL!O32-MCL!F32+E32</f>
        <v>5629.922187166666</v>
      </c>
      <c r="G60" s="33">
        <f>+G4+MCL!P32-MCL!G32+F32</f>
        <v>6405.469815775499</v>
      </c>
      <c r="H60" s="33">
        <f>+H4+MCL!Q32-MCL!H32+G32</f>
        <v>6551.676079318755</v>
      </c>
      <c r="I60" s="15"/>
      <c r="K60" s="16"/>
      <c r="L60" s="17" t="str">
        <f>+L46</f>
        <v>Mp xProdotto 1</v>
      </c>
      <c r="M60" s="33">
        <f>+V18+M46-D46</f>
        <v>1301.3333333333333</v>
      </c>
      <c r="N60" s="33">
        <f>+W18+N46-E46+D46</f>
        <v>1840.736</v>
      </c>
      <c r="O60" s="33">
        <f aca="true" t="shared" si="18" ref="O60:Q68">+X18+O46-F46+E46</f>
        <v>2438.205136</v>
      </c>
      <c r="P60" s="33">
        <f t="shared" si="18"/>
        <v>2661.7840807626667</v>
      </c>
      <c r="Q60" s="33">
        <f t="shared" si="18"/>
        <v>2641.5941216601595</v>
      </c>
      <c r="R60" s="15"/>
    </row>
    <row r="61" spans="2:18" ht="15">
      <c r="B61" s="16"/>
      <c r="C61" s="17" t="str">
        <f aca="true" t="shared" si="19" ref="C61:C68">+C47</f>
        <v>Mp xProdotto 2</v>
      </c>
      <c r="D61" s="33">
        <f>+D5+MCL!M33-MCL!D33</f>
        <v>3150.8333333333335</v>
      </c>
      <c r="E61" s="33">
        <f>+E5+MCL!N33-MCL!E33</f>
        <v>4614.395416666666</v>
      </c>
      <c r="F61" s="33">
        <f>+F5+MCL!O33-MCL!F33</f>
        <v>6291.728150625001</v>
      </c>
      <c r="G61" s="33">
        <f>+G5+MCL!P33-MCL!G33</f>
        <v>6990.109975344378</v>
      </c>
      <c r="H61" s="33">
        <f>+H5+MCL!Q33-MCL!H33</f>
        <v>7060.011075097822</v>
      </c>
      <c r="I61" s="15"/>
      <c r="K61" s="16"/>
      <c r="L61" s="17" t="str">
        <f aca="true" t="shared" si="20" ref="L61:L68">+L47</f>
        <v>Mp xProdotto 2</v>
      </c>
      <c r="M61" s="33">
        <f aca="true" t="shared" si="21" ref="M61:M68">+V19+M47-D47</f>
        <v>1957.0833333333337</v>
      </c>
      <c r="N61" s="33">
        <f aca="true" t="shared" si="22" ref="N61:N68">+W19+N47-E47+D47</f>
        <v>2977.9818750000004</v>
      </c>
      <c r="O61" s="33">
        <f t="shared" si="18"/>
        <v>4015.856786562501</v>
      </c>
      <c r="P61" s="33">
        <f t="shared" si="18"/>
        <v>4483.204777162606</v>
      </c>
      <c r="Q61" s="33">
        <f t="shared" si="18"/>
        <v>4521.643430217274</v>
      </c>
      <c r="R61" s="15"/>
    </row>
    <row r="62" spans="2:18" ht="15">
      <c r="B62" s="16"/>
      <c r="C62" s="17" t="str">
        <f t="shared" si="19"/>
        <v>Mp xProdotto 3</v>
      </c>
      <c r="D62" s="33">
        <f>+D6+MCL!M34-MCL!D34</f>
        <v>9452.5</v>
      </c>
      <c r="E62" s="33">
        <f>+E6+MCL!N34-MCL!E34</f>
        <v>13843.186250000002</v>
      </c>
      <c r="F62" s="33">
        <f>+F6+MCL!O34-MCL!F34</f>
        <v>18875.184451875</v>
      </c>
      <c r="G62" s="33">
        <f>+G6+MCL!P34-MCL!G34</f>
        <v>20970.329926033133</v>
      </c>
      <c r="H62" s="33">
        <f>+H6+MCL!Q34-MCL!H34</f>
        <v>21180.033225293464</v>
      </c>
      <c r="I62" s="15"/>
      <c r="K62" s="16"/>
      <c r="L62" s="17" t="str">
        <f t="shared" si="20"/>
        <v>Mp xProdotto 3</v>
      </c>
      <c r="M62" s="33">
        <f t="shared" si="21"/>
        <v>5871.25</v>
      </c>
      <c r="N62" s="33">
        <f t="shared" si="22"/>
        <v>8933.945625</v>
      </c>
      <c r="O62" s="33">
        <f t="shared" si="18"/>
        <v>12047.570359687503</v>
      </c>
      <c r="P62" s="33">
        <f t="shared" si="18"/>
        <v>13449.614331487815</v>
      </c>
      <c r="Q62" s="33">
        <f t="shared" si="18"/>
        <v>13564.930290651819</v>
      </c>
      <c r="R62" s="15"/>
    </row>
    <row r="63" spans="2:18" ht="15">
      <c r="B63" s="16"/>
      <c r="C63" s="17" t="str">
        <f t="shared" si="19"/>
        <v>Mp xProdotto 4</v>
      </c>
      <c r="D63" s="33">
        <f>+D7+MCL!M35-MCL!D35</f>
        <v>21005.555555555555</v>
      </c>
      <c r="E63" s="33">
        <f>+E7+MCL!N35-MCL!E35</f>
        <v>30762.636111111115</v>
      </c>
      <c r="F63" s="33">
        <f>+F7+MCL!O35-MCL!F35</f>
        <v>41944.8543375</v>
      </c>
      <c r="G63" s="33">
        <f>+G7+MCL!P35-MCL!G35</f>
        <v>46600.7331689625</v>
      </c>
      <c r="H63" s="33">
        <f>+H7+MCL!Q35-MCL!H35</f>
        <v>47066.74050065213</v>
      </c>
      <c r="I63" s="15"/>
      <c r="K63" s="16"/>
      <c r="L63" s="17" t="str">
        <f t="shared" si="20"/>
        <v>Mp xProdotto 4</v>
      </c>
      <c r="M63" s="33">
        <f t="shared" si="21"/>
        <v>10844.444444444443</v>
      </c>
      <c r="N63" s="33">
        <f t="shared" si="22"/>
        <v>15339.466666666665</v>
      </c>
      <c r="O63" s="33">
        <f t="shared" si="18"/>
        <v>20318.376133333335</v>
      </c>
      <c r="P63" s="33">
        <f t="shared" si="18"/>
        <v>22181.53400635556</v>
      </c>
      <c r="Q63" s="33">
        <f t="shared" si="18"/>
        <v>22013.284347168003</v>
      </c>
      <c r="R63" s="15"/>
    </row>
    <row r="64" spans="2:18" ht="15">
      <c r="B64" s="16"/>
      <c r="C64" s="17" t="str">
        <f t="shared" si="19"/>
        <v>Mp xProdotto 5</v>
      </c>
      <c r="D64" s="33">
        <f>+D8+MCL!M36-MCL!D36</f>
        <v>10502.777777777777</v>
      </c>
      <c r="E64" s="33">
        <f>+E8+MCL!N36-MCL!E36</f>
        <v>15381.318055555557</v>
      </c>
      <c r="F64" s="33">
        <f>+F8+MCL!O36-MCL!F36</f>
        <v>20972.427168750004</v>
      </c>
      <c r="G64" s="33">
        <f>+G8+MCL!P36-MCL!G36</f>
        <v>23300.366584481257</v>
      </c>
      <c r="H64" s="33">
        <f>+H8+MCL!Q36-MCL!H36</f>
        <v>23533.37025032607</v>
      </c>
      <c r="I64" s="15"/>
      <c r="K64" s="16"/>
      <c r="L64" s="17" t="str">
        <f t="shared" si="20"/>
        <v>Mp xProdotto 5</v>
      </c>
      <c r="M64" s="33">
        <f t="shared" si="21"/>
        <v>7455.555555555555</v>
      </c>
      <c r="N64" s="33">
        <f t="shared" si="22"/>
        <v>10545.883333333333</v>
      </c>
      <c r="O64" s="33">
        <f t="shared" si="18"/>
        <v>13968.883591666669</v>
      </c>
      <c r="P64" s="33">
        <f t="shared" si="18"/>
        <v>15249.804629369452</v>
      </c>
      <c r="Q64" s="33">
        <f t="shared" si="18"/>
        <v>15134.132988678002</v>
      </c>
      <c r="R64" s="15"/>
    </row>
    <row r="65" spans="2:18" ht="15">
      <c r="B65" s="16"/>
      <c r="C65" s="17" t="str">
        <f t="shared" si="19"/>
        <v>Mp xProdotto 6</v>
      </c>
      <c r="D65" s="33">
        <f>+D9+MCL!M37-MCL!D37</f>
        <v>12603.333333333334</v>
      </c>
      <c r="E65" s="33">
        <f>+E9+MCL!N37-MCL!E37</f>
        <v>18457.581666666665</v>
      </c>
      <c r="F65" s="33">
        <f>+F9+MCL!O37-MCL!F37</f>
        <v>25166.912602500004</v>
      </c>
      <c r="G65" s="33">
        <f>+G9+MCL!P37-MCL!G37</f>
        <v>27960.43990137751</v>
      </c>
      <c r="H65" s="33">
        <f>+H9+MCL!Q37-MCL!H37</f>
        <v>28240.044300391288</v>
      </c>
      <c r="I65" s="15"/>
      <c r="K65" s="16"/>
      <c r="L65" s="17" t="str">
        <f t="shared" si="20"/>
        <v>Mp xProdotto 6</v>
      </c>
      <c r="M65" s="33">
        <f t="shared" si="21"/>
        <v>3304.1666666666665</v>
      </c>
      <c r="N65" s="33">
        <f t="shared" si="22"/>
        <v>5245.61875</v>
      </c>
      <c r="O65" s="33">
        <f t="shared" si="18"/>
        <v>7142.641165625002</v>
      </c>
      <c r="P65" s="33">
        <f t="shared" si="18"/>
        <v>8067.88449334271</v>
      </c>
      <c r="Q65" s="33">
        <f t="shared" si="18"/>
        <v>8204.263994589473</v>
      </c>
      <c r="R65" s="15"/>
    </row>
    <row r="66" spans="2:18" ht="15">
      <c r="B66" s="16"/>
      <c r="C66" s="17" t="str">
        <f t="shared" si="19"/>
        <v>Mp xProdotto 7</v>
      </c>
      <c r="D66" s="33">
        <f>+D10+MCL!M38-MCL!D38</f>
        <v>6301.666666666667</v>
      </c>
      <c r="E66" s="33">
        <f>+E10+MCL!N38-MCL!E38</f>
        <v>9228.790833333333</v>
      </c>
      <c r="F66" s="33">
        <f>+F10+MCL!O38-MCL!F38</f>
        <v>12583.45630125</v>
      </c>
      <c r="G66" s="33">
        <f>+G10+MCL!P38-MCL!G38</f>
        <v>13980.21995068875</v>
      </c>
      <c r="H66" s="33">
        <f>+H10+MCL!Q38-MCL!H38</f>
        <v>14120.02215019564</v>
      </c>
      <c r="I66" s="15"/>
      <c r="K66" s="16"/>
      <c r="L66" s="17" t="str">
        <f t="shared" si="20"/>
        <v>Mp xProdotto 7</v>
      </c>
      <c r="M66" s="33">
        <f t="shared" si="21"/>
        <v>4193.750000000001</v>
      </c>
      <c r="N66" s="33">
        <f t="shared" si="22"/>
        <v>6141.746875000001</v>
      </c>
      <c r="O66" s="33">
        <f t="shared" si="18"/>
        <v>8206.521864062503</v>
      </c>
      <c r="P66" s="33">
        <f t="shared" si="18"/>
        <v>9058.14616597344</v>
      </c>
      <c r="Q66" s="33">
        <f t="shared" si="18"/>
        <v>9061.883326820674</v>
      </c>
      <c r="R66" s="15"/>
    </row>
    <row r="67" spans="2:18" ht="15">
      <c r="B67" s="16"/>
      <c r="C67" s="17" t="str">
        <f t="shared" si="19"/>
        <v>Mp xProdotto 8</v>
      </c>
      <c r="D67" s="33">
        <f>+D11+MCL!M39-MCL!D39</f>
        <v>9452.5</v>
      </c>
      <c r="E67" s="33">
        <f>+E11+MCL!N39-MCL!E39</f>
        <v>13843.186250000002</v>
      </c>
      <c r="F67" s="33">
        <f>+F11+MCL!O39-MCL!F39</f>
        <v>18875.184451875</v>
      </c>
      <c r="G67" s="33">
        <f>+G11+MCL!P39-MCL!G39</f>
        <v>20970.329926033133</v>
      </c>
      <c r="H67" s="33">
        <f>+H11+MCL!Q39-MCL!H39</f>
        <v>21180.033225293464</v>
      </c>
      <c r="I67" s="15"/>
      <c r="K67" s="16"/>
      <c r="L67" s="17" t="str">
        <f t="shared" si="20"/>
        <v>Mp xProdotto 8</v>
      </c>
      <c r="M67" s="33">
        <f t="shared" si="21"/>
        <v>2287.5</v>
      </c>
      <c r="N67" s="33">
        <f t="shared" si="22"/>
        <v>3807.5437500000007</v>
      </c>
      <c r="O67" s="33">
        <f t="shared" si="18"/>
        <v>5237.793403125</v>
      </c>
      <c r="P67" s="33">
        <f t="shared" si="18"/>
        <v>5988.365680246877</v>
      </c>
      <c r="Q67" s="33">
        <f t="shared" si="18"/>
        <v>6140.51858704247</v>
      </c>
      <c r="R67" s="15"/>
    </row>
    <row r="68" spans="2:18" ht="15" hidden="1">
      <c r="B68" s="16"/>
      <c r="C68" s="17" t="str">
        <f t="shared" si="19"/>
        <v>Mp xProdotto 9</v>
      </c>
      <c r="D68" s="33">
        <f>+D12+MCL!M40-MCL!D40</f>
        <v>12500</v>
      </c>
      <c r="E68" s="33">
        <f>+E12+MCL!N40-MCL!E40</f>
        <v>18306.25</v>
      </c>
      <c r="F68" s="33">
        <f>+F12+MCL!O40-MCL!F40</f>
        <v>24960.571875</v>
      </c>
      <c r="G68" s="33">
        <f>+G12+MCL!P40-MCL!G40</f>
        <v>27731.195353125004</v>
      </c>
      <c r="H68" s="33">
        <f>+H12+MCL!Q40-MCL!H40</f>
        <v>28008.507306656255</v>
      </c>
      <c r="I68" s="15"/>
      <c r="K68" s="16"/>
      <c r="L68" s="17" t="str">
        <f t="shared" si="20"/>
        <v>Mp xProdotto 9</v>
      </c>
      <c r="M68" s="33">
        <f t="shared" si="21"/>
        <v>3385.4166666666665</v>
      </c>
      <c r="N68" s="33">
        <f t="shared" si="22"/>
        <v>5374.609375</v>
      </c>
      <c r="O68" s="33">
        <f t="shared" si="18"/>
        <v>7318.2798828125</v>
      </c>
      <c r="P68" s="33">
        <f t="shared" si="18"/>
        <v>8266.27509563802</v>
      </c>
      <c r="Q68" s="33">
        <f t="shared" si="18"/>
        <v>8406.008191177734</v>
      </c>
      <c r="R68" s="15"/>
    </row>
    <row r="69" spans="2:18" ht="15">
      <c r="B69" s="16"/>
      <c r="C69" s="12" t="s">
        <v>36</v>
      </c>
      <c r="D69" s="34">
        <f>SUM(D60:D68)</f>
        <v>87489.83333333333</v>
      </c>
      <c r="E69" s="34">
        <f>SUM(E60:E68)</f>
        <v>128536.19425</v>
      </c>
      <c r="F69" s="34">
        <f>SUM(F60:F68)</f>
        <v>175300.24152654168</v>
      </c>
      <c r="G69" s="34">
        <f>SUM(G60:G68)</f>
        <v>194909.19460182113</v>
      </c>
      <c r="H69" s="34">
        <f>SUM(H60:H68)</f>
        <v>196940.4381132249</v>
      </c>
      <c r="I69" s="15"/>
      <c r="K69" s="16"/>
      <c r="L69" s="12" t="s">
        <v>36</v>
      </c>
      <c r="M69" s="34">
        <f>SUM(M60:M68)</f>
        <v>40600.5</v>
      </c>
      <c r="N69" s="34">
        <f>SUM(N60:N68)</f>
        <v>60207.532250000004</v>
      </c>
      <c r="O69" s="34">
        <f>SUM(O60:O68)</f>
        <v>80694.128322875</v>
      </c>
      <c r="P69" s="34">
        <f>SUM(P60:P68)</f>
        <v>89406.61326033913</v>
      </c>
      <c r="Q69" s="34">
        <f>SUM(Q60:Q68)</f>
        <v>89688.25927800563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368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>
        <f>+D59</f>
        <v>2015</v>
      </c>
      <c r="E73" s="13">
        <f>+E59</f>
        <v>2016</v>
      </c>
      <c r="F73" s="13">
        <f>+F59</f>
        <v>2017</v>
      </c>
      <c r="G73" s="13">
        <f>+G59</f>
        <v>2018</v>
      </c>
      <c r="H73" s="13">
        <f>+H59</f>
        <v>2019</v>
      </c>
      <c r="I73" s="15"/>
    </row>
    <row r="74" spans="2:9" ht="15">
      <c r="B74" s="16"/>
      <c r="C74" s="17" t="s">
        <v>367</v>
      </c>
      <c r="D74" s="33">
        <f>+Input!$D$18</f>
        <v>0</v>
      </c>
      <c r="E74" s="33">
        <f>+Input!$D$18</f>
        <v>0</v>
      </c>
      <c r="F74" s="33">
        <f>+Input!$D$18</f>
        <v>0</v>
      </c>
      <c r="G74" s="33">
        <f>+Input!$D$18</f>
        <v>0</v>
      </c>
      <c r="H74" s="33">
        <f>+Input!$D$18</f>
        <v>0</v>
      </c>
      <c r="I74" s="144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>
        <f>+M59</f>
        <v>2015</v>
      </c>
      <c r="E78" s="13">
        <f>+N59</f>
        <v>2016</v>
      </c>
      <c r="F78" s="13">
        <f>+O59</f>
        <v>2017</v>
      </c>
      <c r="G78" s="13">
        <f>+P59</f>
        <v>2018</v>
      </c>
      <c r="H78" s="13">
        <f>+Q59</f>
        <v>2019</v>
      </c>
      <c r="I78" s="15"/>
    </row>
    <row r="79" spans="2:9" ht="15">
      <c r="B79" s="16"/>
      <c r="C79" s="17" t="s">
        <v>367</v>
      </c>
      <c r="D79" s="33">
        <f>+(D74*Input!$F$18)</f>
        <v>0</v>
      </c>
      <c r="E79" s="33">
        <f>+(E74*Input!$F$18)</f>
        <v>0</v>
      </c>
      <c r="F79" s="33">
        <f>+(F74*Input!$F$18)</f>
        <v>0</v>
      </c>
      <c r="G79" s="33">
        <f>+(G74*Input!$F$18)</f>
        <v>0</v>
      </c>
      <c r="H79" s="33">
        <f>+(H74*Input!$F$18)</f>
        <v>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370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>
        <f>+D78</f>
        <v>2015</v>
      </c>
      <c r="E83" s="13">
        <f>+E78</f>
        <v>2016</v>
      </c>
      <c r="F83" s="13">
        <f>+F78</f>
        <v>2017</v>
      </c>
      <c r="G83" s="13">
        <f>+G78</f>
        <v>2018</v>
      </c>
      <c r="H83" s="13">
        <f>+H78</f>
        <v>2019</v>
      </c>
      <c r="I83" s="15"/>
    </row>
    <row r="84" spans="2:9" ht="15">
      <c r="B84" s="16"/>
      <c r="C84" s="17" t="s">
        <v>367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371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>
        <f>+D83</f>
        <v>2015</v>
      </c>
      <c r="E88" s="13">
        <f>+E83</f>
        <v>2016</v>
      </c>
      <c r="F88" s="13">
        <f>+F83</f>
        <v>2017</v>
      </c>
      <c r="G88" s="13">
        <f>+G83</f>
        <v>2018</v>
      </c>
      <c r="H88" s="13">
        <f>+H83</f>
        <v>2019</v>
      </c>
      <c r="I88" s="15"/>
    </row>
    <row r="89" spans="2:9" ht="15">
      <c r="B89" s="16"/>
      <c r="C89" s="17" t="s">
        <v>367</v>
      </c>
      <c r="D89" s="33">
        <f>+D74+D79-D84</f>
        <v>0</v>
      </c>
      <c r="E89" s="33">
        <f>+E74+E79-E84</f>
        <v>0</v>
      </c>
      <c r="F89" s="33">
        <f>+F74+F79-F84</f>
        <v>0</v>
      </c>
      <c r="G89" s="33">
        <f>+G74+G79-G84</f>
        <v>0</v>
      </c>
      <c r="H89" s="33">
        <f>+H74+H79-H84</f>
        <v>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>
        <f>+Input!E61</f>
        <v>2015</v>
      </c>
      <c r="E3" s="13">
        <f>+Input!F61</f>
        <v>2016</v>
      </c>
      <c r="F3" s="13">
        <f>+Input!G61</f>
        <v>2017</v>
      </c>
      <c r="G3" s="13">
        <f>+Input!H61</f>
        <v>2018</v>
      </c>
      <c r="H3" s="13">
        <f>+Input!I61</f>
        <v>2019</v>
      </c>
      <c r="I3" s="44"/>
      <c r="K3" s="16"/>
      <c r="L3" s="12" t="s">
        <v>57</v>
      </c>
      <c r="M3" s="12">
        <f>+D3</f>
        <v>2015</v>
      </c>
      <c r="N3" s="12">
        <f>+E3</f>
        <v>2016</v>
      </c>
      <c r="O3" s="12">
        <f>+F3</f>
        <v>2017</v>
      </c>
      <c r="P3" s="12">
        <f>+G3</f>
        <v>2018</v>
      </c>
      <c r="Q3" s="12">
        <f>+H3</f>
        <v>2019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23000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</v>
      </c>
      <c r="M4" s="33">
        <f>+Input!E62*Input!$E$65</f>
        <v>5060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2000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</v>
      </c>
      <c r="M5" s="33">
        <f>+Input!E63*Input!$E$65</f>
        <v>440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385</v>
      </c>
      <c r="M6" s="33">
        <f>+Input!$D$21*Input!E21</f>
        <v>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5500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2300</v>
      </c>
      <c r="E10" s="33">
        <f>+IF(D16&gt;=$D$4,0,$D4*Input!$E$70)</f>
        <v>2300</v>
      </c>
      <c r="F10" s="33">
        <f>+IF(E16&gt;=$D$4,0,$D4*Input!$E$70)</f>
        <v>2300</v>
      </c>
      <c r="G10" s="33">
        <f>+IF(F16&gt;=$D$4,0,$D4*Input!$E$70)</f>
        <v>2300</v>
      </c>
      <c r="H10" s="33">
        <f>+IF(G16&gt;=$D$4,0,$D4*Input!$E$70)</f>
        <v>2300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200</v>
      </c>
      <c r="E11" s="33">
        <f>+IF(D17&gt;=$D$5,0,$D5*Input!$E$71)</f>
        <v>200</v>
      </c>
      <c r="F11" s="33">
        <f>+IF(E17&gt;=$D$5,0,$D5*Input!$E$71)</f>
        <v>200</v>
      </c>
      <c r="G11" s="33">
        <f>+IF(F17&gt;=$D$5,0,$D5*Input!$E$71)</f>
        <v>200</v>
      </c>
      <c r="H11" s="33">
        <f>+IF(G17&gt;=$D$5,0,$D5*Input!$E$71)</f>
        <v>200</v>
      </c>
      <c r="I11" s="44"/>
      <c r="K11" s="16"/>
      <c r="L11" s="12" t="s">
        <v>59</v>
      </c>
      <c r="M11" s="12">
        <f>+M3</f>
        <v>2015</v>
      </c>
      <c r="N11" s="12">
        <f>+N3</f>
        <v>2016</v>
      </c>
      <c r="O11" s="12">
        <f>+O3</f>
        <v>2017</v>
      </c>
      <c r="P11" s="12">
        <f>+P3</f>
        <v>2018</v>
      </c>
      <c r="Q11" s="12">
        <f>+Q3</f>
        <v>2019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2300</v>
      </c>
      <c r="E16" s="33">
        <f aca="true" t="shared" si="0" ref="E16:H17">+D16+E10</f>
        <v>4600</v>
      </c>
      <c r="F16" s="33">
        <f t="shared" si="0"/>
        <v>6900</v>
      </c>
      <c r="G16" s="33">
        <f t="shared" si="0"/>
        <v>9200</v>
      </c>
      <c r="H16" s="33">
        <f t="shared" si="0"/>
        <v>11500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200</v>
      </c>
      <c r="E17" s="33">
        <f t="shared" si="0"/>
        <v>400</v>
      </c>
      <c r="F17" s="33">
        <f t="shared" si="0"/>
        <v>600</v>
      </c>
      <c r="G17" s="33">
        <f t="shared" si="0"/>
        <v>800</v>
      </c>
      <c r="H17" s="33">
        <f t="shared" si="0"/>
        <v>1000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>
        <f>+M11</f>
        <v>2015</v>
      </c>
      <c r="N19" s="13">
        <f>+N11</f>
        <v>2016</v>
      </c>
      <c r="O19" s="13">
        <f>+O11</f>
        <v>2017</v>
      </c>
      <c r="P19" s="13">
        <f>+P11</f>
        <v>2018</v>
      </c>
      <c r="Q19" s="13">
        <f>+Q11</f>
        <v>2019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</v>
      </c>
      <c r="M20" s="33">
        <f>+Input!E67</f>
        <v>28060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</v>
      </c>
      <c r="M21" s="33">
        <f>+Input!E68</f>
        <v>2440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385</v>
      </c>
      <c r="M22" s="33">
        <f>+Input!D23</f>
        <v>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30500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2300</v>
      </c>
      <c r="E57" s="33">
        <f t="shared" si="5"/>
        <v>2300</v>
      </c>
      <c r="F57" s="33">
        <f t="shared" si="5"/>
        <v>2300</v>
      </c>
      <c r="G57" s="33">
        <f t="shared" si="5"/>
        <v>2300</v>
      </c>
      <c r="H57" s="33">
        <f t="shared" si="5"/>
        <v>2300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200</v>
      </c>
      <c r="E58" s="33">
        <f t="shared" si="5"/>
        <v>200</v>
      </c>
      <c r="F58" s="33">
        <f t="shared" si="5"/>
        <v>200</v>
      </c>
      <c r="G58" s="33">
        <f t="shared" si="5"/>
        <v>200</v>
      </c>
      <c r="H58" s="33">
        <f t="shared" si="5"/>
        <v>200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2300</v>
      </c>
      <c r="E62" s="45">
        <f aca="true" t="shared" si="6" ref="E62:H63">+E57+D62</f>
        <v>4600</v>
      </c>
      <c r="F62" s="45">
        <f t="shared" si="6"/>
        <v>6900</v>
      </c>
      <c r="G62" s="45">
        <f t="shared" si="6"/>
        <v>9200</v>
      </c>
      <c r="H62" s="45">
        <f t="shared" si="6"/>
        <v>11500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200</v>
      </c>
      <c r="E63" s="45">
        <f t="shared" si="6"/>
        <v>400</v>
      </c>
      <c r="F63" s="45">
        <f t="shared" si="6"/>
        <v>600</v>
      </c>
      <c r="G63" s="45">
        <f t="shared" si="6"/>
        <v>800</v>
      </c>
      <c r="H63" s="45">
        <f t="shared" si="6"/>
        <v>1000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385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385</v>
      </c>
      <c r="D71" s="33">
        <f>+Input!$D$21</f>
        <v>0</v>
      </c>
      <c r="E71" s="33">
        <f>+Input!$D$21</f>
        <v>0</v>
      </c>
      <c r="F71" s="33">
        <f>+Input!$D$21</f>
        <v>0</v>
      </c>
      <c r="G71" s="33">
        <f>+Input!$D$21</f>
        <v>0</v>
      </c>
      <c r="H71" s="33">
        <f>+Input!$D$21</f>
        <v>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387</v>
      </c>
      <c r="D73" s="33" t="e">
        <f>+Input!D21/Input!F21</f>
        <v>#DIV/0!</v>
      </c>
      <c r="E73" s="33" t="e">
        <f>+IF(D75&gt;=Input!$D$21,0,Input!$D$21/Input!$F$21)</f>
        <v>#DIV/0!</v>
      </c>
      <c r="F73" s="33" t="e">
        <f>+IF(E75&gt;=Input!$D$21,0,Input!$D$21/Input!$F$21)</f>
        <v>#DIV/0!</v>
      </c>
      <c r="G73" s="33" t="e">
        <f>+IF(F75&gt;=Input!$D$21,0,Input!$D$21/Input!$F$21)</f>
        <v>#DIV/0!</v>
      </c>
      <c r="H73" s="33" t="e">
        <f>+IF(G75&gt;=Input!$D$21,0,Input!$D$21/Input!$F$21)</f>
        <v>#DIV/0!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386</v>
      </c>
      <c r="D75" s="33" t="e">
        <f>+D73</f>
        <v>#DIV/0!</v>
      </c>
      <c r="E75" s="33" t="e">
        <f>+E73+D75</f>
        <v>#DIV/0!</v>
      </c>
      <c r="F75" s="33" t="e">
        <f>+F73+E75</f>
        <v>#DIV/0!</v>
      </c>
      <c r="G75" s="33" t="e">
        <f>+G73+F75</f>
        <v>#DIV/0!</v>
      </c>
      <c r="H75" s="33" t="e">
        <f>+H73+G75</f>
        <v>#DIV/0!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>
        <f>+Input!E76</f>
        <v>2015</v>
      </c>
      <c r="E3" s="13">
        <f>+Input!F76</f>
        <v>2016</v>
      </c>
      <c r="F3" s="13">
        <f>+Input!G76</f>
        <v>2017</v>
      </c>
      <c r="G3" s="13">
        <f>+Input!H76</f>
        <v>2018</v>
      </c>
      <c r="H3" s="13">
        <f>+Input!I76</f>
        <v>2019</v>
      </c>
      <c r="I3" s="15"/>
    </row>
    <row r="4" spans="2:9" ht="15">
      <c r="B4" s="16"/>
      <c r="C4" s="17" t="s">
        <v>68</v>
      </c>
      <c r="D4" s="33">
        <f>+Input!E79*Input!E77</f>
        <v>20000</v>
      </c>
      <c r="E4" s="33">
        <f>+Input!F79*Input!F77</f>
        <v>20000</v>
      </c>
      <c r="F4" s="33">
        <f>+Input!G79*Input!G77</f>
        <v>20000</v>
      </c>
      <c r="G4" s="33">
        <f>+Input!H79*Input!H77</f>
        <v>20000</v>
      </c>
      <c r="H4" s="33">
        <f>+Input!I79*Input!I77</f>
        <v>20000</v>
      </c>
      <c r="I4" s="15"/>
    </row>
    <row r="5" spans="2:9" ht="15">
      <c r="B5" s="16"/>
      <c r="C5" s="17" t="s">
        <v>69</v>
      </c>
      <c r="D5" s="33">
        <f>+D4*Input!$E$81</f>
        <v>6000</v>
      </c>
      <c r="E5" s="33">
        <f>+E4*Input!$E$81</f>
        <v>6000</v>
      </c>
      <c r="F5" s="33">
        <f>+F4*Input!$E$81</f>
        <v>6000</v>
      </c>
      <c r="G5" s="33">
        <f>+G4*Input!$E$81</f>
        <v>6000</v>
      </c>
      <c r="H5" s="33">
        <f>+H4*Input!$E$81</f>
        <v>6000</v>
      </c>
      <c r="I5" s="15"/>
    </row>
    <row r="6" spans="2:9" ht="15">
      <c r="B6" s="16"/>
      <c r="C6" s="17" t="s">
        <v>70</v>
      </c>
      <c r="D6" s="33">
        <f>+D4*Input!$E$82</f>
        <v>200</v>
      </c>
      <c r="E6" s="33">
        <f>+E4*Input!$E$82</f>
        <v>200</v>
      </c>
      <c r="F6" s="33">
        <f>+F4*Input!$E$82</f>
        <v>200</v>
      </c>
      <c r="G6" s="33">
        <f>+G4*Input!$E$82</f>
        <v>200</v>
      </c>
      <c r="H6" s="33">
        <f>+H4*Input!$E$82</f>
        <v>200</v>
      </c>
      <c r="I6" s="15"/>
    </row>
    <row r="7" spans="2:9" ht="15">
      <c r="B7" s="16"/>
      <c r="C7" s="17" t="s">
        <v>71</v>
      </c>
      <c r="D7" s="33">
        <f>+D4*Input!$E$83</f>
        <v>1500</v>
      </c>
      <c r="E7" s="33">
        <f>+E4*Input!$E$83</f>
        <v>1500</v>
      </c>
      <c r="F7" s="33">
        <f>+F4*Input!$E$83</f>
        <v>1500</v>
      </c>
      <c r="G7" s="33">
        <f>+G4*Input!$E$83</f>
        <v>1500</v>
      </c>
      <c r="H7" s="33">
        <f>+H4*Input!$E$83</f>
        <v>1500</v>
      </c>
      <c r="I7" s="15"/>
    </row>
    <row r="8" spans="2:9" ht="15">
      <c r="B8" s="16"/>
      <c r="C8" s="12" t="s">
        <v>74</v>
      </c>
      <c r="D8" s="50">
        <f>SUM(D4:D7)</f>
        <v>27700</v>
      </c>
      <c r="E8" s="50">
        <f>SUM(E4:E7)</f>
        <v>27700</v>
      </c>
      <c r="F8" s="50">
        <f>SUM(F4:F7)</f>
        <v>27700</v>
      </c>
      <c r="G8" s="50">
        <f>SUM(G4:G7)</f>
        <v>27700</v>
      </c>
      <c r="H8" s="50">
        <f>SUM(H4:H7)</f>
        <v>27700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>
        <f aca="true" t="shared" si="0" ref="D13:H15">+D3</f>
        <v>2015</v>
      </c>
      <c r="E13" s="13">
        <f t="shared" si="0"/>
        <v>2016</v>
      </c>
      <c r="F13" s="13">
        <f t="shared" si="0"/>
        <v>2017</v>
      </c>
      <c r="G13" s="13">
        <f t="shared" si="0"/>
        <v>2018</v>
      </c>
      <c r="H13" s="13">
        <f t="shared" si="0"/>
        <v>2019</v>
      </c>
      <c r="I13" s="15"/>
    </row>
    <row r="14" spans="2:9" ht="15">
      <c r="B14" s="16"/>
      <c r="C14" s="17" t="str">
        <f>+C4</f>
        <v>Retribuzione</v>
      </c>
      <c r="D14" s="45">
        <f t="shared" si="0"/>
        <v>20000</v>
      </c>
      <c r="E14" s="45">
        <f t="shared" si="0"/>
        <v>20000</v>
      </c>
      <c r="F14" s="45">
        <f t="shared" si="0"/>
        <v>20000</v>
      </c>
      <c r="G14" s="45">
        <f t="shared" si="0"/>
        <v>20000</v>
      </c>
      <c r="H14" s="45">
        <f t="shared" si="0"/>
        <v>20000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6000</v>
      </c>
      <c r="E15" s="45">
        <f t="shared" si="0"/>
        <v>6000</v>
      </c>
      <c r="F15" s="45">
        <f t="shared" si="0"/>
        <v>6000</v>
      </c>
      <c r="G15" s="45">
        <f t="shared" si="0"/>
        <v>6000</v>
      </c>
      <c r="H15" s="45">
        <f t="shared" si="0"/>
        <v>6000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200</v>
      </c>
      <c r="E16" s="45">
        <f aca="true" t="shared" si="2" ref="E16:H17">+E6</f>
        <v>200</v>
      </c>
      <c r="F16" s="45">
        <f t="shared" si="2"/>
        <v>200</v>
      </c>
      <c r="G16" s="45">
        <f t="shared" si="2"/>
        <v>200</v>
      </c>
      <c r="H16" s="45">
        <f t="shared" si="2"/>
        <v>200</v>
      </c>
      <c r="I16" s="15"/>
    </row>
    <row r="17" spans="2:9" ht="15">
      <c r="B17" s="16"/>
      <c r="C17" s="17" t="str">
        <f t="shared" si="1"/>
        <v>TFR</v>
      </c>
      <c r="D17" s="45">
        <f t="shared" si="1"/>
        <v>1500</v>
      </c>
      <c r="E17" s="45">
        <f t="shared" si="2"/>
        <v>1500</v>
      </c>
      <c r="F17" s="45">
        <f t="shared" si="2"/>
        <v>1500</v>
      </c>
      <c r="G17" s="45">
        <f t="shared" si="2"/>
        <v>1500</v>
      </c>
      <c r="H17" s="45">
        <f t="shared" si="2"/>
        <v>1500</v>
      </c>
      <c r="I17" s="15"/>
    </row>
    <row r="18" spans="2:9" ht="15">
      <c r="B18" s="16"/>
      <c r="C18" s="12" t="s">
        <v>74</v>
      </c>
      <c r="D18" s="50">
        <f>SUM(D14:D17)</f>
        <v>27700</v>
      </c>
      <c r="E18" s="50">
        <f>SUM(E14:E17)</f>
        <v>27700</v>
      </c>
      <c r="F18" s="50">
        <f>SUM(F14:F17)</f>
        <v>27700</v>
      </c>
      <c r="G18" s="50">
        <f>SUM(G14:G17)</f>
        <v>27700</v>
      </c>
      <c r="H18" s="50">
        <f>SUM(H14:H17)</f>
        <v>27700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325</v>
      </c>
      <c r="D22" s="25">
        <f>+D17</f>
        <v>1500</v>
      </c>
      <c r="E22" s="25">
        <f>+E17</f>
        <v>1500</v>
      </c>
      <c r="F22" s="25">
        <f>+F17</f>
        <v>1500</v>
      </c>
      <c r="G22" s="25">
        <f>+G17</f>
        <v>1500</v>
      </c>
      <c r="H22" s="25">
        <f>+H17</f>
        <v>1500</v>
      </c>
    </row>
    <row r="23" spans="3:8" ht="15">
      <c r="C23" t="s">
        <v>37</v>
      </c>
      <c r="D23" s="25">
        <f>+D18-D22</f>
        <v>26200</v>
      </c>
      <c r="E23" s="25">
        <f>+E18-E22</f>
        <v>26200</v>
      </c>
      <c r="F23" s="25">
        <f>+F18-F22</f>
        <v>26200</v>
      </c>
      <c r="G23" s="25">
        <f>+G18-G22</f>
        <v>26200</v>
      </c>
      <c r="H23" s="25">
        <f>+H18-H22</f>
        <v>26200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2015-04-12T20:35:08Z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