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1075" windowHeight="813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state="hidden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<sst xmlns="http://schemas.openxmlformats.org/spreadsheetml/2006/main" count="768" uniqueCount="402">
  <si>
    <t>Fatturato</t>
  </si>
  <si>
    <t>Aliquota iva</t>
  </si>
  <si>
    <t>Anno 1</t>
  </si>
  <si>
    <t>Anno 2</t>
  </si>
  <si>
    <t>Anno 3</t>
  </si>
  <si>
    <t>Anno 4</t>
  </si>
  <si>
    <t>Anno 5</t>
  </si>
  <si>
    <t>gg giac mag</t>
  </si>
  <si>
    <t>Prodotti</t>
  </si>
  <si>
    <t>Aliquota iva media</t>
  </si>
  <si>
    <t>dilazione Clienti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</si>
  <si>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</si>
  <si>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</si>
  <si>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</si>
  <si>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</si>
  <si>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</si>
  <si>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</si>
  <si>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</si>
  <si>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</si>
  <si>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</si>
  <si>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</si>
  <si>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</si>
  <si>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</si>
  <si>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</si>
  <si>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</si>
  <si>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</si>
  <si>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</si>
  <si>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</si>
  <si>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</si>
  <si>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</si>
  <si>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</si>
  <si>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</si>
  <si>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</si>
  <si>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</si>
  <si>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</si>
  <si>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</si>
  <si>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</si>
  <si>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</si>
  <si>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</si>
  <si>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</si>
  <si>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</si>
  <si>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</si>
  <si>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</si>
  <si>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</si>
  <si>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</si>
  <si>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</si>
  <si>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</si>
  <si>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</si>
  <si>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</si>
  <si>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</si>
  <si>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</si>
  <si>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</si>
  <si>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</si>
  <si>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</si>
  <si>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</si>
  <si>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</si>
  <si>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</si>
  <si>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</si>
  <si>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</si>
  <si>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</si>
  <si>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</si>
  <si>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</si>
  <si>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</si>
  <si>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</si>
  <si>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</si>
  <si>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</si>
  <si>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</si>
  <si>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</si>
  <si>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</si>
  <si>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</si>
  <si>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</si>
  <si>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</si>
  <si>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</si>
  <si>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</si>
  <si>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</si>
  <si>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</si>
  <si>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</si>
  <si>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</si>
  <si>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</si>
  <si>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</si>
  <si>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</si>
  <si>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</si>
  <si>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</si>
  <si>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</si>
  <si>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</si>
  <si>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</si>
  <si>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</si>
  <si>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</si>
  <si>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</si>
  <si>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</si>
  <si>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</si>
  <si>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</si>
  <si>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</si>
  <si>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</si>
  <si>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</si>
  <si>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</si>
  <si>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</si>
  <si>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</si>
  <si>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</si>
  <si>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</si>
  <si>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</si>
  <si>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</si>
  <si>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</si>
  <si>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</si>
  <si>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</si>
  <si>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</si>
  <si>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</si>
  <si>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</si>
  <si>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</si>
  <si>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</si>
  <si>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</si>
  <si>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</si>
  <si>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</si>
  <si>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</si>
  <si>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</si>
  <si>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</si>
  <si>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</si>
  <si>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</si>
  <si>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</si>
  <si>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</si>
  <si>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</si>
  <si>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</si>
  <si>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</si>
  <si>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</si>
  <si>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</si>
  <si>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</si>
  <si>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</si>
  <si>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</si>
  <si>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</si>
  <si>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</si>
  <si>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</si>
  <si>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</si>
  <si>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</si>
  <si>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</si>
  <si>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</si>
  <si>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</si>
  <si>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</si>
  <si>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</si>
  <si>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</si>
  <si>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</si>
  <si>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</si>
  <si>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</si>
  <si>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</si>
  <si>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</si>
  <si>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</si>
  <si>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</si>
  <si>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</si>
  <si>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</si>
  <si>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</si>
  <si>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</si>
  <si>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</si>
  <si>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</si>
  <si>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</si>
  <si>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</si>
  <si>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</si>
  <si>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</si>
  <si>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</si>
  <si>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</si>
  <si>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</si>
  <si>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</si>
  <si>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</si>
  <si>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</si>
  <si>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</si>
  <si>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</si>
  <si>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</si>
  <si>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</si>
  <si>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</si>
  <si>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</si>
  <si>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</si>
  <si>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</si>
  <si>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</si>
  <si>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</si>
  <si>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</si>
  <si>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</si>
  <si>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</si>
  <si>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</si>
  <si>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</si>
  <si>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</si>
  <si>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</si>
  <si>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</si>
  <si>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</si>
  <si>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</si>
  <si>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</si>
  <si>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</si>
  <si>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</si>
  <si>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</si>
  <si>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</si>
  <si>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</si>
  <si>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</si>
  <si>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</si>
  <si>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</si>
  <si>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</si>
  <si>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</si>
  <si>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</si>
  <si>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</si>
  <si>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</si>
  <si>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</si>
  <si>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</si>
  <si>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</si>
  <si>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</si>
  <si>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</si>
  <si>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</si>
  <si>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</si>
  <si>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</si>
  <si>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</si>
  <si>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</si>
  <si>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</si>
  <si>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</si>
  <si>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</si>
  <si>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</si>
  <si>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</si>
  <si>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</si>
  <si>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</si>
  <si>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</si>
  <si>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</si>
  <si>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</si>
  <si>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</si>
  <si>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</si>
  <si>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</si>
  <si>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</si>
  <si>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</si>
  <si>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</si>
  <si>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Premi assicurativi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</si>
  <si>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</si>
  <si>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</si>
  <si>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</si>
  <si>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</si>
  <si>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</si>
  <si>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</si>
  <si>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</si>
  <si>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</si>
  <si>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</si>
  <si>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</si>
  <si>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</si>
  <si>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</si>
  <si>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</si>
  <si>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</si>
  <si>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</si>
  <si>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</si>
  <si>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</si>
  <si>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</si>
  <si>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</si>
  <si>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</si>
  <si>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</si>
  <si>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</si>
  <si>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</si>
  <si>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</si>
  <si>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</si>
  <si>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</si>
  <si>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</si>
  <si>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</si>
  <si>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</si>
  <si>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</si>
  <si>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</si>
  <si>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</si>
  <si>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</si>
  <si>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</si>
  <si>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</si>
  <si>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</si>
  <si>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</si>
  <si>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</si>
  <si>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</si>
  <si>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</si>
  <si>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</si>
  <si>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</si>
  <si>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</si>
  <si>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</si>
  <si>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</si>
  <si>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</si>
  <si>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</si>
  <si>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</si>
  <si>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</si>
  <si>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</si>
  <si>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</si>
  <si>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</si>
  <si>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</si>
  <si>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</si>
  <si>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</si>
  <si>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</si>
  <si>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</si>
  <si>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</si>
  <si>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</si>
  <si>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</si>
  <si>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</si>
  <si>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</si>
  <si>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</si>
  <si>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</si>
  <si>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</si>
  <si>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</si>
  <si>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</si>
  <si>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</si>
  <si>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</si>
  <si>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</si>
  <si>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</si>
  <si>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</si>
  <si>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</si>
  <si>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</si>
  <si>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</si>
  <si>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</si>
  <si>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</si>
  <si>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</si>
  <si>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</si>
  <si>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</si>
  <si>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</si>
  <si>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</si>
  <si>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</si>
  <si>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</si>
  <si>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</si>
  <si>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</si>
  <si>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</si>
  <si>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</si>
  <si>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</si>
  <si>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</si>
  <si>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</si>
  <si>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</si>
  <si>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</si>
  <si>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</si>
  <si>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</si>
  <si>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</si>
  <si>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</si>
  <si>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</si>
  <si>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</si>
  <si>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</si>
  <si>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</si>
  <si>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</si>
  <si>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</si>
  <si>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</si>
  <si>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</si>
  <si>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</si>
  <si>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</si>
  <si>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</si>
  <si>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</si>
  <si>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</si>
  <si>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</si>
  <si>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</si>
  <si>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</si>
  <si>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</si>
  <si>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</si>
  <si>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</si>
  <si>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</si>
  <si>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</si>
  <si>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</si>
  <si>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</si>
  <si>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</si>
  <si>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</si>
  <si>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</si>
  <si>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</si>
  <si>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</si>
  <si>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</si>
  <si>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</si>
  <si>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</si>
  <si>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</si>
  <si>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Royalties Fatturato</t>
  </si>
  <si>
    <t xml:space="preserve">Royalties </t>
  </si>
  <si>
    <t>Acquisti</t>
  </si>
  <si>
    <t>Debito v/Franchisor</t>
  </si>
  <si>
    <t>Uscite Franchisor</t>
  </si>
  <si>
    <t>www.bpexcel.it</t>
  </si>
  <si>
    <t>Margine contribuzione</t>
  </si>
  <si>
    <t>Fidejussione</t>
  </si>
  <si>
    <t xml:space="preserve">      -Fidejussione</t>
  </si>
  <si>
    <t>Mutuo invitalia</t>
  </si>
  <si>
    <t xml:space="preserve">     - Mutuo Invitalia</t>
  </si>
  <si>
    <t>a3</t>
  </si>
  <si>
    <t>Contributo f/perduto</t>
  </si>
  <si>
    <t xml:space="preserve">     - Contributo fondo Perduto</t>
  </si>
  <si>
    <t>Mp iniziali</t>
  </si>
  <si>
    <t>Mp Finali</t>
  </si>
  <si>
    <t>% Margine di contribuzione</t>
  </si>
  <si>
    <t>Fee d'ingresso</t>
  </si>
  <si>
    <t>Fondo ammortamento</t>
  </si>
  <si>
    <t>Ammortamento</t>
  </si>
  <si>
    <t>Amm.ti fee d'ingresso</t>
  </si>
  <si>
    <t>Servizi</t>
  </si>
  <si>
    <t>Prezzo medio Servizio</t>
  </si>
  <si>
    <t xml:space="preserve">          2) Fee d'ingresso</t>
  </si>
  <si>
    <t>Assistenza Infanzia</t>
  </si>
  <si>
    <t>Serivizi</t>
  </si>
  <si>
    <t>Facia oraria 1</t>
  </si>
  <si>
    <t>Facia oraria 2</t>
  </si>
  <si>
    <t>Giorni dil pagamento</t>
  </si>
  <si>
    <t>Consumi Servizio</t>
  </si>
  <si>
    <t>Numero Bambini</t>
  </si>
  <si>
    <t>Altri costi 10</t>
  </si>
  <si>
    <t>Altri costi 11</t>
  </si>
  <si>
    <t>Altri costi 12</t>
  </si>
  <si>
    <t>Altri costi 13</t>
  </si>
  <si>
    <t>Altri costi 14</t>
  </si>
  <si>
    <t>Altri costi 15</t>
  </si>
  <si>
    <t>Altri costi 16</t>
  </si>
  <si>
    <t>Altri costi 17</t>
  </si>
  <si>
    <t>Altri costi 18</t>
  </si>
  <si>
    <t>Asilo Nido</t>
  </si>
  <si>
    <t>Investimenti Materiali (risturtturazione e allestimento)</t>
  </si>
  <si>
    <t>Investimenti Immateriali (presentazione autorizzazioni)</t>
  </si>
  <si>
    <t>Spese Utenze</t>
  </si>
  <si>
    <t>Canoni Affitto</t>
  </si>
  <si>
    <t>(alimenti/bevande)</t>
  </si>
  <si>
    <t>Manutenzioni</t>
  </si>
  <si>
    <t>Altre spese amministrative</t>
  </si>
  <si>
    <t>Consulenze</t>
  </si>
  <si>
    <t>Numero Dipendenti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</si>
</sst>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15" xfId="0" applyNumberFormat="1" applyFont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3" fillId="0" borderId="15" xfId="0" applyNumberFormat="1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26"/>
  <sheetViews>
    <sheetView showGridLines="0" tabSelected="1" zoomScale="110" zoomScaleNormal="110" zoomScalePageLayoutView="0" workbookViewId="0" topLeftCell="A1">
      <pane xSplit="1" ySplit="11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8" sqref="C78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6.71093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8" ht="15">
      <c r="E2" s="6"/>
      <c r="F2" s="135" t="s">
        <v>392</v>
      </c>
      <c r="H2" s="6"/>
    </row>
    <row r="3" spans="3:13" ht="46.5">
      <c r="C3" s="134" t="s">
        <v>357</v>
      </c>
      <c r="E3" s="6" t="s">
        <v>328</v>
      </c>
      <c r="F3" t="s">
        <v>373</v>
      </c>
      <c r="H3" t="s">
        <v>351</v>
      </c>
      <c r="I3" s="126" t="s">
        <v>376</v>
      </c>
      <c r="J3" s="6" t="s">
        <v>329</v>
      </c>
      <c r="K3" s="126" t="s">
        <v>331</v>
      </c>
      <c r="M3" s="2" t="s">
        <v>346</v>
      </c>
    </row>
    <row r="4" ht="15.75" thickBot="1"/>
    <row r="5" spans="2:11" ht="15">
      <c r="B5" s="8"/>
      <c r="C5" s="21" t="s">
        <v>232</v>
      </c>
      <c r="D5" s="9"/>
      <c r="E5" s="9"/>
      <c r="F5" s="9"/>
      <c r="G5" s="9"/>
      <c r="H5" s="9"/>
      <c r="I5" s="10"/>
      <c r="K5" s="6" t="s">
        <v>327</v>
      </c>
    </row>
    <row r="6" spans="2:11" ht="15">
      <c r="B6" s="16"/>
      <c r="C6" s="17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5"/>
      <c r="K6" s="105" t="s">
        <v>324</v>
      </c>
    </row>
    <row r="7" spans="2:11" ht="15">
      <c r="B7" s="16"/>
      <c r="C7" s="17" t="s">
        <v>330</v>
      </c>
      <c r="D7" s="50">
        <f>+'CE'!D55</f>
        <v>37650</v>
      </c>
      <c r="E7" s="50">
        <f>+'CE'!E55</f>
        <v>73363.11461273093</v>
      </c>
      <c r="F7" s="50">
        <f>+'CE'!F55</f>
        <v>99550.59200948032</v>
      </c>
      <c r="G7" s="50">
        <f>+'CE'!G55</f>
        <v>100866.87246191964</v>
      </c>
      <c r="H7" s="50">
        <f>+'CE'!H55</f>
        <v>102209.31486534365</v>
      </c>
      <c r="I7" s="15"/>
      <c r="K7" s="105" t="s">
        <v>325</v>
      </c>
    </row>
    <row r="8" spans="2:11" ht="15">
      <c r="B8" s="16"/>
      <c r="C8" s="17" t="s">
        <v>345</v>
      </c>
      <c r="D8" s="50">
        <f>+'CE'!D63</f>
        <v>15496.203039</v>
      </c>
      <c r="E8" s="50">
        <f>+'CE'!E63</f>
        <v>27862.571772349293</v>
      </c>
      <c r="F8" s="50">
        <f>+'CE'!F63</f>
        <v>36202.574867746516</v>
      </c>
      <c r="G8" s="50">
        <f>+'CE'!G63</f>
        <v>36594.379321170534</v>
      </c>
      <c r="H8" s="50">
        <f>+'CE'!H63</f>
        <v>36994.25586478741</v>
      </c>
      <c r="I8" s="15"/>
      <c r="K8" s="105" t="s">
        <v>280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264</v>
      </c>
      <c r="D10" s="50">
        <f>+IF(SP!C4&gt;0,SP!C4,-SP!C27)</f>
        <v>206.1153390877298</v>
      </c>
      <c r="E10" s="50">
        <f>+IF(SP!D4&gt;0,SP!D4,-SP!D27)</f>
        <v>52802.06817817548</v>
      </c>
      <c r="F10" s="50">
        <f>+IF(SP!E4&gt;0,SP!E4,-SP!E27)</f>
        <v>99657.52811962133</v>
      </c>
      <c r="G10" s="50">
        <f>+IF(SP!F4&gt;0,SP!F4,-SP!F27)</f>
        <v>116235.36764323851</v>
      </c>
      <c r="H10" s="50">
        <f>+IF(SP!G4&gt;0,SP!G4,-SP!G27)</f>
        <v>134010.67650364223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249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237</v>
      </c>
      <c r="D15" s="104" t="s">
        <v>247</v>
      </c>
      <c r="E15" s="17"/>
      <c r="F15" s="17"/>
      <c r="G15" s="17"/>
      <c r="H15" s="17"/>
      <c r="I15" s="15"/>
      <c r="AH15" t="s">
        <v>247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248</v>
      </c>
    </row>
    <row r="17" spans="2:9" ht="15" hidden="1">
      <c r="B17" s="16"/>
      <c r="C17" s="17"/>
      <c r="D17" s="13"/>
      <c r="E17" s="13"/>
      <c r="F17" s="13"/>
      <c r="G17" s="17"/>
      <c r="H17" s="17"/>
      <c r="I17" s="15"/>
    </row>
    <row r="18" spans="2:9" ht="15" hidden="1">
      <c r="B18" s="16"/>
      <c r="C18" s="17"/>
      <c r="D18" s="13"/>
      <c r="E18" s="13"/>
      <c r="F18" s="13"/>
      <c r="G18" s="17"/>
      <c r="H18" s="17"/>
      <c r="I18" s="15"/>
    </row>
    <row r="19" spans="2:9" ht="15" hidden="1">
      <c r="B19" s="16"/>
      <c r="C19" s="17"/>
      <c r="D19" s="17"/>
      <c r="E19" s="17"/>
      <c r="F19" s="17"/>
      <c r="G19" s="17"/>
      <c r="H19" s="17"/>
      <c r="I19" s="15"/>
    </row>
    <row r="20" spans="2:9" ht="15" hidden="1">
      <c r="B20" s="16"/>
      <c r="C20" s="17"/>
      <c r="D20" s="17"/>
      <c r="E20" s="127"/>
      <c r="F20" s="127"/>
      <c r="G20" s="17"/>
      <c r="H20" s="17"/>
      <c r="I20" s="15"/>
    </row>
    <row r="21" spans="2:9" ht="15" hidden="1">
      <c r="B21" s="16"/>
      <c r="C21" s="17"/>
      <c r="D21" s="17"/>
      <c r="E21" s="17"/>
      <c r="F21" s="17"/>
      <c r="G21" s="17"/>
      <c r="H21" s="17"/>
      <c r="I21" s="15"/>
    </row>
    <row r="22" spans="2:10" ht="15" hidden="1">
      <c r="B22" s="16"/>
      <c r="C22" s="17"/>
      <c r="D22" s="13"/>
      <c r="E22" s="13"/>
      <c r="F22" s="13"/>
      <c r="G22" s="13"/>
      <c r="H22" s="13"/>
      <c r="I22" s="142"/>
      <c r="J22" s="17"/>
    </row>
    <row r="23" spans="2:9" ht="15" hidden="1">
      <c r="B23" s="16"/>
      <c r="C23" s="17"/>
      <c r="D23" s="2"/>
      <c r="E23" s="2"/>
      <c r="F23" s="2"/>
      <c r="G23" s="2"/>
      <c r="H23" s="2"/>
      <c r="I23" s="141"/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263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316</v>
      </c>
      <c r="D29" s="2">
        <v>30000</v>
      </c>
      <c r="E29" s="2"/>
      <c r="F29" s="2"/>
      <c r="G29" s="2"/>
      <c r="H29" s="2"/>
      <c r="I29" s="15"/>
    </row>
    <row r="30" spans="2:9" ht="15">
      <c r="B30" s="16"/>
      <c r="C30" s="17" t="s">
        <v>317</v>
      </c>
      <c r="E30" s="2">
        <v>35000</v>
      </c>
      <c r="F30" s="2">
        <v>70000</v>
      </c>
      <c r="G30" s="2">
        <v>100000</v>
      </c>
      <c r="H30" s="2">
        <v>100000</v>
      </c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377</v>
      </c>
      <c r="D33" s="9"/>
      <c r="E33" s="9"/>
      <c r="F33" s="9"/>
      <c r="G33" s="9"/>
      <c r="H33" s="9"/>
      <c r="I33" s="21" t="s">
        <v>374</v>
      </c>
      <c r="J33" s="21"/>
      <c r="K33" s="21"/>
      <c r="L33" s="21"/>
      <c r="M33" s="21"/>
      <c r="N33" s="9"/>
      <c r="O33" s="21" t="s">
        <v>382</v>
      </c>
      <c r="P33" s="21"/>
      <c r="Q33" s="147"/>
      <c r="R33" s="143"/>
      <c r="S33" s="21"/>
      <c r="T33" s="10"/>
    </row>
    <row r="34" spans="1:30" ht="30">
      <c r="A34" s="6"/>
      <c r="B34" s="11"/>
      <c r="C34" s="12" t="s">
        <v>373</v>
      </c>
      <c r="D34" s="12"/>
      <c r="E34" s="22" t="s">
        <v>358</v>
      </c>
      <c r="F34" s="22" t="s">
        <v>1</v>
      </c>
      <c r="G34" s="22" t="s">
        <v>380</v>
      </c>
      <c r="H34" s="14"/>
      <c r="I34" s="13" t="s">
        <v>2</v>
      </c>
      <c r="J34" s="13" t="s">
        <v>3</v>
      </c>
      <c r="K34" s="13" t="s">
        <v>4</v>
      </c>
      <c r="L34" s="13" t="s">
        <v>5</v>
      </c>
      <c r="M34" s="13" t="s">
        <v>6</v>
      </c>
      <c r="N34" s="14"/>
      <c r="O34" s="13" t="s">
        <v>2</v>
      </c>
      <c r="P34" s="13" t="s">
        <v>3</v>
      </c>
      <c r="Q34" s="13" t="s">
        <v>4</v>
      </c>
      <c r="R34" s="13" t="s">
        <v>5</v>
      </c>
      <c r="S34" s="13" t="s">
        <v>6</v>
      </c>
      <c r="T34" s="15"/>
      <c r="AC34" t="s">
        <v>7</v>
      </c>
      <c r="AD34" t="s">
        <v>10</v>
      </c>
    </row>
    <row r="35" spans="2:30" ht="15">
      <c r="B35" s="16"/>
      <c r="C35" s="27" t="s">
        <v>378</v>
      </c>
      <c r="D35" s="12"/>
      <c r="E35" s="23">
        <v>0.95</v>
      </c>
      <c r="F35" s="23">
        <v>0.21</v>
      </c>
      <c r="G35" s="24">
        <v>0</v>
      </c>
      <c r="H35" s="17"/>
      <c r="I35" s="146">
        <f>450*10</f>
        <v>4500</v>
      </c>
      <c r="J35" s="146">
        <f>450*10*1.01</f>
        <v>4545</v>
      </c>
      <c r="K35" s="146">
        <f>450*10*1.01*1.01</f>
        <v>4590.45</v>
      </c>
      <c r="L35" s="146">
        <f>450*10*1.01*1.01*1.01</f>
        <v>4636.3544999999995</v>
      </c>
      <c r="M35" s="146">
        <f>450*10*1.01*1.01*1.01*1.01</f>
        <v>4682.718045</v>
      </c>
      <c r="N35" s="17"/>
      <c r="O35" s="137">
        <v>25</v>
      </c>
      <c r="P35" s="137">
        <v>32</v>
      </c>
      <c r="Q35" s="137">
        <v>35</v>
      </c>
      <c r="R35" s="137">
        <v>35</v>
      </c>
      <c r="S35" s="137">
        <v>35</v>
      </c>
      <c r="T35" s="15"/>
      <c r="AC35" s="1">
        <v>0</v>
      </c>
      <c r="AD35" s="1">
        <v>0</v>
      </c>
    </row>
    <row r="36" spans="2:30" ht="15">
      <c r="B36" s="16"/>
      <c r="C36" s="27" t="s">
        <v>379</v>
      </c>
      <c r="D36" s="12"/>
      <c r="E36" s="23">
        <v>0.95</v>
      </c>
      <c r="F36" s="23">
        <v>0.21</v>
      </c>
      <c r="G36" s="24">
        <v>0</v>
      </c>
      <c r="H36" s="17"/>
      <c r="I36" s="146">
        <f>550*10</f>
        <v>5500</v>
      </c>
      <c r="J36" s="146">
        <f>450*10*1.01</f>
        <v>4545</v>
      </c>
      <c r="K36" s="146">
        <f>450*10*1.01*1.01</f>
        <v>4590.45</v>
      </c>
      <c r="L36" s="146">
        <f>450*10*1.01*1.01*1.01</f>
        <v>4636.3544999999995</v>
      </c>
      <c r="M36" s="146">
        <f>450*10*1.01*1.01*1.01*1.01</f>
        <v>4682.718045</v>
      </c>
      <c r="N36" s="17"/>
      <c r="O36" s="138">
        <v>25</v>
      </c>
      <c r="P36" s="138">
        <v>32</v>
      </c>
      <c r="Q36" s="138">
        <v>35</v>
      </c>
      <c r="R36" s="138">
        <v>35</v>
      </c>
      <c r="S36" s="138">
        <v>35</v>
      </c>
      <c r="T36" s="15"/>
      <c r="AC36" s="1">
        <v>30</v>
      </c>
      <c r="AD36" s="1">
        <v>30</v>
      </c>
    </row>
    <row r="37" spans="2:30" ht="15">
      <c r="B37" s="16"/>
      <c r="C37" s="27"/>
      <c r="D37" s="12"/>
      <c r="E37" s="23">
        <v>0</v>
      </c>
      <c r="F37" s="23">
        <v>0</v>
      </c>
      <c r="G37" s="24">
        <v>0</v>
      </c>
      <c r="H37" s="17"/>
      <c r="I37" s="146"/>
      <c r="J37" s="146"/>
      <c r="K37" s="146"/>
      <c r="L37" s="146"/>
      <c r="M37" s="146"/>
      <c r="N37" s="17"/>
      <c r="O37" s="138"/>
      <c r="P37" s="138"/>
      <c r="Q37" s="138"/>
      <c r="R37" s="138"/>
      <c r="S37" s="138"/>
      <c r="T37" s="15"/>
      <c r="AC37" s="1">
        <v>60</v>
      </c>
      <c r="AD37" s="1">
        <v>60</v>
      </c>
    </row>
    <row r="38" spans="2:30" ht="15">
      <c r="B38" s="16"/>
      <c r="C38" s="27"/>
      <c r="D38" s="12"/>
      <c r="E38" s="23">
        <v>0</v>
      </c>
      <c r="F38" s="23">
        <v>0</v>
      </c>
      <c r="G38" s="24">
        <v>0</v>
      </c>
      <c r="H38" s="17"/>
      <c r="I38" s="146"/>
      <c r="J38" s="146"/>
      <c r="K38" s="146"/>
      <c r="L38" s="146"/>
      <c r="M38" s="146"/>
      <c r="N38" s="17"/>
      <c r="O38" s="138"/>
      <c r="P38" s="138"/>
      <c r="Q38" s="138"/>
      <c r="R38" s="138"/>
      <c r="S38" s="138"/>
      <c r="T38" s="15"/>
      <c r="AC38" s="1">
        <v>90</v>
      </c>
      <c r="AD38" s="1">
        <v>90</v>
      </c>
    </row>
    <row r="39" spans="2:30" ht="15">
      <c r="B39" s="16"/>
      <c r="C39" s="27"/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O39" s="138"/>
      <c r="P39" s="139"/>
      <c r="Q39" s="139"/>
      <c r="R39" s="139"/>
      <c r="S39" s="140"/>
      <c r="T39" s="15"/>
      <c r="AC39" s="1">
        <v>120</v>
      </c>
      <c r="AD39" s="1">
        <v>120</v>
      </c>
    </row>
    <row r="40" spans="2:30" ht="15">
      <c r="B40" s="16"/>
      <c r="C40" s="27"/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O40" s="138"/>
      <c r="P40" s="139"/>
      <c r="Q40" s="139"/>
      <c r="R40" s="139"/>
      <c r="S40" s="140"/>
      <c r="T40" s="15"/>
      <c r="AC40" s="1">
        <v>150</v>
      </c>
      <c r="AD40" s="1">
        <v>150</v>
      </c>
    </row>
    <row r="41" spans="2:30" ht="15">
      <c r="B41" s="16"/>
      <c r="C41" s="27"/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O41" s="138"/>
      <c r="P41" s="139"/>
      <c r="Q41" s="139"/>
      <c r="R41" s="139"/>
      <c r="S41" s="140"/>
      <c r="T41" s="15"/>
      <c r="AC41" s="1">
        <v>180</v>
      </c>
      <c r="AD41" s="1">
        <v>180</v>
      </c>
    </row>
    <row r="42" spans="2:20" ht="15">
      <c r="B42" s="16"/>
      <c r="C42" s="27"/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O42" s="138"/>
      <c r="P42" s="139"/>
      <c r="Q42" s="139"/>
      <c r="R42" s="139"/>
      <c r="S42" s="140"/>
      <c r="T42" s="15"/>
    </row>
    <row r="43" spans="2:20" ht="15">
      <c r="B43" s="16"/>
      <c r="C43" s="27"/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O43" s="138"/>
      <c r="P43" s="139"/>
      <c r="Q43" s="139"/>
      <c r="R43" s="139"/>
      <c r="S43" s="140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381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9</v>
      </c>
      <c r="F47" s="15"/>
      <c r="G47" s="15"/>
      <c r="H47" s="15"/>
      <c r="O47" s="129"/>
    </row>
    <row r="48" spans="2:8" ht="15">
      <c r="B48" s="16"/>
      <c r="C48" s="27" t="str">
        <f>+"Mp x"&amp;C35</f>
        <v>Mp xFacia oraria 1</v>
      </c>
      <c r="D48" s="17" t="s">
        <v>397</v>
      </c>
      <c r="E48" s="38">
        <v>0.21</v>
      </c>
      <c r="F48" s="15"/>
      <c r="G48" s="15"/>
      <c r="H48" s="15"/>
    </row>
    <row r="49" spans="2:8" ht="15">
      <c r="B49" s="16"/>
      <c r="C49" s="27" t="str">
        <f aca="true" t="shared" si="0" ref="C49:C56">+"Mp x"&amp;C36</f>
        <v>Mp xFacia oraria 2</v>
      </c>
      <c r="D49" s="17" t="s">
        <v>397</v>
      </c>
      <c r="E49" s="38">
        <v>0.21</v>
      </c>
      <c r="F49" s="15"/>
      <c r="G49" s="15"/>
      <c r="H49" s="15"/>
    </row>
    <row r="50" spans="2:8" ht="15">
      <c r="B50" s="16"/>
      <c r="C50" s="27" t="str">
        <f t="shared" si="0"/>
        <v>Mp x</v>
      </c>
      <c r="D50" s="17"/>
      <c r="E50" s="38">
        <v>0</v>
      </c>
      <c r="F50" s="15"/>
      <c r="G50" s="15"/>
      <c r="H50" s="15"/>
    </row>
    <row r="51" spans="2:8" ht="15">
      <c r="B51" s="16"/>
      <c r="C51" s="27" t="str">
        <f t="shared" si="0"/>
        <v>Mp x</v>
      </c>
      <c r="D51" s="17"/>
      <c r="E51" s="38">
        <v>0</v>
      </c>
      <c r="F51" s="15"/>
      <c r="G51" s="15"/>
      <c r="H51" s="15"/>
    </row>
    <row r="52" spans="2:8" ht="15">
      <c r="B52" s="16"/>
      <c r="C52" s="27" t="str">
        <f t="shared" si="0"/>
        <v>Mp x</v>
      </c>
      <c r="D52" s="17"/>
      <c r="E52" s="38">
        <v>0</v>
      </c>
      <c r="F52" s="15"/>
      <c r="G52" s="15"/>
      <c r="H52" s="15"/>
    </row>
    <row r="53" spans="2:8" ht="15">
      <c r="B53" s="16"/>
      <c r="C53" s="27" t="str">
        <f t="shared" si="0"/>
        <v>Mp x</v>
      </c>
      <c r="D53" s="17"/>
      <c r="E53" s="38">
        <v>0</v>
      </c>
      <c r="F53" s="15"/>
      <c r="G53" s="15"/>
      <c r="H53" s="15"/>
    </row>
    <row r="54" spans="2:8" ht="15">
      <c r="B54" s="16"/>
      <c r="C54" s="27" t="str">
        <f t="shared" si="0"/>
        <v>Mp x</v>
      </c>
      <c r="D54" s="17"/>
      <c r="E54" s="38">
        <v>0</v>
      </c>
      <c r="F54" s="15"/>
      <c r="G54" s="15"/>
      <c r="H54" s="15"/>
    </row>
    <row r="55" spans="2:8" ht="15">
      <c r="B55" s="16"/>
      <c r="C55" s="27" t="str">
        <f>+"Mp x"&amp;C42</f>
        <v>Mp x</v>
      </c>
      <c r="D55" s="17"/>
      <c r="E55" s="38">
        <v>0</v>
      </c>
      <c r="F55" s="15"/>
      <c r="G55" s="15"/>
      <c r="H55" s="15"/>
    </row>
    <row r="56" spans="2:8" ht="15">
      <c r="B56" s="16"/>
      <c r="C56" s="27" t="str">
        <f t="shared" si="0"/>
        <v>Mp x</v>
      </c>
      <c r="D56" s="17"/>
      <c r="E56" s="38">
        <v>0</v>
      </c>
      <c r="F56" s="15"/>
      <c r="G56" s="15"/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37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393</v>
      </c>
      <c r="D62" s="17"/>
      <c r="E62" s="2">
        <v>110000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394</v>
      </c>
      <c r="D63" s="17"/>
      <c r="E63" s="2">
        <v>10000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40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38</v>
      </c>
      <c r="D67" s="17"/>
      <c r="E67" s="2">
        <f>+E62*1.21</f>
        <v>133100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39</v>
      </c>
      <c r="D68" s="17"/>
      <c r="E68" s="2">
        <f>+E63*1.21</f>
        <v>12100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41</v>
      </c>
      <c r="D70" s="17"/>
      <c r="E70" s="23">
        <v>0.1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42</v>
      </c>
      <c r="D71" s="17"/>
      <c r="E71" s="23">
        <v>0.1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58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401</v>
      </c>
      <c r="D77" s="17"/>
      <c r="E77" s="133">
        <v>3</v>
      </c>
      <c r="F77" s="133">
        <v>3</v>
      </c>
      <c r="G77" s="133">
        <v>3</v>
      </c>
      <c r="H77" s="133">
        <v>3</v>
      </c>
      <c r="I77" s="133">
        <v>3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67</v>
      </c>
      <c r="D79" s="17"/>
      <c r="E79" s="2">
        <v>25000</v>
      </c>
      <c r="F79" s="2">
        <f>+E79*1.01</f>
        <v>25250</v>
      </c>
      <c r="G79" s="2">
        <f>+F79*1.01</f>
        <v>25502.5</v>
      </c>
      <c r="H79" s="2">
        <f>+G79*1.01</f>
        <v>25757.525</v>
      </c>
      <c r="I79" s="2">
        <f>+H79*1.01</f>
        <v>26015.100250000003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59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60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61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70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71</v>
      </c>
      <c r="D89" s="17"/>
      <c r="E89" s="109" t="s">
        <v>85</v>
      </c>
      <c r="F89" s="15"/>
      <c r="AN89" t="s">
        <v>85</v>
      </c>
    </row>
    <row r="90" spans="2:40" ht="15">
      <c r="B90" s="16"/>
      <c r="C90" s="17" t="s">
        <v>72</v>
      </c>
      <c r="D90" s="17"/>
      <c r="E90" s="108">
        <v>0.08</v>
      </c>
      <c r="F90" s="15"/>
      <c r="AN90" t="s">
        <v>86</v>
      </c>
    </row>
    <row r="91" spans="2:40" ht="15">
      <c r="B91" s="16"/>
      <c r="C91" s="17"/>
      <c r="D91" s="17"/>
      <c r="E91" s="17"/>
      <c r="F91" s="15"/>
      <c r="AN91" t="s">
        <v>87</v>
      </c>
    </row>
    <row r="92" spans="2:40" ht="15">
      <c r="B92" s="16"/>
      <c r="C92" s="17" t="s">
        <v>73</v>
      </c>
      <c r="D92" s="17"/>
      <c r="E92" s="110">
        <v>30000</v>
      </c>
      <c r="F92" s="15"/>
      <c r="AN92" t="s">
        <v>88</v>
      </c>
    </row>
    <row r="93" spans="2:40" ht="15">
      <c r="B93" s="16"/>
      <c r="C93" s="17" t="s">
        <v>74</v>
      </c>
      <c r="D93" s="17"/>
      <c r="E93" s="111">
        <v>10</v>
      </c>
      <c r="F93" s="15"/>
      <c r="AN93" t="s">
        <v>89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219</v>
      </c>
      <c r="D97" s="83" t="s">
        <v>220</v>
      </c>
      <c r="E97" s="12" t="s">
        <v>221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395</v>
      </c>
      <c r="D99" s="107">
        <v>0.21</v>
      </c>
      <c r="E99" s="17"/>
      <c r="F99" s="2">
        <f>300*12</f>
        <v>3600</v>
      </c>
      <c r="G99" s="2">
        <f>+F99*1.01</f>
        <v>3636</v>
      </c>
      <c r="H99" s="2">
        <f>+G99*1.01</f>
        <v>3672.36</v>
      </c>
      <c r="I99" s="2">
        <f>+H99*1.01</f>
        <v>3709.0836000000004</v>
      </c>
      <c r="J99" s="2">
        <f>+I99*1.01</f>
        <v>3746.1744360000002</v>
      </c>
      <c r="K99" s="15"/>
    </row>
    <row r="100" spans="2:11" ht="15">
      <c r="B100" s="16"/>
      <c r="C100" s="17" t="s">
        <v>396</v>
      </c>
      <c r="D100" s="107">
        <v>0.21</v>
      </c>
      <c r="E100" s="17"/>
      <c r="F100" s="2">
        <f>5000*12</f>
        <v>60000</v>
      </c>
      <c r="G100" s="2">
        <f>+F100*1.01</f>
        <v>60600</v>
      </c>
      <c r="H100" s="2">
        <f>+G100*1.01</f>
        <v>61206</v>
      </c>
      <c r="I100" s="2">
        <f>+H100*1.01</f>
        <v>61818.06</v>
      </c>
      <c r="J100" s="2">
        <f>+I100*1.01</f>
        <v>62436.2406</v>
      </c>
      <c r="K100" s="15"/>
    </row>
    <row r="101" spans="2:11" ht="15">
      <c r="B101" s="16"/>
      <c r="C101" s="17" t="s">
        <v>222</v>
      </c>
      <c r="D101" s="107">
        <v>0.21</v>
      </c>
      <c r="E101" s="17"/>
      <c r="F101" s="2">
        <v>500</v>
      </c>
      <c r="G101" s="2">
        <f>+F101*1.01</f>
        <v>505</v>
      </c>
      <c r="H101" s="2">
        <f>+G101*1.01</f>
        <v>510.05</v>
      </c>
      <c r="I101" s="2">
        <f>+H101*1.01</f>
        <v>515.1505</v>
      </c>
      <c r="J101" s="2">
        <f>+I101*1.01</f>
        <v>520.302005</v>
      </c>
      <c r="K101" s="15"/>
    </row>
    <row r="102" spans="2:11" ht="15">
      <c r="B102" s="16"/>
      <c r="C102" s="52" t="s">
        <v>398</v>
      </c>
      <c r="D102" s="107">
        <v>0.21</v>
      </c>
      <c r="E102" s="17"/>
      <c r="F102" s="2">
        <f>300*12</f>
        <v>3600</v>
      </c>
      <c r="G102" s="2">
        <f aca="true" t="shared" si="1" ref="G102:J104">+F102*1.01</f>
        <v>3636</v>
      </c>
      <c r="H102" s="2">
        <f t="shared" si="1"/>
        <v>3672.36</v>
      </c>
      <c r="I102" s="2">
        <f t="shared" si="1"/>
        <v>3709.0836000000004</v>
      </c>
      <c r="J102" s="2">
        <f t="shared" si="1"/>
        <v>3746.1744360000002</v>
      </c>
      <c r="K102" s="15"/>
    </row>
    <row r="103" spans="2:11" ht="15">
      <c r="B103" s="16"/>
      <c r="C103" s="52" t="s">
        <v>399</v>
      </c>
      <c r="D103" s="107">
        <v>0.21</v>
      </c>
      <c r="E103" s="17"/>
      <c r="F103" s="2">
        <f>150*12</f>
        <v>1800</v>
      </c>
      <c r="G103" s="2">
        <f t="shared" si="1"/>
        <v>1818</v>
      </c>
      <c r="H103" s="2">
        <f t="shared" si="1"/>
        <v>1836.18</v>
      </c>
      <c r="I103" s="2">
        <f t="shared" si="1"/>
        <v>1854.5418000000002</v>
      </c>
      <c r="J103" s="2">
        <f t="shared" si="1"/>
        <v>1873.0872180000001</v>
      </c>
      <c r="K103" s="15"/>
    </row>
    <row r="104" spans="2:11" ht="15">
      <c r="B104" s="16"/>
      <c r="C104" s="52" t="s">
        <v>400</v>
      </c>
      <c r="D104" s="107">
        <v>0.21</v>
      </c>
      <c r="E104" s="17"/>
      <c r="F104" s="2">
        <f>300*12</f>
        <v>3600</v>
      </c>
      <c r="G104" s="2">
        <f t="shared" si="1"/>
        <v>3636</v>
      </c>
      <c r="H104" s="2">
        <f t="shared" si="1"/>
        <v>3672.36</v>
      </c>
      <c r="I104" s="2">
        <f t="shared" si="1"/>
        <v>3709.0836000000004</v>
      </c>
      <c r="J104" s="2">
        <f t="shared" si="1"/>
        <v>3746.1744360000002</v>
      </c>
      <c r="K104" s="15"/>
    </row>
    <row r="105" spans="2:11" ht="15">
      <c r="B105" s="16"/>
      <c r="C105" s="52" t="s">
        <v>223</v>
      </c>
      <c r="D105" s="107">
        <v>0.21</v>
      </c>
      <c r="E105" s="17"/>
      <c r="F105" s="2"/>
      <c r="G105" s="2"/>
      <c r="H105" s="2"/>
      <c r="I105" s="2"/>
      <c r="J105" s="2"/>
      <c r="K105" s="15"/>
    </row>
    <row r="106" spans="2:11" ht="15">
      <c r="B106" s="16"/>
      <c r="C106" s="52" t="s">
        <v>224</v>
      </c>
      <c r="D106" s="107">
        <v>0.21</v>
      </c>
      <c r="E106" s="17"/>
      <c r="F106" s="2"/>
      <c r="G106" s="2"/>
      <c r="H106" s="2"/>
      <c r="I106" s="2"/>
      <c r="J106" s="2"/>
      <c r="K106" s="15"/>
    </row>
    <row r="107" spans="2:11" ht="15">
      <c r="B107" s="16"/>
      <c r="C107" s="52" t="s">
        <v>225</v>
      </c>
      <c r="D107" s="107">
        <v>0</v>
      </c>
      <c r="E107" s="17"/>
      <c r="F107" s="2"/>
      <c r="G107" s="2"/>
      <c r="H107" s="2"/>
      <c r="I107" s="2"/>
      <c r="J107" s="2"/>
      <c r="K107" s="15"/>
    </row>
    <row r="108" spans="2:11" ht="15">
      <c r="B108" s="16"/>
      <c r="C108" s="52" t="s">
        <v>226</v>
      </c>
      <c r="D108" s="107">
        <v>0.21</v>
      </c>
      <c r="E108" s="17"/>
      <c r="F108" s="2"/>
      <c r="G108" s="2"/>
      <c r="H108" s="2"/>
      <c r="I108" s="2"/>
      <c r="J108" s="2"/>
      <c r="K108" s="15"/>
    </row>
    <row r="109" spans="2:11" ht="15">
      <c r="B109" s="16"/>
      <c r="C109" s="52" t="s">
        <v>227</v>
      </c>
      <c r="D109" s="107">
        <v>0.21</v>
      </c>
      <c r="E109" s="17"/>
      <c r="F109" s="2"/>
      <c r="G109" s="2"/>
      <c r="H109" s="2"/>
      <c r="I109" s="2"/>
      <c r="J109" s="2"/>
      <c r="K109" s="15"/>
    </row>
    <row r="110" spans="2:11" ht="15">
      <c r="B110" s="16"/>
      <c r="C110" s="52" t="s">
        <v>228</v>
      </c>
      <c r="D110" s="107">
        <v>0</v>
      </c>
      <c r="E110" s="17"/>
      <c r="F110" s="2"/>
      <c r="G110" s="2"/>
      <c r="H110" s="2"/>
      <c r="I110" s="2"/>
      <c r="J110" s="2"/>
      <c r="K110" s="15"/>
    </row>
    <row r="111" spans="2:11" ht="15">
      <c r="B111" s="16"/>
      <c r="C111" s="52" t="s">
        <v>383</v>
      </c>
      <c r="D111" s="107">
        <v>0</v>
      </c>
      <c r="E111" s="17"/>
      <c r="F111" s="2"/>
      <c r="G111" s="2"/>
      <c r="H111" s="2"/>
      <c r="I111" s="2"/>
      <c r="J111" s="2"/>
      <c r="K111" s="15"/>
    </row>
    <row r="112" spans="2:11" ht="15">
      <c r="B112" s="16"/>
      <c r="C112" s="52" t="s">
        <v>384</v>
      </c>
      <c r="D112" s="144">
        <f>+F18</f>
        <v>0</v>
      </c>
      <c r="E112" s="17"/>
      <c r="F112" s="145"/>
      <c r="G112" s="145"/>
      <c r="H112" s="145"/>
      <c r="I112" s="145"/>
      <c r="J112" s="145"/>
      <c r="K112" s="15"/>
    </row>
    <row r="113" spans="2:11" ht="15">
      <c r="B113" s="16"/>
      <c r="C113" s="52" t="s">
        <v>385</v>
      </c>
      <c r="D113" s="107">
        <v>0</v>
      </c>
      <c r="E113" s="17"/>
      <c r="F113" s="2"/>
      <c r="G113" s="2"/>
      <c r="H113" s="2"/>
      <c r="I113" s="2"/>
      <c r="J113" s="2"/>
      <c r="K113" s="15"/>
    </row>
    <row r="114" spans="2:11" ht="15">
      <c r="B114" s="16"/>
      <c r="C114" s="52" t="s">
        <v>386</v>
      </c>
      <c r="D114" s="107">
        <v>0</v>
      </c>
      <c r="E114" s="17"/>
      <c r="F114" s="2"/>
      <c r="G114" s="2"/>
      <c r="H114" s="2"/>
      <c r="I114" s="2"/>
      <c r="J114" s="2"/>
      <c r="K114" s="15"/>
    </row>
    <row r="115" spans="2:11" ht="15">
      <c r="B115" s="16"/>
      <c r="C115" s="52" t="s">
        <v>387</v>
      </c>
      <c r="D115" s="107">
        <v>0</v>
      </c>
      <c r="E115" s="17"/>
      <c r="F115" s="2"/>
      <c r="G115" s="2"/>
      <c r="H115" s="2"/>
      <c r="I115" s="2"/>
      <c r="J115" s="2"/>
      <c r="K115" s="15"/>
    </row>
    <row r="116" spans="2:11" ht="15">
      <c r="B116" s="16"/>
      <c r="C116" s="52" t="s">
        <v>388</v>
      </c>
      <c r="D116" s="107">
        <v>0</v>
      </c>
      <c r="E116" s="17"/>
      <c r="F116" s="2"/>
      <c r="G116" s="2"/>
      <c r="H116" s="2"/>
      <c r="I116" s="2"/>
      <c r="J116" s="2"/>
      <c r="K116" s="15"/>
    </row>
    <row r="117" spans="2:11" ht="15">
      <c r="B117" s="16"/>
      <c r="C117" s="52" t="s">
        <v>389</v>
      </c>
      <c r="D117" s="107">
        <v>0</v>
      </c>
      <c r="E117" s="17"/>
      <c r="F117" s="2"/>
      <c r="G117" s="2"/>
      <c r="H117" s="2"/>
      <c r="I117" s="2"/>
      <c r="J117" s="2"/>
      <c r="K117" s="15"/>
    </row>
    <row r="118" spans="2:11" ht="15">
      <c r="B118" s="16"/>
      <c r="C118" s="52" t="s">
        <v>390</v>
      </c>
      <c r="D118" s="107">
        <v>0</v>
      </c>
      <c r="E118" s="17"/>
      <c r="F118" s="2"/>
      <c r="G118" s="2"/>
      <c r="H118" s="2"/>
      <c r="I118" s="2"/>
      <c r="J118" s="2"/>
      <c r="K118" s="15"/>
    </row>
    <row r="119" spans="2:11" ht="15">
      <c r="B119" s="16"/>
      <c r="C119" s="52" t="s">
        <v>391</v>
      </c>
      <c r="D119" s="107">
        <v>0</v>
      </c>
      <c r="E119" s="17"/>
      <c r="F119" s="2"/>
      <c r="G119" s="2"/>
      <c r="H119" s="2"/>
      <c r="I119" s="2"/>
      <c r="J119" s="2"/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2" spans="2:5" ht="15" hidden="1">
      <c r="B122" s="8"/>
      <c r="C122" s="9"/>
      <c r="D122" s="9"/>
      <c r="E122" s="10"/>
    </row>
    <row r="123" spans="2:5" ht="15" hidden="1">
      <c r="B123" s="16"/>
      <c r="C123" s="17"/>
      <c r="D123" s="107"/>
      <c r="E123" s="15"/>
    </row>
    <row r="124" spans="2:5" ht="15" hidden="1">
      <c r="B124" s="16"/>
      <c r="C124" s="17"/>
      <c r="D124" s="17"/>
      <c r="E124" s="15"/>
    </row>
    <row r="125" spans="2:5" ht="15" hidden="1">
      <c r="B125" s="16"/>
      <c r="C125" s="17"/>
      <c r="D125" s="107"/>
      <c r="E125" s="15"/>
    </row>
    <row r="126" spans="2:5" ht="15.75" hidden="1" thickBot="1">
      <c r="B126" s="18"/>
      <c r="C126" s="19"/>
      <c r="D126" s="19"/>
      <c r="E126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13" sqref="E13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85</v>
      </c>
      <c r="FZ2" s="75">
        <v>1</v>
      </c>
      <c r="GA2" s="75"/>
      <c r="GB2" s="75"/>
      <c r="GC2" s="75" t="s">
        <v>129</v>
      </c>
      <c r="GD2" s="75">
        <f>VLOOKUP(C4,$FY$2:$FZ$38,2,FALSE)</f>
        <v>3</v>
      </c>
      <c r="GE2" s="75" t="s">
        <v>130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76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86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131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71</v>
      </c>
      <c r="C4" s="58" t="s">
        <v>363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87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77</v>
      </c>
      <c r="B5" s="57" t="s">
        <v>72</v>
      </c>
      <c r="C5" s="59">
        <f>+Input!H141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88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78</v>
      </c>
      <c r="C6" s="60" t="s">
        <v>363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89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73</v>
      </c>
      <c r="C7" s="62">
        <f>+Input!D141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90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79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91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74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92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80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93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94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81</v>
      </c>
      <c r="C12" s="67" t="str">
        <f>IF(C8=1,"annuale",IF(C8=2,"semestrale",IF(C8=3,"quadrimestrale",IF(C8=4,"trimestrale"))))</f>
        <v>annuale</v>
      </c>
      <c r="D12" s="132">
        <f>((1+C5)^(1/C8))-1</f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95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96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82</v>
      </c>
      <c r="C14" s="67" t="str">
        <f>C12</f>
        <v>annuale</v>
      </c>
      <c r="D14" s="69" t="e">
        <f>C7/((1-(1+D12)^(-C10))/D12)</f>
        <v>#DIV/0!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97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98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83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99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84</v>
      </c>
      <c r="C17" s="72"/>
      <c r="D17" s="72"/>
      <c r="E17" s="72" t="s">
        <v>85</v>
      </c>
      <c r="F17" s="72" t="s">
        <v>86</v>
      </c>
      <c r="G17" s="72" t="s">
        <v>87</v>
      </c>
      <c r="H17" s="72" t="s">
        <v>88</v>
      </c>
      <c r="I17" s="72" t="s">
        <v>89</v>
      </c>
      <c r="J17" s="72" t="s">
        <v>90</v>
      </c>
      <c r="K17" s="72" t="s">
        <v>91</v>
      </c>
      <c r="L17" s="72" t="s">
        <v>92</v>
      </c>
      <c r="M17" s="72" t="s">
        <v>93</v>
      </c>
      <c r="N17" s="72" t="s">
        <v>94</v>
      </c>
      <c r="O17" s="72" t="s">
        <v>95</v>
      </c>
      <c r="P17" s="72" t="s">
        <v>96</v>
      </c>
      <c r="Q17" s="72" t="s">
        <v>97</v>
      </c>
      <c r="R17" s="72" t="s">
        <v>98</v>
      </c>
      <c r="S17" s="72" t="s">
        <v>99</v>
      </c>
      <c r="T17" s="72" t="s">
        <v>100</v>
      </c>
      <c r="U17" s="72" t="s">
        <v>101</v>
      </c>
      <c r="V17" s="72" t="s">
        <v>102</v>
      </c>
      <c r="W17" s="72" t="s">
        <v>103</v>
      </c>
      <c r="X17" s="72" t="s">
        <v>104</v>
      </c>
      <c r="Y17" s="72" t="s">
        <v>105</v>
      </c>
      <c r="Z17" s="72" t="s">
        <v>106</v>
      </c>
      <c r="AA17" s="72" t="s">
        <v>107</v>
      </c>
      <c r="AB17" s="72" t="s">
        <v>108</v>
      </c>
      <c r="AC17" s="72" t="s">
        <v>109</v>
      </c>
      <c r="AD17" s="72" t="s">
        <v>110</v>
      </c>
      <c r="AE17" s="72" t="s">
        <v>111</v>
      </c>
      <c r="AF17" s="72" t="s">
        <v>112</v>
      </c>
      <c r="AG17" s="72" t="s">
        <v>113</v>
      </c>
      <c r="AH17" s="72" t="s">
        <v>114</v>
      </c>
      <c r="AI17" s="72" t="s">
        <v>115</v>
      </c>
      <c r="AJ17" s="72" t="s">
        <v>116</v>
      </c>
      <c r="AK17" s="72" t="s">
        <v>117</v>
      </c>
      <c r="AL17" s="72" t="s">
        <v>118</v>
      </c>
      <c r="AM17" s="72" t="s">
        <v>119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100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101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102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103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104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124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105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106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107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4" ref="E25:AM25">+E17</f>
        <v>A1</v>
      </c>
      <c r="F25" s="74" t="str">
        <f t="shared" si="4"/>
        <v>A2</v>
      </c>
      <c r="G25" s="74" t="str">
        <f t="shared" si="4"/>
        <v>A3</v>
      </c>
      <c r="H25" s="74" t="str">
        <f t="shared" si="4"/>
        <v>A4</v>
      </c>
      <c r="I25" s="74" t="str">
        <f t="shared" si="4"/>
        <v>A5</v>
      </c>
      <c r="J25" s="74" t="str">
        <f t="shared" si="4"/>
        <v>A6</v>
      </c>
      <c r="K25" s="74" t="str">
        <f t="shared" si="4"/>
        <v>A7</v>
      </c>
      <c r="L25" s="74" t="str">
        <f t="shared" si="4"/>
        <v>A8</v>
      </c>
      <c r="M25" s="74" t="str">
        <f t="shared" si="4"/>
        <v>A9</v>
      </c>
      <c r="N25" s="74" t="str">
        <f t="shared" si="4"/>
        <v>A10</v>
      </c>
      <c r="O25" s="74" t="str">
        <f t="shared" si="4"/>
        <v>A11</v>
      </c>
      <c r="P25" s="74" t="str">
        <f t="shared" si="4"/>
        <v>A12</v>
      </c>
      <c r="Q25" s="74" t="str">
        <f t="shared" si="4"/>
        <v>A13</v>
      </c>
      <c r="R25" s="74" t="str">
        <f t="shared" si="4"/>
        <v>A14</v>
      </c>
      <c r="S25" s="74" t="str">
        <f t="shared" si="4"/>
        <v>A15</v>
      </c>
      <c r="T25" s="74" t="str">
        <f t="shared" si="4"/>
        <v>A16</v>
      </c>
      <c r="U25" s="74" t="str">
        <f t="shared" si="4"/>
        <v>A17</v>
      </c>
      <c r="V25" s="74" t="str">
        <f t="shared" si="4"/>
        <v>A18</v>
      </c>
      <c r="W25" s="74" t="str">
        <f t="shared" si="4"/>
        <v>A19</v>
      </c>
      <c r="X25" s="74" t="str">
        <f t="shared" si="4"/>
        <v>A20</v>
      </c>
      <c r="Y25" s="74" t="str">
        <f t="shared" si="4"/>
        <v>A21</v>
      </c>
      <c r="Z25" s="74" t="str">
        <f t="shared" si="4"/>
        <v>A22</v>
      </c>
      <c r="AA25" s="74" t="str">
        <f t="shared" si="4"/>
        <v>A23</v>
      </c>
      <c r="AB25" s="74" t="str">
        <f t="shared" si="4"/>
        <v>A24</v>
      </c>
      <c r="AC25" s="74" t="str">
        <f t="shared" si="4"/>
        <v>A25</v>
      </c>
      <c r="AD25" s="74" t="str">
        <f t="shared" si="4"/>
        <v>A26</v>
      </c>
      <c r="AE25" s="74" t="str">
        <f t="shared" si="4"/>
        <v>A27</v>
      </c>
      <c r="AF25" s="74" t="str">
        <f t="shared" si="4"/>
        <v>A28</v>
      </c>
      <c r="AG25" s="74" t="str">
        <f t="shared" si="4"/>
        <v>A29</v>
      </c>
      <c r="AH25" s="74" t="str">
        <f t="shared" si="4"/>
        <v>A30</v>
      </c>
      <c r="AI25" s="74" t="str">
        <f t="shared" si="4"/>
        <v>A31</v>
      </c>
      <c r="AJ25" s="74" t="str">
        <f t="shared" si="4"/>
        <v>A32</v>
      </c>
      <c r="AK25" s="74" t="str">
        <f t="shared" si="4"/>
        <v>A33</v>
      </c>
      <c r="AL25" s="74" t="str">
        <f t="shared" si="4"/>
        <v>A34</v>
      </c>
      <c r="AM25" s="74" t="str">
        <f t="shared" si="4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108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125</v>
      </c>
      <c r="B26" s="71" t="s">
        <v>126</v>
      </c>
      <c r="C26" s="54"/>
      <c r="D26" s="69">
        <f aca="true" t="shared" si="5" ref="D26:I26">+D22-D28</f>
        <v>0</v>
      </c>
      <c r="E26" s="69">
        <f t="shared" si="5"/>
        <v>0</v>
      </c>
      <c r="F26" s="69">
        <f>+F22-F28</f>
        <v>0</v>
      </c>
      <c r="G26" s="69">
        <f t="shared" si="5"/>
        <v>0</v>
      </c>
      <c r="H26" s="69">
        <f t="shared" si="5"/>
        <v>0</v>
      </c>
      <c r="I26" s="69">
        <f t="shared" si="5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109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110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127</v>
      </c>
      <c r="B28" s="71" t="s">
        <v>128</v>
      </c>
      <c r="C28" s="54"/>
      <c r="D28" s="69">
        <f>+D21</f>
        <v>0</v>
      </c>
      <c r="E28" s="69">
        <f aca="true" t="shared" si="6" ref="E28:AM28">+E21</f>
        <v>0</v>
      </c>
      <c r="F28" s="69">
        <f t="shared" si="6"/>
        <v>0</v>
      </c>
      <c r="G28" s="69">
        <f t="shared" si="6"/>
        <v>0</v>
      </c>
      <c r="H28" s="69">
        <f t="shared" si="6"/>
        <v>0</v>
      </c>
      <c r="I28" s="69">
        <f t="shared" si="6"/>
        <v>0</v>
      </c>
      <c r="J28" s="69">
        <f t="shared" si="6"/>
        <v>0</v>
      </c>
      <c r="K28" s="69">
        <f t="shared" si="6"/>
        <v>0</v>
      </c>
      <c r="L28" s="69">
        <f t="shared" si="6"/>
        <v>0</v>
      </c>
      <c r="M28" s="69">
        <f t="shared" si="6"/>
        <v>0</v>
      </c>
      <c r="N28" s="69">
        <f t="shared" si="6"/>
        <v>0</v>
      </c>
      <c r="O28" s="69">
        <f t="shared" si="6"/>
        <v>0</v>
      </c>
      <c r="P28" s="69">
        <f t="shared" si="6"/>
        <v>0</v>
      </c>
      <c r="Q28" s="69">
        <f t="shared" si="6"/>
        <v>0</v>
      </c>
      <c r="R28" s="69">
        <f t="shared" si="6"/>
        <v>0</v>
      </c>
      <c r="S28" s="69">
        <f t="shared" si="6"/>
        <v>0</v>
      </c>
      <c r="T28" s="69">
        <f t="shared" si="6"/>
        <v>0</v>
      </c>
      <c r="U28" s="69">
        <f t="shared" si="6"/>
        <v>0</v>
      </c>
      <c r="V28" s="69">
        <f t="shared" si="6"/>
        <v>0</v>
      </c>
      <c r="W28" s="69">
        <f t="shared" si="6"/>
        <v>0</v>
      </c>
      <c r="X28" s="69">
        <f t="shared" si="6"/>
        <v>0</v>
      </c>
      <c r="Y28" s="69">
        <f t="shared" si="6"/>
        <v>0</v>
      </c>
      <c r="Z28" s="69">
        <f t="shared" si="6"/>
        <v>0</v>
      </c>
      <c r="AA28" s="69">
        <f t="shared" si="6"/>
        <v>0</v>
      </c>
      <c r="AB28" s="69">
        <f t="shared" si="6"/>
        <v>0</v>
      </c>
      <c r="AC28" s="69">
        <f t="shared" si="6"/>
        <v>0</v>
      </c>
      <c r="AD28" s="69">
        <f t="shared" si="6"/>
        <v>0</v>
      </c>
      <c r="AE28" s="69">
        <f t="shared" si="6"/>
        <v>0</v>
      </c>
      <c r="AF28" s="69">
        <f t="shared" si="6"/>
        <v>0</v>
      </c>
      <c r="AG28" s="69">
        <f t="shared" si="6"/>
        <v>0</v>
      </c>
      <c r="AH28" s="69">
        <f t="shared" si="6"/>
        <v>0</v>
      </c>
      <c r="AI28" s="69">
        <f t="shared" si="6"/>
        <v>0</v>
      </c>
      <c r="AJ28" s="69">
        <f t="shared" si="6"/>
        <v>0</v>
      </c>
      <c r="AK28" s="69">
        <f t="shared" si="6"/>
        <v>0</v>
      </c>
      <c r="AL28" s="69">
        <f t="shared" si="6"/>
        <v>0</v>
      </c>
      <c r="AM28" s="69">
        <f t="shared" si="6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111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112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114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115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31</v>
      </c>
      <c r="C33" s="54"/>
      <c r="D33" s="54"/>
      <c r="E33" s="82">
        <f>+Input!D141</f>
        <v>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116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34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7" ref="G34:L34">+IF(G22-G21-F22&lt;0,-(G22-G21-F22),0)</f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117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118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119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132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133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134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135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136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137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138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139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140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141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142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143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144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145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146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147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148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149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150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151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152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153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154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155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156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157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158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159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160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161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162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163</v>
      </c>
      <c r="FZ68" s="75">
        <f aca="true" t="shared" si="8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9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164</v>
      </c>
      <c r="FZ69" s="75">
        <f t="shared" si="8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9"/>
        <v>39</v>
      </c>
      <c r="GK69" s="75">
        <f aca="true" t="shared" si="10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165</v>
      </c>
      <c r="FZ70" s="75">
        <f t="shared" si="8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9"/>
        <v>40</v>
      </c>
      <c r="GK70" s="75">
        <f t="shared" si="10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166</v>
      </c>
      <c r="FZ71" s="75">
        <f t="shared" si="8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9"/>
        <v>41</v>
      </c>
      <c r="GK71" s="75">
        <f t="shared" si="10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167</v>
      </c>
      <c r="FZ72" s="75">
        <f t="shared" si="8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9"/>
        <v>42</v>
      </c>
      <c r="GK72" s="75">
        <f t="shared" si="10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168</v>
      </c>
      <c r="FZ73" s="75">
        <f t="shared" si="8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9"/>
        <v>43</v>
      </c>
      <c r="GK73" s="75">
        <f t="shared" si="10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169</v>
      </c>
      <c r="FZ74" s="75">
        <f t="shared" si="8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9"/>
        <v>44</v>
      </c>
      <c r="GK74" s="75">
        <f t="shared" si="10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170</v>
      </c>
      <c r="FZ75" s="75">
        <f t="shared" si="8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9"/>
        <v>45</v>
      </c>
      <c r="GK75" s="75">
        <f t="shared" si="10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171</v>
      </c>
      <c r="FZ76" s="75">
        <f t="shared" si="8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9"/>
        <v>46</v>
      </c>
      <c r="GK76" s="75">
        <f t="shared" si="10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172</v>
      </c>
      <c r="FZ77" s="75">
        <f t="shared" si="8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9"/>
        <v>47</v>
      </c>
      <c r="GK77" s="75">
        <f t="shared" si="10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173</v>
      </c>
      <c r="FZ78" s="75">
        <f t="shared" si="8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9"/>
        <v>48</v>
      </c>
      <c r="GK78" s="75">
        <f t="shared" si="10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174</v>
      </c>
      <c r="FZ79" s="75">
        <f t="shared" si="8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9"/>
        <v>49</v>
      </c>
      <c r="GK79" s="75">
        <f t="shared" si="10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175</v>
      </c>
      <c r="FZ80" s="75">
        <f t="shared" si="8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9"/>
        <v>50</v>
      </c>
      <c r="GK80" s="75">
        <f t="shared" si="10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176</v>
      </c>
      <c r="FZ81" s="75">
        <f t="shared" si="8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9"/>
        <v>51</v>
      </c>
      <c r="GK81" s="75">
        <f t="shared" si="10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177</v>
      </c>
      <c r="FZ82" s="75">
        <f t="shared" si="8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9"/>
        <v>52</v>
      </c>
      <c r="GK82" s="75">
        <f t="shared" si="10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178</v>
      </c>
      <c r="FZ83" s="75">
        <f t="shared" si="8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9"/>
        <v>53</v>
      </c>
      <c r="GK83" s="75">
        <f t="shared" si="10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179</v>
      </c>
      <c r="FZ84" s="75">
        <f t="shared" si="8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9"/>
        <v>54</v>
      </c>
      <c r="GK84" s="75">
        <f t="shared" si="10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180</v>
      </c>
      <c r="FZ85" s="75">
        <f t="shared" si="8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9"/>
        <v>55</v>
      </c>
      <c r="GK85" s="75">
        <f t="shared" si="10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181</v>
      </c>
      <c r="FZ86" s="75">
        <f t="shared" si="8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9"/>
        <v>56</v>
      </c>
      <c r="GK86" s="75">
        <f t="shared" si="10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182</v>
      </c>
      <c r="FZ87" s="75">
        <f t="shared" si="8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9"/>
        <v>57</v>
      </c>
      <c r="GK87" s="75">
        <f t="shared" si="10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183</v>
      </c>
      <c r="FZ88" s="75">
        <f t="shared" si="8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9"/>
        <v>58</v>
      </c>
      <c r="GK88" s="75">
        <f t="shared" si="10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184</v>
      </c>
      <c r="FZ89" s="75">
        <f t="shared" si="8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9"/>
        <v>59</v>
      </c>
      <c r="GK89" s="75">
        <f t="shared" si="10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185</v>
      </c>
      <c r="FZ90" s="75">
        <f t="shared" si="8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9"/>
        <v>60</v>
      </c>
      <c r="GK90" s="75">
        <f t="shared" si="10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186</v>
      </c>
      <c r="FZ91" s="75">
        <f t="shared" si="8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9"/>
        <v>61</v>
      </c>
      <c r="GK91" s="75">
        <f t="shared" si="10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187</v>
      </c>
      <c r="FZ92" s="75">
        <f t="shared" si="8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9"/>
        <v>62</v>
      </c>
      <c r="GK92" s="75">
        <f t="shared" si="10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188</v>
      </c>
      <c r="FZ93" s="75">
        <f t="shared" si="8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9"/>
        <v>63</v>
      </c>
      <c r="GK93" s="75">
        <f t="shared" si="10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189</v>
      </c>
      <c r="FZ94" s="75">
        <f t="shared" si="8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9"/>
        <v>64</v>
      </c>
      <c r="GK94" s="75">
        <f t="shared" si="10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190</v>
      </c>
      <c r="FZ95" s="75">
        <f t="shared" si="8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9"/>
        <v>65</v>
      </c>
      <c r="GK95" s="75">
        <f t="shared" si="10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191</v>
      </c>
      <c r="FZ96" s="75">
        <f t="shared" si="8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9"/>
        <v>66</v>
      </c>
      <c r="GK96" s="75">
        <f t="shared" si="10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192</v>
      </c>
      <c r="FZ97" s="75">
        <f t="shared" si="8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9"/>
        <v>67</v>
      </c>
      <c r="GK97" s="75">
        <f t="shared" si="10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193</v>
      </c>
      <c r="FZ98" s="75">
        <f t="shared" si="8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9"/>
        <v>68</v>
      </c>
      <c r="GK98" s="75">
        <f t="shared" si="10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194</v>
      </c>
      <c r="FZ99" s="75">
        <f t="shared" si="8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9"/>
        <v>69</v>
      </c>
      <c r="GK99" s="75">
        <f t="shared" si="10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195</v>
      </c>
      <c r="FZ100" s="75">
        <f t="shared" si="8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9"/>
        <v>70</v>
      </c>
      <c r="GK100" s="75">
        <f t="shared" si="10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196</v>
      </c>
      <c r="FZ101" s="75">
        <f t="shared" si="8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9"/>
        <v>71</v>
      </c>
      <c r="GK101" s="75">
        <f t="shared" si="10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197</v>
      </c>
      <c r="FZ102" s="75">
        <f t="shared" si="8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9"/>
        <v>72</v>
      </c>
      <c r="GK102" s="75">
        <f t="shared" si="10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198</v>
      </c>
      <c r="FZ103" s="75">
        <f t="shared" si="8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9"/>
        <v>73</v>
      </c>
      <c r="GK103" s="75">
        <f t="shared" si="10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199</v>
      </c>
      <c r="FZ104" s="75">
        <f t="shared" si="8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9"/>
        <v>74</v>
      </c>
      <c r="GK104" s="75">
        <f t="shared" si="10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200</v>
      </c>
      <c r="FZ105" s="75">
        <f t="shared" si="8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9"/>
        <v>75</v>
      </c>
      <c r="GK105" s="75">
        <f t="shared" si="10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201</v>
      </c>
      <c r="FZ106" s="75">
        <f t="shared" si="8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9"/>
        <v>76</v>
      </c>
      <c r="GK106" s="75">
        <f t="shared" si="10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202</v>
      </c>
      <c r="FZ107" s="75">
        <f t="shared" si="8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9"/>
        <v>77</v>
      </c>
      <c r="GK107" s="75">
        <f t="shared" si="10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203</v>
      </c>
      <c r="FZ108" s="75">
        <f t="shared" si="8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9"/>
        <v>78</v>
      </c>
      <c r="GK108" s="75">
        <f t="shared" si="10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204</v>
      </c>
      <c r="FZ109" s="75">
        <f t="shared" si="8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9"/>
        <v>79</v>
      </c>
      <c r="GK109" s="75">
        <f t="shared" si="10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205</v>
      </c>
      <c r="FZ110" s="75">
        <f t="shared" si="8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9"/>
        <v>80</v>
      </c>
      <c r="GK110" s="75">
        <f t="shared" si="10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206</v>
      </c>
      <c r="FZ111" s="75">
        <f t="shared" si="8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9"/>
        <v>81</v>
      </c>
      <c r="GK111" s="75">
        <f t="shared" si="10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207</v>
      </c>
      <c r="FZ112" s="75">
        <f t="shared" si="8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9"/>
        <v>82</v>
      </c>
      <c r="GK112" s="75">
        <f t="shared" si="10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208</v>
      </c>
      <c r="FZ113" s="75">
        <f t="shared" si="8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9"/>
        <v>83</v>
      </c>
      <c r="GK113" s="75">
        <f t="shared" si="10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209</v>
      </c>
      <c r="FZ114" s="75">
        <f t="shared" si="8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9"/>
        <v>84</v>
      </c>
      <c r="GK114" s="75">
        <f t="shared" si="10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210</v>
      </c>
      <c r="FZ115" s="75">
        <f t="shared" si="8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9"/>
        <v>85</v>
      </c>
      <c r="GK115" s="75">
        <f t="shared" si="10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211</v>
      </c>
      <c r="FZ116" s="75">
        <f t="shared" si="8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9"/>
        <v>86</v>
      </c>
      <c r="GK116" s="75">
        <f t="shared" si="10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212</v>
      </c>
      <c r="FZ117" s="75">
        <f t="shared" si="8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9"/>
        <v>87</v>
      </c>
      <c r="GK117" s="75">
        <f t="shared" si="10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213</v>
      </c>
      <c r="FZ118" s="75">
        <f t="shared" si="8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9"/>
        <v>88</v>
      </c>
      <c r="GK118" s="75">
        <f t="shared" si="10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214</v>
      </c>
      <c r="FZ119" s="75">
        <f t="shared" si="8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9"/>
        <v>89</v>
      </c>
      <c r="GK119" s="75">
        <f t="shared" si="10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215</v>
      </c>
      <c r="FZ120" s="75">
        <f t="shared" si="8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9"/>
        <v>90</v>
      </c>
      <c r="GK120" s="75">
        <f t="shared" si="10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216</v>
      </c>
      <c r="FZ121" s="75">
        <f t="shared" si="8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9"/>
        <v>91</v>
      </c>
      <c r="GK121" s="75">
        <f t="shared" si="10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9"/>
        <v>92</v>
      </c>
      <c r="GK122" s="75">
        <f t="shared" si="10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9"/>
        <v>93</v>
      </c>
      <c r="GK123" s="75">
        <f t="shared" si="10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9"/>
        <v>94</v>
      </c>
      <c r="GK124" s="75">
        <f t="shared" si="10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9"/>
        <v>95</v>
      </c>
      <c r="GK125" s="75">
        <f t="shared" si="10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9"/>
        <v>96</v>
      </c>
      <c r="GK126" s="75">
        <f t="shared" si="10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9"/>
        <v>97</v>
      </c>
      <c r="GK127" s="75">
        <f t="shared" si="10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9"/>
        <v>98</v>
      </c>
      <c r="GK128" s="75">
        <f t="shared" si="10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9"/>
        <v>99</v>
      </c>
      <c r="GK129" s="75">
        <f t="shared" si="10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9"/>
        <v>100</v>
      </c>
      <c r="GK130" s="75">
        <f t="shared" si="10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9"/>
        <v>101</v>
      </c>
      <c r="GK131" s="75">
        <f t="shared" si="10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1" ref="GJ132:GJ173">+GJ131+1</f>
        <v>102</v>
      </c>
      <c r="GK132" s="75">
        <f t="shared" si="10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1"/>
        <v>103</v>
      </c>
      <c r="GK133" s="75">
        <f aca="true" t="shared" si="12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1"/>
        <v>104</v>
      </c>
      <c r="GK134" s="75">
        <f t="shared" si="12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1"/>
        <v>105</v>
      </c>
      <c r="GK135" s="75">
        <f t="shared" si="12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1"/>
        <v>106</v>
      </c>
      <c r="GK136" s="75">
        <f t="shared" si="12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1"/>
        <v>107</v>
      </c>
      <c r="GK137" s="75">
        <f t="shared" si="12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1"/>
        <v>108</v>
      </c>
      <c r="GK138" s="75">
        <f t="shared" si="12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1"/>
        <v>109</v>
      </c>
      <c r="GK139" s="75">
        <f t="shared" si="12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1"/>
        <v>110</v>
      </c>
      <c r="GK140" s="75">
        <f t="shared" si="12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1"/>
        <v>111</v>
      </c>
      <c r="GK141" s="75">
        <f t="shared" si="12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1"/>
        <v>112</v>
      </c>
      <c r="GK142" s="75">
        <f t="shared" si="12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1"/>
        <v>113</v>
      </c>
      <c r="GK143" s="75">
        <f t="shared" si="12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1"/>
        <v>114</v>
      </c>
      <c r="GK144" s="75">
        <f t="shared" si="12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1"/>
        <v>115</v>
      </c>
      <c r="GK145" s="75">
        <f t="shared" si="12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1"/>
        <v>116</v>
      </c>
      <c r="GK146" s="75">
        <f t="shared" si="12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1"/>
        <v>117</v>
      </c>
      <c r="GK147" s="75">
        <f t="shared" si="12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1"/>
        <v>118</v>
      </c>
      <c r="GK148" s="75">
        <f t="shared" si="12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1"/>
        <v>119</v>
      </c>
      <c r="GK149" s="75">
        <f t="shared" si="12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1"/>
        <v>120</v>
      </c>
      <c r="GK150" s="75">
        <f t="shared" si="12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1"/>
        <v>121</v>
      </c>
      <c r="GK151" s="75">
        <f t="shared" si="12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1"/>
        <v>122</v>
      </c>
      <c r="GK152" s="75">
        <f t="shared" si="12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1"/>
        <v>123</v>
      </c>
      <c r="GK153" s="75">
        <f t="shared" si="12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1"/>
        <v>124</v>
      </c>
      <c r="GK154" s="75">
        <f t="shared" si="12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1"/>
        <v>125</v>
      </c>
      <c r="GK155" s="75">
        <f t="shared" si="12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1"/>
        <v>126</v>
      </c>
      <c r="GK156" s="75">
        <f t="shared" si="12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1"/>
        <v>127</v>
      </c>
      <c r="GK157" s="75">
        <f t="shared" si="12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1"/>
        <v>128</v>
      </c>
      <c r="GK158" s="75">
        <f t="shared" si="12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1"/>
        <v>129</v>
      </c>
      <c r="GK159" s="75">
        <f t="shared" si="12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1"/>
        <v>130</v>
      </c>
      <c r="GK160" s="75">
        <f t="shared" si="12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1"/>
        <v>131</v>
      </c>
      <c r="GK161" s="75">
        <f t="shared" si="12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1"/>
        <v>132</v>
      </c>
      <c r="GK162" s="75">
        <f t="shared" si="12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1"/>
        <v>133</v>
      </c>
      <c r="GK163" s="75">
        <f t="shared" si="12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1"/>
        <v>134</v>
      </c>
      <c r="GK164" s="75">
        <f t="shared" si="12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1"/>
        <v>135</v>
      </c>
      <c r="GK165" s="75">
        <f t="shared" si="12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1"/>
        <v>136</v>
      </c>
      <c r="GK166" s="75">
        <f t="shared" si="12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1"/>
        <v>137</v>
      </c>
      <c r="GK167" s="75">
        <f t="shared" si="12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1"/>
        <v>138</v>
      </c>
      <c r="GK168" s="75">
        <f t="shared" si="12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1"/>
        <v>139</v>
      </c>
      <c r="GK169" s="75">
        <f t="shared" si="12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1"/>
        <v>140</v>
      </c>
      <c r="GK170" s="75">
        <f t="shared" si="12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1"/>
        <v>141</v>
      </c>
      <c r="GK171" s="75">
        <f t="shared" si="12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1"/>
        <v>142</v>
      </c>
      <c r="GK172" s="75">
        <f t="shared" si="12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1"/>
        <v>143</v>
      </c>
      <c r="GK173" s="75">
        <f t="shared" si="12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H37" sqref="H37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85</v>
      </c>
      <c r="FZ2" s="75">
        <v>1</v>
      </c>
      <c r="GA2" s="75"/>
      <c r="GB2" s="75"/>
      <c r="GC2" s="75" t="s">
        <v>129</v>
      </c>
      <c r="GD2" s="75">
        <f>VLOOKUP(C4,$FY$2:$FZ$38,2,FALSE)</f>
        <v>1</v>
      </c>
      <c r="GE2" s="75" t="s">
        <v>130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76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86</v>
      </c>
      <c r="FZ3" s="75">
        <f>1+FZ2</f>
        <v>2</v>
      </c>
      <c r="GA3" s="75"/>
      <c r="GB3" s="75"/>
      <c r="GC3" s="75"/>
      <c r="GD3" s="75">
        <f>VLOOKUP(C6,$FY$2:$FZ$38,2,FALSE)</f>
        <v>1</v>
      </c>
      <c r="GE3" s="75" t="s">
        <v>131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71</v>
      </c>
      <c r="C4" s="58" t="str">
        <f>+Input!E89</f>
        <v>A1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87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77</v>
      </c>
      <c r="B5" s="57" t="s">
        <v>72</v>
      </c>
      <c r="C5" s="59">
        <f>+Input!E90</f>
        <v>0.08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88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78</v>
      </c>
      <c r="C6" s="60" t="str">
        <f>+C4</f>
        <v>A1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89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73</v>
      </c>
      <c r="C7" s="62">
        <f>+Input!E92</f>
        <v>30000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90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79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91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74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92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80</v>
      </c>
      <c r="C10" s="65">
        <f>+Input!E93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93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94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81</v>
      </c>
      <c r="C12" s="67" t="str">
        <f>IF(C8=1,"annuale",IF(C8=2,"semestrale",IF(C8=3,"quadrimestrale",IF(C8=4,"trimestrale"))))</f>
        <v>annuale</v>
      </c>
      <c r="D12" s="68">
        <f>((1+C5)^(1/C8))-1</f>
        <v>0.08000000000000007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95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96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82</v>
      </c>
      <c r="C14" s="67" t="str">
        <f>C12</f>
        <v>annuale</v>
      </c>
      <c r="D14" s="69">
        <f>C7/((1-(1+D12)^(-C10))/D12)</f>
        <v>4470.884660912265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97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98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83</v>
      </c>
      <c r="D16" s="70">
        <f>+IF(D17=$C$6,1,0)</f>
        <v>0</v>
      </c>
      <c r="E16" s="80">
        <f aca="true" t="shared" si="3" ref="E16:AM16">+IF(E17=$C$6,1,+IF(D16=0,0,D16+1))</f>
        <v>1</v>
      </c>
      <c r="F16" s="80">
        <f t="shared" si="3"/>
        <v>2</v>
      </c>
      <c r="G16" s="80">
        <f t="shared" si="3"/>
        <v>3</v>
      </c>
      <c r="H16" s="80">
        <f t="shared" si="3"/>
        <v>4</v>
      </c>
      <c r="I16" s="80">
        <f t="shared" si="3"/>
        <v>5</v>
      </c>
      <c r="J16" s="80">
        <f t="shared" si="3"/>
        <v>6</v>
      </c>
      <c r="K16" s="80">
        <f t="shared" si="3"/>
        <v>7</v>
      </c>
      <c r="L16" s="80">
        <f t="shared" si="3"/>
        <v>8</v>
      </c>
      <c r="M16" s="80">
        <f t="shared" si="3"/>
        <v>9</v>
      </c>
      <c r="N16" s="80">
        <f t="shared" si="3"/>
        <v>10</v>
      </c>
      <c r="O16" s="80">
        <f t="shared" si="3"/>
        <v>11</v>
      </c>
      <c r="P16" s="80">
        <f t="shared" si="3"/>
        <v>12</v>
      </c>
      <c r="Q16" s="80">
        <f t="shared" si="3"/>
        <v>13</v>
      </c>
      <c r="R16" s="80">
        <f t="shared" si="3"/>
        <v>14</v>
      </c>
      <c r="S16" s="80">
        <f t="shared" si="3"/>
        <v>15</v>
      </c>
      <c r="T16" s="80">
        <f t="shared" si="3"/>
        <v>16</v>
      </c>
      <c r="U16" s="80">
        <f t="shared" si="3"/>
        <v>17</v>
      </c>
      <c r="V16" s="80">
        <f t="shared" si="3"/>
        <v>18</v>
      </c>
      <c r="W16" s="80">
        <f t="shared" si="3"/>
        <v>19</v>
      </c>
      <c r="X16" s="80">
        <f t="shared" si="3"/>
        <v>20</v>
      </c>
      <c r="Y16" s="80">
        <f t="shared" si="3"/>
        <v>21</v>
      </c>
      <c r="Z16" s="80">
        <f t="shared" si="3"/>
        <v>22</v>
      </c>
      <c r="AA16" s="80">
        <f t="shared" si="3"/>
        <v>23</v>
      </c>
      <c r="AB16" s="80">
        <f t="shared" si="3"/>
        <v>24</v>
      </c>
      <c r="AC16" s="80">
        <f t="shared" si="3"/>
        <v>25</v>
      </c>
      <c r="AD16" s="80">
        <f t="shared" si="3"/>
        <v>26</v>
      </c>
      <c r="AE16" s="80">
        <f t="shared" si="3"/>
        <v>27</v>
      </c>
      <c r="AF16" s="80">
        <f t="shared" si="3"/>
        <v>28</v>
      </c>
      <c r="AG16" s="80">
        <f t="shared" si="3"/>
        <v>29</v>
      </c>
      <c r="AH16" s="80">
        <f t="shared" si="3"/>
        <v>30</v>
      </c>
      <c r="AI16" s="80">
        <f t="shared" si="3"/>
        <v>31</v>
      </c>
      <c r="AJ16" s="80">
        <f t="shared" si="3"/>
        <v>32</v>
      </c>
      <c r="AK16" s="80">
        <f t="shared" si="3"/>
        <v>33</v>
      </c>
      <c r="AL16" s="80">
        <f t="shared" si="3"/>
        <v>34</v>
      </c>
      <c r="AM16" s="80">
        <f t="shared" si="3"/>
        <v>35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99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84</v>
      </c>
      <c r="C17" s="72"/>
      <c r="D17" s="72"/>
      <c r="E17" s="72" t="s">
        <v>85</v>
      </c>
      <c r="F17" s="72" t="s">
        <v>86</v>
      </c>
      <c r="G17" s="72" t="s">
        <v>87</v>
      </c>
      <c r="H17" s="72" t="s">
        <v>88</v>
      </c>
      <c r="I17" s="72" t="s">
        <v>89</v>
      </c>
      <c r="J17" s="72" t="s">
        <v>90</v>
      </c>
      <c r="K17" s="72" t="s">
        <v>91</v>
      </c>
      <c r="L17" s="72" t="s">
        <v>92</v>
      </c>
      <c r="M17" s="72" t="s">
        <v>93</v>
      </c>
      <c r="N17" s="72" t="s">
        <v>94</v>
      </c>
      <c r="O17" s="72" t="s">
        <v>95</v>
      </c>
      <c r="P17" s="72" t="s">
        <v>96</v>
      </c>
      <c r="Q17" s="72" t="s">
        <v>97</v>
      </c>
      <c r="R17" s="72" t="s">
        <v>98</v>
      </c>
      <c r="S17" s="72" t="s">
        <v>99</v>
      </c>
      <c r="T17" s="72" t="s">
        <v>100</v>
      </c>
      <c r="U17" s="72" t="s">
        <v>101</v>
      </c>
      <c r="V17" s="72" t="s">
        <v>102</v>
      </c>
      <c r="W17" s="72" t="s">
        <v>103</v>
      </c>
      <c r="X17" s="72" t="s">
        <v>104</v>
      </c>
      <c r="Y17" s="72" t="s">
        <v>105</v>
      </c>
      <c r="Z17" s="72" t="s">
        <v>106</v>
      </c>
      <c r="AA17" s="72" t="s">
        <v>107</v>
      </c>
      <c r="AB17" s="72" t="s">
        <v>108</v>
      </c>
      <c r="AC17" s="72" t="s">
        <v>109</v>
      </c>
      <c r="AD17" s="72" t="s">
        <v>110</v>
      </c>
      <c r="AE17" s="72" t="s">
        <v>111</v>
      </c>
      <c r="AF17" s="72" t="s">
        <v>112</v>
      </c>
      <c r="AG17" s="72" t="s">
        <v>113</v>
      </c>
      <c r="AH17" s="72" t="s">
        <v>114</v>
      </c>
      <c r="AI17" s="72" t="s">
        <v>115</v>
      </c>
      <c r="AJ17" s="72" t="s">
        <v>116</v>
      </c>
      <c r="AK17" s="72" t="s">
        <v>117</v>
      </c>
      <c r="AL17" s="72" t="s">
        <v>118</v>
      </c>
      <c r="AM17" s="72" t="s">
        <v>119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100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120</v>
      </c>
      <c r="C18" s="69"/>
      <c r="D18" s="69">
        <f aca="true" t="shared" si="4" ref="D18:AM18">IF(D16&gt;=1,IF(D15=1,$D$14,0))*IF(C22&lt;1,0,1)</f>
        <v>0</v>
      </c>
      <c r="E18" s="69">
        <f t="shared" si="4"/>
        <v>4470.884660912265</v>
      </c>
      <c r="F18" s="69">
        <f t="shared" si="4"/>
        <v>4470.884660912265</v>
      </c>
      <c r="G18" s="69">
        <f t="shared" si="4"/>
        <v>4470.884660912265</v>
      </c>
      <c r="H18" s="69">
        <f t="shared" si="4"/>
        <v>4470.884660912265</v>
      </c>
      <c r="I18" s="69">
        <f t="shared" si="4"/>
        <v>4470.884660912265</v>
      </c>
      <c r="J18" s="69">
        <f t="shared" si="4"/>
        <v>4470.884660912265</v>
      </c>
      <c r="K18" s="69">
        <f t="shared" si="4"/>
        <v>4470.884660912265</v>
      </c>
      <c r="L18" s="69">
        <f t="shared" si="4"/>
        <v>4470.884660912265</v>
      </c>
      <c r="M18" s="69">
        <f t="shared" si="4"/>
        <v>4470.884660912265</v>
      </c>
      <c r="N18" s="69">
        <f t="shared" si="4"/>
        <v>4470.884660912265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101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121</v>
      </c>
      <c r="C19" s="69"/>
      <c r="D19" s="69">
        <f aca="true" t="shared" si="5" ref="D19:I19">D18-D21</f>
        <v>0</v>
      </c>
      <c r="E19" s="69">
        <f t="shared" si="5"/>
        <v>2070.8846609122625</v>
      </c>
      <c r="F19" s="69">
        <f t="shared" si="5"/>
        <v>2236.5554337852436</v>
      </c>
      <c r="G19" s="69">
        <f t="shared" si="5"/>
        <v>2415.4798684880634</v>
      </c>
      <c r="H19" s="69">
        <f t="shared" si="5"/>
        <v>2608.718257967109</v>
      </c>
      <c r="I19" s="69">
        <f t="shared" si="5"/>
        <v>2817.4157186044777</v>
      </c>
      <c r="J19" s="69">
        <f>J18-J21</f>
        <v>3042.808976092836</v>
      </c>
      <c r="K19" s="69">
        <f aca="true" t="shared" si="6" ref="K19:AM19">K18-K21</f>
        <v>3286.2336941802632</v>
      </c>
      <c r="L19" s="69">
        <f t="shared" si="6"/>
        <v>3549.132389714684</v>
      </c>
      <c r="M19" s="69">
        <f t="shared" si="6"/>
        <v>3833.0629808918593</v>
      </c>
      <c r="N19" s="69">
        <f t="shared" si="6"/>
        <v>4139.708019363208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102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122</v>
      </c>
      <c r="C20" s="69"/>
      <c r="D20" s="69">
        <f aca="true" t="shared" si="7" ref="D20:AM20">D19+C20*(IF(C22&lt;1,0,1))</f>
        <v>0</v>
      </c>
      <c r="E20" s="69">
        <f t="shared" si="7"/>
        <v>2070.8846609122625</v>
      </c>
      <c r="F20" s="69">
        <f t="shared" si="7"/>
        <v>4307.440094697506</v>
      </c>
      <c r="G20" s="69">
        <f t="shared" si="7"/>
        <v>6722.919963185569</v>
      </c>
      <c r="H20" s="69">
        <f t="shared" si="7"/>
        <v>9331.638221152678</v>
      </c>
      <c r="I20" s="69">
        <f t="shared" si="7"/>
        <v>12149.053939757156</v>
      </c>
      <c r="J20" s="69">
        <f t="shared" si="7"/>
        <v>15191.862915849992</v>
      </c>
      <c r="K20" s="69">
        <f t="shared" si="7"/>
        <v>18478.096610030254</v>
      </c>
      <c r="L20" s="69">
        <f t="shared" si="7"/>
        <v>22027.228999744937</v>
      </c>
      <c r="M20" s="69">
        <f t="shared" si="7"/>
        <v>25860.291980636797</v>
      </c>
      <c r="N20" s="69">
        <f t="shared" si="7"/>
        <v>30000.000000000007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103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123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2400.0000000000023</v>
      </c>
      <c r="F21" s="69">
        <f t="shared" si="8"/>
        <v>2234.329227127021</v>
      </c>
      <c r="G21" s="69">
        <f t="shared" si="8"/>
        <v>2055.4047924242013</v>
      </c>
      <c r="H21" s="69">
        <f t="shared" si="8"/>
        <v>1862.166402945156</v>
      </c>
      <c r="I21" s="69">
        <f t="shared" si="8"/>
        <v>1653.468942307787</v>
      </c>
      <c r="J21" s="69">
        <f t="shared" si="8"/>
        <v>1428.0756848194287</v>
      </c>
      <c r="K21" s="69">
        <f t="shared" si="8"/>
        <v>1184.6509667320017</v>
      </c>
      <c r="L21" s="69">
        <f t="shared" si="8"/>
        <v>921.7522711975805</v>
      </c>
      <c r="M21" s="69">
        <f t="shared" si="8"/>
        <v>637.8216800204056</v>
      </c>
      <c r="N21" s="69">
        <f t="shared" si="8"/>
        <v>331.1766415490565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104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124</v>
      </c>
      <c r="C22" s="69">
        <f>IF(D17=$C$4,$C$7,IF(C20=0,0,$C$7-C20))</f>
        <v>0</v>
      </c>
      <c r="D22" s="69">
        <f aca="true" t="shared" si="9" ref="D22:AM22">IF(E17=$C$4,$C$7,IF(D20=0,0,$C$7-D20))</f>
        <v>30000</v>
      </c>
      <c r="E22" s="69">
        <f t="shared" si="9"/>
        <v>27929.115339087737</v>
      </c>
      <c r="F22" s="69">
        <f t="shared" si="9"/>
        <v>25692.559905302493</v>
      </c>
      <c r="G22" s="69">
        <f t="shared" si="9"/>
        <v>23277.08003681443</v>
      </c>
      <c r="H22" s="69">
        <f t="shared" si="9"/>
        <v>20668.36177884732</v>
      </c>
      <c r="I22" s="69">
        <f t="shared" si="9"/>
        <v>17850.946060242844</v>
      </c>
      <c r="J22" s="69">
        <f t="shared" si="9"/>
        <v>14808.137084150008</v>
      </c>
      <c r="K22" s="69">
        <f t="shared" si="9"/>
        <v>11521.903389969746</v>
      </c>
      <c r="L22" s="69">
        <f t="shared" si="9"/>
        <v>7972.771000255063</v>
      </c>
      <c r="M22" s="69">
        <f t="shared" si="9"/>
        <v>4139.708019363203</v>
      </c>
      <c r="N22" s="69">
        <f t="shared" si="9"/>
        <v>-7.275957614183426E-12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105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106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107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108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125</v>
      </c>
      <c r="B26" s="71" t="s">
        <v>126</v>
      </c>
      <c r="C26" s="54"/>
      <c r="D26" s="69">
        <f aca="true" t="shared" si="11" ref="D26:I26">+D22-D28</f>
        <v>30000</v>
      </c>
      <c r="E26" s="69">
        <f t="shared" si="11"/>
        <v>25529.115339087733</v>
      </c>
      <c r="F26" s="69">
        <f>+F22-F28</f>
        <v>23458.23067817547</v>
      </c>
      <c r="G26" s="69">
        <f t="shared" si="11"/>
        <v>21221.67524439023</v>
      </c>
      <c r="H26" s="69">
        <f t="shared" si="11"/>
        <v>18806.195375902164</v>
      </c>
      <c r="I26" s="69">
        <f t="shared" si="11"/>
        <v>16197.477117935057</v>
      </c>
      <c r="J26" s="69">
        <f>+J22-SUM($I$28:J28)</f>
        <v>11726.592457022793</v>
      </c>
      <c r="K26" s="69">
        <f>+K22-SUM($I$28:K28)</f>
        <v>7255.707796110529</v>
      </c>
      <c r="L26" s="69">
        <f>+L22-SUM($I$28:L28)</f>
        <v>2784.823135198265</v>
      </c>
      <c r="M26" s="69">
        <f>+M22-SUM($I$28:M28)</f>
        <v>-1686.0615257140007</v>
      </c>
      <c r="N26" s="69">
        <f>+N22-SUM($I$28:N28)</f>
        <v>-6156.946186626267</v>
      </c>
      <c r="O26" s="69">
        <f>+O22-SUM($I$28:O28)</f>
        <v>-6156.94618662626</v>
      </c>
      <c r="P26" s="69">
        <f>+P22-SUM($I$28:P28)</f>
        <v>-6156.94618662626</v>
      </c>
      <c r="Q26" s="69">
        <f>+Q22-SUM($I$28:Q28)</f>
        <v>-6156.94618662626</v>
      </c>
      <c r="R26" s="69">
        <f>+R22-SUM($I$28:R28)</f>
        <v>-6156.94618662626</v>
      </c>
      <c r="S26" s="69">
        <f>+S22-SUM($I$28:S28)</f>
        <v>-6156.94618662626</v>
      </c>
      <c r="T26" s="69">
        <f>+T22-SUM($I$28:T28)</f>
        <v>-6156.94618662626</v>
      </c>
      <c r="U26" s="69">
        <f>+U22-SUM($I$28:U28)</f>
        <v>-6156.94618662626</v>
      </c>
      <c r="V26" s="69">
        <f>+V22-SUM($I$28:V28)</f>
        <v>-6156.94618662626</v>
      </c>
      <c r="W26" s="69">
        <f>+W22-SUM($I$28:W28)</f>
        <v>-6156.94618662626</v>
      </c>
      <c r="X26" s="69">
        <f>+X22-SUM($I$28:X28)</f>
        <v>-6156.94618662626</v>
      </c>
      <c r="Y26" s="69">
        <f>+Y22-SUM($I$28:Y28)</f>
        <v>-6156.94618662626</v>
      </c>
      <c r="Z26" s="69">
        <f>+Z22-SUM($I$28:Z28)</f>
        <v>-6156.94618662626</v>
      </c>
      <c r="AA26" s="69">
        <f>+AA22-SUM($I$28:AA28)</f>
        <v>-6156.94618662626</v>
      </c>
      <c r="AB26" s="69">
        <f>+AB22-SUM($I$28:AB28)</f>
        <v>-6156.94618662626</v>
      </c>
      <c r="AC26" s="69">
        <f>+AC22-SUM($I$28:AC28)</f>
        <v>-6156.94618662626</v>
      </c>
      <c r="AD26" s="69">
        <f>+AD22-SUM($I$28:AD28)</f>
        <v>-6156.94618662626</v>
      </c>
      <c r="AE26" s="69">
        <f>+AE22-SUM($I$28:AE28)</f>
        <v>-6156.94618662626</v>
      </c>
      <c r="AF26" s="69">
        <f>+AF22-SUM($I$28:AF28)</f>
        <v>-6156.94618662626</v>
      </c>
      <c r="AG26" s="69">
        <f>+AG22-SUM($I$28:AG28)</f>
        <v>-6156.94618662626</v>
      </c>
      <c r="AH26" s="69">
        <f>+AH22-SUM($I$28:AH28)</f>
        <v>-6156.94618662626</v>
      </c>
      <c r="AI26" s="69">
        <f>+AI22-SUM($I$28:AI28)</f>
        <v>-6156.94618662626</v>
      </c>
      <c r="AJ26" s="69">
        <f>+AJ22-SUM($I$28:AJ28)</f>
        <v>-6156.94618662626</v>
      </c>
      <c r="AK26" s="69">
        <f>+AK22-SUM($I$28:AK28)</f>
        <v>-6156.94618662626</v>
      </c>
      <c r="AL26" s="69">
        <f>+AL22-SUM($I$28:AL28)</f>
        <v>-6156.94618662626</v>
      </c>
      <c r="AM26" s="69">
        <f>+AM22-SUM($I$28:AM28)</f>
        <v>-6156.94618662626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109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110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127</v>
      </c>
      <c r="B28" s="71" t="s">
        <v>128</v>
      </c>
      <c r="C28" s="54"/>
      <c r="D28" s="69">
        <f>+D21</f>
        <v>0</v>
      </c>
      <c r="E28" s="69">
        <f aca="true" t="shared" si="12" ref="E28:AM28">+E21</f>
        <v>2400.0000000000023</v>
      </c>
      <c r="F28" s="69">
        <f t="shared" si="12"/>
        <v>2234.329227127021</v>
      </c>
      <c r="G28" s="69">
        <f t="shared" si="12"/>
        <v>2055.4047924242013</v>
      </c>
      <c r="H28" s="69">
        <f t="shared" si="12"/>
        <v>1862.166402945156</v>
      </c>
      <c r="I28" s="69">
        <f t="shared" si="12"/>
        <v>1653.468942307787</v>
      </c>
      <c r="J28" s="69">
        <f t="shared" si="12"/>
        <v>1428.0756848194287</v>
      </c>
      <c r="K28" s="69">
        <f t="shared" si="12"/>
        <v>1184.6509667320017</v>
      </c>
      <c r="L28" s="69">
        <f t="shared" si="12"/>
        <v>921.7522711975805</v>
      </c>
      <c r="M28" s="69">
        <f t="shared" si="12"/>
        <v>637.8216800204056</v>
      </c>
      <c r="N28" s="69">
        <f t="shared" si="12"/>
        <v>331.1766415490565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111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112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114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115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31</v>
      </c>
      <c r="C33" s="54"/>
      <c r="D33" s="54"/>
      <c r="E33" s="82">
        <f>+IF(E22-E21&gt;0,E22-E21,0)</f>
        <v>25529.115339087733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116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34</v>
      </c>
      <c r="C34" s="54"/>
      <c r="D34" s="54"/>
      <c r="E34" s="82">
        <f>+IF(E22-E21-E19&lt;0,E22-E21-E19,0)</f>
        <v>0</v>
      </c>
      <c r="F34" s="82">
        <f>+IF(F22-F21-E22&lt;0,-(F22-F21-E22),0)</f>
        <v>4470.884660912267</v>
      </c>
      <c r="G34" s="82">
        <f aca="true" t="shared" si="14" ref="G34:L34">+IF(G22-G21-F22&lt;0,-(G22-G21-F22),0)</f>
        <v>4470.884660912263</v>
      </c>
      <c r="H34" s="82">
        <f t="shared" si="14"/>
        <v>4470.884660912267</v>
      </c>
      <c r="I34" s="82">
        <f t="shared" si="14"/>
        <v>4470.884660912263</v>
      </c>
      <c r="J34" s="82">
        <f t="shared" si="14"/>
        <v>4470.884660912265</v>
      </c>
      <c r="K34" s="82">
        <f t="shared" si="14"/>
        <v>4470.884660912265</v>
      </c>
      <c r="L34" s="82">
        <f t="shared" si="14"/>
        <v>4470.884660912264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117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118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119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132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133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134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135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136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137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138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139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140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141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142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143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144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145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146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147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148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149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150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151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152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153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154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155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156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157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158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159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160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161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162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163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164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165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166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167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168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169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170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171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172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173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174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175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176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177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178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179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180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181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182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183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184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185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186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187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188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189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190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191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192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193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194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195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196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197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198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199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200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201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202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203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204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205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206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207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208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209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210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211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212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213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214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215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216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52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756</v>
      </c>
      <c r="E4" s="33">
        <f>+Input!G99*Input!$D99</f>
        <v>763.56</v>
      </c>
      <c r="F4" s="33">
        <f>+Input!H99*Input!$D99</f>
        <v>771.1956</v>
      </c>
      <c r="G4" s="33">
        <f>+Input!I99*Input!$D99</f>
        <v>778.907556</v>
      </c>
      <c r="H4" s="33">
        <f>+Input!J99*Input!$D99</f>
        <v>786.69663156</v>
      </c>
      <c r="I4" s="15"/>
    </row>
    <row r="5" spans="2:9" ht="15">
      <c r="B5" s="16"/>
      <c r="C5" s="17" t="str">
        <f>+Input!C100</f>
        <v>Canoni Affitto</v>
      </c>
      <c r="D5" s="33">
        <f>+Input!F100*Input!$D100</f>
        <v>12600</v>
      </c>
      <c r="E5" s="33">
        <f>+Input!G100*Input!$D100</f>
        <v>12726</v>
      </c>
      <c r="F5" s="33">
        <f>+Input!H100*Input!$D100</f>
        <v>12853.26</v>
      </c>
      <c r="G5" s="33">
        <f>+Input!I100*Input!$D100</f>
        <v>12981.792599999999</v>
      </c>
      <c r="H5" s="33">
        <f>+Input!J100*Input!$D100</f>
        <v>13111.610525999999</v>
      </c>
      <c r="I5" s="15"/>
    </row>
    <row r="6" spans="2:9" ht="15">
      <c r="B6" s="16"/>
      <c r="C6" s="17" t="str">
        <f>+Input!C101</f>
        <v>Premi assicurativi</v>
      </c>
      <c r="D6" s="33">
        <f>+Input!F101*Input!$D101</f>
        <v>105</v>
      </c>
      <c r="E6" s="33">
        <f>+Input!G101*Input!$D101</f>
        <v>106.05</v>
      </c>
      <c r="F6" s="33">
        <f>+Input!H101*Input!$D101</f>
        <v>107.1105</v>
      </c>
      <c r="G6" s="33">
        <f>+Input!I101*Input!$D101</f>
        <v>108.18160499999999</v>
      </c>
      <c r="H6" s="33">
        <f>+Input!J101*Input!$D101</f>
        <v>109.26342104999999</v>
      </c>
      <c r="I6" s="15"/>
    </row>
    <row r="7" spans="2:9" ht="15">
      <c r="B7" s="16"/>
      <c r="C7" s="17" t="str">
        <f>+Input!C102</f>
        <v>Manutenzioni</v>
      </c>
      <c r="D7" s="33">
        <f>+Input!F102*Input!$D102</f>
        <v>756</v>
      </c>
      <c r="E7" s="33">
        <f>+Input!G102*Input!$D102</f>
        <v>763.56</v>
      </c>
      <c r="F7" s="33">
        <f>+Input!H102*Input!$D102</f>
        <v>771.1956</v>
      </c>
      <c r="G7" s="33">
        <f>+Input!I102*Input!$D102</f>
        <v>778.907556</v>
      </c>
      <c r="H7" s="33">
        <f>+Input!J102*Input!$D102</f>
        <v>786.69663156</v>
      </c>
      <c r="I7" s="15"/>
    </row>
    <row r="8" spans="2:9" ht="15">
      <c r="B8" s="16"/>
      <c r="C8" s="17" t="str">
        <f>+Input!C103</f>
        <v>Altre spese amministrative</v>
      </c>
      <c r="D8" s="33">
        <f>+Input!F103*Input!$D103</f>
        <v>378</v>
      </c>
      <c r="E8" s="33">
        <f>+Input!G103*Input!$D103</f>
        <v>381.78</v>
      </c>
      <c r="F8" s="33">
        <f>+Input!H103*Input!$D103</f>
        <v>385.5978</v>
      </c>
      <c r="G8" s="33">
        <f>+Input!I103*Input!$D103</f>
        <v>389.453778</v>
      </c>
      <c r="H8" s="33">
        <f>+Input!J103*Input!$D103</f>
        <v>393.34831578</v>
      </c>
      <c r="I8" s="15"/>
    </row>
    <row r="9" spans="2:9" ht="15">
      <c r="B9" s="16"/>
      <c r="C9" s="17" t="str">
        <f>+Input!C104</f>
        <v>Consulenze</v>
      </c>
      <c r="D9" s="33">
        <f>+Input!F104*Input!$D104</f>
        <v>756</v>
      </c>
      <c r="E9" s="33">
        <f>+Input!G104*Input!$D104</f>
        <v>763.56</v>
      </c>
      <c r="F9" s="33">
        <f>+Input!H104*Input!$D104</f>
        <v>771.1956</v>
      </c>
      <c r="G9" s="33">
        <f>+Input!I104*Input!$D104</f>
        <v>778.907556</v>
      </c>
      <c r="H9" s="33">
        <f>+Input!J104*Input!$D104</f>
        <v>786.69663156</v>
      </c>
      <c r="I9" s="15"/>
    </row>
    <row r="10" spans="2:9" ht="15">
      <c r="B10" s="16"/>
      <c r="C10" s="17" t="str">
        <f>+Input!C105</f>
        <v>Altri costi 4</v>
      </c>
      <c r="D10" s="33">
        <f>+Input!F105*Input!$D105</f>
        <v>0</v>
      </c>
      <c r="E10" s="33">
        <f>+Input!G105*Input!$D105</f>
        <v>0</v>
      </c>
      <c r="F10" s="33">
        <f>+Input!H105*Input!$D105</f>
        <v>0</v>
      </c>
      <c r="G10" s="33">
        <f>+Input!I105*Input!$D105</f>
        <v>0</v>
      </c>
      <c r="H10" s="33">
        <f>+Input!J105*Input!$D105</f>
        <v>0</v>
      </c>
      <c r="I10" s="15"/>
    </row>
    <row r="11" spans="2:9" ht="15">
      <c r="B11" s="16"/>
      <c r="C11" s="17" t="str">
        <f>+Input!C106</f>
        <v>Altri costi 5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Altri costi 6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7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Altri costi 8</v>
      </c>
      <c r="D14" s="33">
        <f>+Input!F109*Input!$D109</f>
        <v>0</v>
      </c>
      <c r="E14" s="33">
        <f>+Input!G109*Input!$D109</f>
        <v>0</v>
      </c>
      <c r="F14" s="33">
        <f>+Input!H109*Input!$D109</f>
        <v>0</v>
      </c>
      <c r="G14" s="33">
        <f>+Input!I109*Input!$D109</f>
        <v>0</v>
      </c>
      <c r="H14" s="33">
        <f>+Input!J109*Input!$D109</f>
        <v>0</v>
      </c>
      <c r="I14" s="15"/>
    </row>
    <row r="15" spans="2:9" ht="15">
      <c r="B15" s="16"/>
      <c r="C15" s="17" t="str">
        <f>+Input!C110</f>
        <v>Altri costi 9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Altri costi 10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Altri costi 11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>
      <c r="B18" s="16"/>
      <c r="C18" s="17" t="str">
        <f>+Input!C113</f>
        <v>Altri costi 12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13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14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15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16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17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18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230</v>
      </c>
      <c r="D25" s="34">
        <f>SUM(D4:D24)</f>
        <v>15351</v>
      </c>
      <c r="E25" s="34">
        <f>SUM(E4:E24)</f>
        <v>15504.509999999998</v>
      </c>
      <c r="F25" s="34">
        <f>SUM(F4:F24)</f>
        <v>15659.555100000001</v>
      </c>
      <c r="G25" s="34">
        <f>SUM(G4:G24)</f>
        <v>15816.150650999998</v>
      </c>
      <c r="H25" s="34">
        <f>SUM(H4:H24)</f>
        <v>15974.31215751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34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4356</v>
      </c>
      <c r="E30" s="45">
        <f>+Input!G99+'Altri costi'!E4</f>
        <v>4399.5599999999995</v>
      </c>
      <c r="F30" s="45">
        <f>+Input!H99+'Altri costi'!F4</f>
        <v>4443.5556</v>
      </c>
      <c r="G30" s="45">
        <f>+Input!I99+'Altri costi'!G4</f>
        <v>4487.991156</v>
      </c>
      <c r="H30" s="45">
        <f>+Input!J99+'Altri costi'!H4</f>
        <v>4532.8710675600005</v>
      </c>
      <c r="I30" s="15"/>
    </row>
    <row r="31" spans="2:9" ht="15">
      <c r="B31" s="16"/>
      <c r="C31" s="17" t="str">
        <f t="shared" si="0"/>
        <v>Canoni Affitto</v>
      </c>
      <c r="D31" s="45">
        <f>+Input!F100+'Altri costi'!D5</f>
        <v>72600</v>
      </c>
      <c r="E31" s="45">
        <f>+Input!G100+'Altri costi'!E5</f>
        <v>73326</v>
      </c>
      <c r="F31" s="45">
        <f>+Input!H100+'Altri costi'!F5</f>
        <v>74059.26</v>
      </c>
      <c r="G31" s="45">
        <f>+Input!I100+'Altri costi'!G5</f>
        <v>74799.8526</v>
      </c>
      <c r="H31" s="45">
        <f>+Input!J100+'Altri costi'!H5</f>
        <v>75547.851126</v>
      </c>
      <c r="I31" s="15"/>
    </row>
    <row r="32" spans="2:9" ht="15">
      <c r="B32" s="16"/>
      <c r="C32" s="17" t="str">
        <f t="shared" si="0"/>
        <v>Premi assicurativi</v>
      </c>
      <c r="D32" s="45">
        <f>+Input!F101+'Altri costi'!D6</f>
        <v>605</v>
      </c>
      <c r="E32" s="45">
        <f>+Input!G101+'Altri costi'!E6</f>
        <v>611.05</v>
      </c>
      <c r="F32" s="45">
        <f>+Input!H101+'Altri costi'!F6</f>
        <v>617.1605</v>
      </c>
      <c r="G32" s="45">
        <f>+Input!I101+'Altri costi'!G6</f>
        <v>623.332105</v>
      </c>
      <c r="H32" s="45">
        <f>+Input!J101+'Altri costi'!H6</f>
        <v>629.56542605</v>
      </c>
      <c r="I32" s="15"/>
    </row>
    <row r="33" spans="2:9" ht="15">
      <c r="B33" s="16"/>
      <c r="C33" s="17" t="str">
        <f t="shared" si="0"/>
        <v>Manutenzioni</v>
      </c>
      <c r="D33" s="45">
        <f>+Input!F102+'Altri costi'!D7</f>
        <v>4356</v>
      </c>
      <c r="E33" s="45">
        <f>+Input!G102+'Altri costi'!E7</f>
        <v>4399.5599999999995</v>
      </c>
      <c r="F33" s="45">
        <f>+Input!H102+'Altri costi'!F7</f>
        <v>4443.5556</v>
      </c>
      <c r="G33" s="45">
        <f>+Input!I102+'Altri costi'!G7</f>
        <v>4487.991156</v>
      </c>
      <c r="H33" s="45">
        <f>+Input!J102+'Altri costi'!H7</f>
        <v>4532.8710675600005</v>
      </c>
      <c r="I33" s="15"/>
    </row>
    <row r="34" spans="2:9" ht="15">
      <c r="B34" s="16"/>
      <c r="C34" s="17" t="str">
        <f t="shared" si="0"/>
        <v>Altre spese amministrative</v>
      </c>
      <c r="D34" s="45">
        <f>+Input!F103+'Altri costi'!D8</f>
        <v>2178</v>
      </c>
      <c r="E34" s="45">
        <f>+Input!G103+'Altri costi'!E8</f>
        <v>2199.7799999999997</v>
      </c>
      <c r="F34" s="45">
        <f>+Input!H103+'Altri costi'!F8</f>
        <v>2221.7778</v>
      </c>
      <c r="G34" s="45">
        <f>+Input!I103+'Altri costi'!G8</f>
        <v>2243.995578</v>
      </c>
      <c r="H34" s="45">
        <f>+Input!J103+'Altri costi'!H8</f>
        <v>2266.4355337800002</v>
      </c>
      <c r="I34" s="15"/>
    </row>
    <row r="35" spans="2:9" ht="15">
      <c r="B35" s="16"/>
      <c r="C35" s="17" t="str">
        <f t="shared" si="0"/>
        <v>Consulenze</v>
      </c>
      <c r="D35" s="45">
        <f>+Input!F104+'Altri costi'!D9</f>
        <v>4356</v>
      </c>
      <c r="E35" s="45">
        <f>+Input!G104+'Altri costi'!E9</f>
        <v>4399.5599999999995</v>
      </c>
      <c r="F35" s="45">
        <f>+Input!H104+'Altri costi'!F9</f>
        <v>4443.5556</v>
      </c>
      <c r="G35" s="45">
        <f>+Input!I104+'Altri costi'!G9</f>
        <v>4487.991156</v>
      </c>
      <c r="H35" s="45">
        <f>+Input!J104+'Altri costi'!H9</f>
        <v>4532.8710675600005</v>
      </c>
      <c r="I35" s="15"/>
    </row>
    <row r="36" spans="2:9" ht="15">
      <c r="B36" s="16"/>
      <c r="C36" s="17" t="str">
        <f t="shared" si="0"/>
        <v>Altri costi 4</v>
      </c>
      <c r="D36" s="45">
        <f>+Input!F105+'Altri costi'!D10</f>
        <v>0</v>
      </c>
      <c r="E36" s="45">
        <f>+Input!G105+'Altri costi'!E10</f>
        <v>0</v>
      </c>
      <c r="F36" s="45">
        <f>+Input!H105+'Altri costi'!F10</f>
        <v>0</v>
      </c>
      <c r="G36" s="45">
        <f>+Input!I105+'Altri costi'!G10</f>
        <v>0</v>
      </c>
      <c r="H36" s="45">
        <f>+Input!J105+'Altri costi'!H10</f>
        <v>0</v>
      </c>
      <c r="I36" s="15"/>
    </row>
    <row r="37" spans="2:9" ht="15">
      <c r="B37" s="16"/>
      <c r="C37" s="17" t="str">
        <f t="shared" si="0"/>
        <v>Altri costi 5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Altri costi 6</v>
      </c>
      <c r="D38" s="45">
        <f>+Input!F107+'Altri costi'!D12</f>
        <v>0</v>
      </c>
      <c r="E38" s="45">
        <f>+Input!G107+'Altri costi'!E12</f>
        <v>0</v>
      </c>
      <c r="F38" s="45">
        <f>+Input!H107+'Altri costi'!F12</f>
        <v>0</v>
      </c>
      <c r="G38" s="45">
        <f>+Input!I107+'Altri costi'!G12</f>
        <v>0</v>
      </c>
      <c r="H38" s="45">
        <f>+Input!J107+'Altri costi'!H12</f>
        <v>0</v>
      </c>
      <c r="I38" s="15"/>
    </row>
    <row r="39" spans="2:9" ht="15">
      <c r="B39" s="16"/>
      <c r="C39" s="17" t="str">
        <f t="shared" si="0"/>
        <v>Altri costi 7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Altri costi 8</v>
      </c>
      <c r="D40" s="45">
        <f>+Input!F109+'Altri costi'!D14</f>
        <v>0</v>
      </c>
      <c r="E40" s="45">
        <f>+Input!G109+'Altri costi'!E14</f>
        <v>0</v>
      </c>
      <c r="F40" s="45">
        <f>+Input!H109+'Altri costi'!F14</f>
        <v>0</v>
      </c>
      <c r="G40" s="45">
        <f>+Input!I109+'Altri costi'!G14</f>
        <v>0</v>
      </c>
      <c r="H40" s="45">
        <f>+Input!J109+'Altri costi'!H14</f>
        <v>0</v>
      </c>
      <c r="I40" s="15"/>
    </row>
    <row r="41" spans="2:9" ht="15">
      <c r="B41" s="16"/>
      <c r="C41" s="17" t="str">
        <f t="shared" si="0"/>
        <v>Altri costi 9</v>
      </c>
      <c r="D41" s="45">
        <f>+Input!F110+'Altri costi'!D15</f>
        <v>0</v>
      </c>
      <c r="E41" s="45">
        <f>+Input!G110+'Altri costi'!E15</f>
        <v>0</v>
      </c>
      <c r="F41" s="45">
        <f>+Input!H110+'Altri costi'!F15</f>
        <v>0</v>
      </c>
      <c r="G41" s="45">
        <f>+Input!I110+'Altri costi'!G15</f>
        <v>0</v>
      </c>
      <c r="H41" s="45">
        <f>+Input!J110+'Altri costi'!H15</f>
        <v>0</v>
      </c>
      <c r="I41" s="15"/>
    </row>
    <row r="42" spans="2:9" ht="15">
      <c r="B42" s="16"/>
      <c r="C42" s="17" t="str">
        <f t="shared" si="0"/>
        <v>Altri costi 10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Altri costi 11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>
      <c r="B44" s="16"/>
      <c r="C44" s="17" t="str">
        <f t="shared" si="0"/>
        <v>Altri costi 12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13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14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15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16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17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18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56</v>
      </c>
      <c r="D51" s="50">
        <f>SUM(D30:D50)</f>
        <v>88451</v>
      </c>
      <c r="E51" s="50">
        <f>SUM(E30:E50)</f>
        <v>89335.51</v>
      </c>
      <c r="F51" s="50">
        <f>SUM(F30:F50)</f>
        <v>90228.8651</v>
      </c>
      <c r="G51" s="50">
        <f>SUM(G30:G50)</f>
        <v>91131.153751</v>
      </c>
      <c r="H51" s="50">
        <f>SUM(H30:H50)</f>
        <v>92042.46528851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250</v>
      </c>
      <c r="C2" t="str">
        <f>+Input!D15</f>
        <v>mensile</v>
      </c>
    </row>
    <row r="4" spans="2:7" ht="15">
      <c r="B4" s="86" t="s">
        <v>233</v>
      </c>
      <c r="C4" s="7" t="s">
        <v>241</v>
      </c>
      <c r="D4" s="7" t="s">
        <v>242</v>
      </c>
      <c r="E4" s="7" t="s">
        <v>243</v>
      </c>
      <c r="F4" s="7" t="s">
        <v>244</v>
      </c>
      <c r="G4" s="7" t="s">
        <v>245</v>
      </c>
    </row>
    <row r="5" spans="2:8" ht="15">
      <c r="B5" s="17" t="s">
        <v>15</v>
      </c>
      <c r="C5" s="26">
        <f>+MCL!M41+MCL!D84</f>
        <v>52500</v>
      </c>
      <c r="D5" s="26">
        <f>+MCL!N41+MCL!E84</f>
        <v>61084.799999999996</v>
      </c>
      <c r="E5" s="26">
        <f>+MCL!O41+MCL!F84</f>
        <v>67479.61499999999</v>
      </c>
      <c r="F5" s="26">
        <f>+MCL!P41+MCL!G84</f>
        <v>68154.41114999999</v>
      </c>
      <c r="G5" s="26">
        <f>+MCL!Q41+MCL!H84</f>
        <v>68835.95526149998</v>
      </c>
      <c r="H5" s="85"/>
    </row>
    <row r="6" spans="2:8" ht="15">
      <c r="B6" s="17" t="s">
        <v>20</v>
      </c>
      <c r="C6" s="26">
        <f>+MCL!M55+Inve!M7+'Altri costi'!D25+MCL!D79</f>
        <v>43176</v>
      </c>
      <c r="D6" s="26">
        <f>+MCL!N55+Inve!N7+'Altri costi'!E25+MCL!E79</f>
        <v>18558.75</v>
      </c>
      <c r="E6" s="26">
        <f>+MCL!O55+Inve!O7+'Altri costi'!F25+MCL!F79</f>
        <v>19033.535850000004</v>
      </c>
      <c r="F6" s="26">
        <f>+MCL!P55+Inve!P7+'Altri costi'!G25+MCL!G79</f>
        <v>19223.8712085</v>
      </c>
      <c r="G6" s="26">
        <f>+MCL!Q55+Inve!Q7+'Altri costi'!H25+MCL!H79</f>
        <v>19416.109920585</v>
      </c>
      <c r="H6" s="85"/>
    </row>
    <row r="7" spans="2:8" ht="15">
      <c r="B7" s="87"/>
      <c r="C7" s="35">
        <f>+C6-C5</f>
        <v>-9324</v>
      </c>
      <c r="D7" s="35">
        <f>+D6-D5</f>
        <v>-42526.049999999996</v>
      </c>
      <c r="E7" s="35">
        <f>+E6-E5</f>
        <v>-48446.07914999999</v>
      </c>
      <c r="F7" s="35">
        <f>+F6-F5</f>
        <v>-48930.539941499985</v>
      </c>
      <c r="G7" s="35">
        <f>+G6-G5</f>
        <v>-49419.84534091498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234</v>
      </c>
      <c r="C9" s="87"/>
      <c r="D9" s="87"/>
      <c r="E9" s="87"/>
      <c r="F9" s="87"/>
      <c r="G9" s="87"/>
      <c r="H9" s="87"/>
    </row>
    <row r="10" spans="2:8" ht="15">
      <c r="B10" s="86" t="s">
        <v>235</v>
      </c>
      <c r="C10" s="26">
        <f>+C7</f>
        <v>-9324</v>
      </c>
      <c r="D10" s="26">
        <f>+D7</f>
        <v>-42526.049999999996</v>
      </c>
      <c r="E10" s="26">
        <f>+E7</f>
        <v>-48446.07914999999</v>
      </c>
      <c r="F10" s="26">
        <f>+F7</f>
        <v>-48930.539941499985</v>
      </c>
      <c r="G10" s="26">
        <f>+G7</f>
        <v>-49419.84534091498</v>
      </c>
      <c r="H10" s="87"/>
    </row>
    <row r="11" spans="2:8" ht="15">
      <c r="B11" s="86" t="s">
        <v>236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237</v>
      </c>
      <c r="C12" s="26">
        <f>+IF((C10+C11)&gt;0,0,(C10+C11))</f>
        <v>-9324</v>
      </c>
      <c r="D12" s="26">
        <f>+IF((D10+D11)&gt;0,0,(D10+D11))</f>
        <v>-42526.049999999996</v>
      </c>
      <c r="E12" s="26">
        <f>+IF((E10+E11)&gt;0,0,(E10+E11))</f>
        <v>-48446.07914999999</v>
      </c>
      <c r="F12" s="26">
        <f>+IF((F10+F11)&gt;0,0,(F10+F11))</f>
        <v>-48930.539941499985</v>
      </c>
      <c r="G12" s="26">
        <f>+IF((G10+G11)&gt;0,0,(G10+G11))</f>
        <v>-49419.84534091498</v>
      </c>
      <c r="H12" s="87"/>
    </row>
    <row r="13" spans="2:8" ht="15">
      <c r="B13" s="86" t="s">
        <v>238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239</v>
      </c>
      <c r="C14" s="26">
        <f>+C12*(11/12)</f>
        <v>-8547</v>
      </c>
      <c r="D14" s="26">
        <f>+(D12*(11/12))+(C12-C14)</f>
        <v>-39759.212499999994</v>
      </c>
      <c r="E14" s="26">
        <f>+(E12*(11/12))+(D12-D14)+(C12-C14)</f>
        <v>-47952.74338749999</v>
      </c>
      <c r="F14" s="26">
        <f>+(F12*(11/12))+(E12-E14)+(D12-D14)+(C12-C14)</f>
        <v>-48890.16820887499</v>
      </c>
      <c r="G14" s="26">
        <f>+(G12*(11/12))+(F12-F14)+(E12-E14)+(D12-D14)+(C12-C14)</f>
        <v>-49379.06989096373</v>
      </c>
      <c r="H14" s="87"/>
    </row>
    <row r="15" spans="2:8" ht="15">
      <c r="B15" s="87"/>
      <c r="C15" s="89">
        <f>+C12-C14</f>
        <v>-777</v>
      </c>
      <c r="D15" s="89">
        <f>+D12-D14</f>
        <v>-2766.8375000000015</v>
      </c>
      <c r="E15" s="89">
        <f>+E12-E14</f>
        <v>-493.33576249999896</v>
      </c>
      <c r="F15" s="89">
        <f>+F12-F14</f>
        <v>-40.371732624997094</v>
      </c>
      <c r="G15" s="89">
        <f>+G12-G14</f>
        <v>-40.775449951252085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240</v>
      </c>
      <c r="C17" s="87"/>
      <c r="D17" s="87"/>
      <c r="E17" s="87"/>
      <c r="F17" s="87"/>
      <c r="G17" s="87"/>
      <c r="H17" s="87"/>
    </row>
    <row r="18" spans="2:8" ht="15">
      <c r="B18" s="86" t="s">
        <v>246</v>
      </c>
      <c r="C18" s="26">
        <f>+C7</f>
        <v>-9324</v>
      </c>
      <c r="D18" s="26">
        <f>+D7</f>
        <v>-42526.049999999996</v>
      </c>
      <c r="E18" s="26">
        <f>+E7</f>
        <v>-48446.07914999999</v>
      </c>
      <c r="F18" s="26">
        <f>+F7</f>
        <v>-48930.539941499985</v>
      </c>
      <c r="G18" s="26">
        <f>+G7</f>
        <v>-49419.84534091498</v>
      </c>
      <c r="H18" s="87"/>
    </row>
    <row r="19" spans="2:8" ht="15">
      <c r="B19" s="86" t="s">
        <v>236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237</v>
      </c>
      <c r="C20" s="26">
        <f>+IF((C18+C19)&gt;0,0,(C18+C19))</f>
        <v>-9324</v>
      </c>
      <c r="D20" s="26">
        <f>+IF((D18+D19)&gt;0,0,(D18+D19))</f>
        <v>-42526.049999999996</v>
      </c>
      <c r="E20" s="26">
        <f>+IF((E18+E19)&gt;0,0,(E18+E19))</f>
        <v>-48446.07914999999</v>
      </c>
      <c r="F20" s="26">
        <f>+IF((F18+F19)&gt;0,0,(F18+F19))</f>
        <v>-48930.539941499985</v>
      </c>
      <c r="G20" s="26">
        <f>+IF((G18+G19)&gt;0,0,(G18+G19))</f>
        <v>-49419.84534091498</v>
      </c>
      <c r="H20" s="87"/>
    </row>
    <row r="21" spans="2:8" ht="15">
      <c r="B21" s="86" t="s">
        <v>238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239</v>
      </c>
      <c r="C22" s="26">
        <f>+C20*(9/12)</f>
        <v>-6993</v>
      </c>
      <c r="D22" s="26">
        <f>+(D20*(9/12))+(C20-C22)</f>
        <v>-34225.5375</v>
      </c>
      <c r="E22" s="26">
        <f>+(E20*(9/12)*(9/12))+(D20-D22)+(C20-C22)</f>
        <v>-37882.43202187499</v>
      </c>
      <c r="F22" s="26">
        <f>+(F20*(9/12))+(E20-E22)+(D20-D22)+(C20-C22)</f>
        <v>-57893.06458424998</v>
      </c>
      <c r="G22" s="26">
        <f>+(G20*(9/12))+(F20-F22)+(E20-E22)+(D20-D22)+(C20-C22)</f>
        <v>-49297.51899106124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20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15</v>
      </c>
      <c r="C26" s="26">
        <f>+IF($C$2="mensile",-(C12-C14),-(C20-C22))</f>
        <v>777</v>
      </c>
      <c r="D26" s="26">
        <f>+IF($C$2="mensile",-(D12-D14),-(D20-D22))+C26</f>
        <v>3543.8375000000015</v>
      </c>
      <c r="E26" s="26">
        <f>+IF($C$2="mensile",-(E12-E14),-(E20-E22))+D26</f>
        <v>4037.1732625000004</v>
      </c>
      <c r="F26" s="26">
        <f>+IF($C$2="mensile",-(F12-F14),-(F20-F22))+E26</f>
        <v>4077.5449951249975</v>
      </c>
      <c r="G26" s="26">
        <f>+IF($C$2="mensile",-(G12-G14),-(G20-G22))+F26</f>
        <v>4118.32044507625</v>
      </c>
      <c r="H26" s="87"/>
    </row>
    <row r="27" spans="2:8" ht="15">
      <c r="B27" s="86" t="s">
        <v>239</v>
      </c>
      <c r="C27" s="26">
        <f>IF($C$2="mensile",-C14,-C22)</f>
        <v>8547</v>
      </c>
      <c r="D27" s="26">
        <f>IF($C$2="mensile",-D14,-D22)</f>
        <v>39759.212499999994</v>
      </c>
      <c r="E27" s="26">
        <f>IF($C$2="mensile",-E14,-E22)</f>
        <v>47952.74338749999</v>
      </c>
      <c r="F27" s="26">
        <f>IF($C$2="mensile",-F14,-F22)</f>
        <v>48890.16820887499</v>
      </c>
      <c r="G27" s="26">
        <f>IF($C$2="mensile",-G14,-G22)</f>
        <v>49379.06989096373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251</v>
      </c>
    </row>
    <row r="32" ht="15">
      <c r="B32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272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266</v>
      </c>
      <c r="E6" s="34">
        <f>+'CE'!D51</f>
        <v>43500</v>
      </c>
      <c r="F6" s="34">
        <f>+'CE'!E51</f>
        <v>80705.67077287298</v>
      </c>
      <c r="G6" s="34">
        <f>+'CE'!F51</f>
        <v>107999.56020757578</v>
      </c>
      <c r="H6" s="34">
        <f>+'CE'!G51</f>
        <v>109413.34824705478</v>
      </c>
      <c r="I6" s="34">
        <f>+'CE'!H51</f>
        <v>110854.80085419214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267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268</v>
      </c>
      <c r="E9" s="33">
        <f>+'CE'!D43</f>
        <v>106500</v>
      </c>
      <c r="F9" s="33">
        <f>+'CE'!E43</f>
        <v>107565</v>
      </c>
      <c r="G9" s="33">
        <f>+'CE'!F43</f>
        <v>108640.65000000001</v>
      </c>
      <c r="H9" s="33">
        <f>+'CE'!G43</f>
        <v>109727.05650000002</v>
      </c>
      <c r="I9" s="33">
        <f>+'CE'!H43</f>
        <v>110824.32706500002</v>
      </c>
      <c r="J9" s="15"/>
    </row>
    <row r="10" spans="2:10" ht="15">
      <c r="B10" s="16"/>
      <c r="C10" s="17"/>
      <c r="D10" s="17" t="s">
        <v>218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269</v>
      </c>
      <c r="E11" s="34">
        <f>SUM(E9:E10)</f>
        <v>106500</v>
      </c>
      <c r="F11" s="34">
        <f>SUM(F9:F10)</f>
        <v>107565</v>
      </c>
      <c r="G11" s="34">
        <f>SUM(G9:G10)</f>
        <v>108640.65000000001</v>
      </c>
      <c r="H11" s="34">
        <f>SUM(H9:H10)</f>
        <v>109727.05650000002</v>
      </c>
      <c r="I11" s="34">
        <f>SUM(I9:I10)</f>
        <v>110824.32706500002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270</v>
      </c>
      <c r="E14" s="45">
        <f>+E6+E11</f>
        <v>150000</v>
      </c>
      <c r="F14" s="45">
        <f>+F6+F11</f>
        <v>188270.67077287298</v>
      </c>
      <c r="G14" s="45">
        <f>+G6+G11</f>
        <v>216640.2102075758</v>
      </c>
      <c r="H14" s="45">
        <f>+H6+H11</f>
        <v>219140.4047470548</v>
      </c>
      <c r="I14" s="45">
        <f>+I6+I11</f>
        <v>221679.12791919216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273</v>
      </c>
      <c r="E16" s="45">
        <f>+E14*$D$3</f>
        <v>5850</v>
      </c>
      <c r="F16" s="45">
        <f>+F14*$D$3</f>
        <v>7342.556160142046</v>
      </c>
      <c r="G16" s="45">
        <f>+G14*$D$3</f>
        <v>8448.968198095456</v>
      </c>
      <c r="H16" s="45">
        <f>+H14*$D$3</f>
        <v>8546.475785135137</v>
      </c>
      <c r="I16" s="45">
        <f>+I14*$D$3</f>
        <v>8645.485988848495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274</v>
      </c>
      <c r="E18" s="17">
        <v>0</v>
      </c>
      <c r="F18" s="45">
        <f>+E16*2</f>
        <v>11700</v>
      </c>
      <c r="G18" s="45">
        <f>+F16</f>
        <v>7342.556160142046</v>
      </c>
      <c r="H18" s="45">
        <f>+G16</f>
        <v>8448.968198095456</v>
      </c>
      <c r="I18" s="45">
        <f>+H16</f>
        <v>8546.475785135137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275</v>
      </c>
      <c r="E20" s="45">
        <f>+IF($E$16-$E$18&gt;0,$E$16-$E$18,0)</f>
        <v>5850</v>
      </c>
      <c r="F20" s="45">
        <f>+IF(SUM(E$16:F16)-SUM($E$18:$F$18)&gt;0,SUM($E$16:$F$16)-SUM($E$18:$F$18),0)</f>
        <v>1492.556160142045</v>
      </c>
      <c r="G20" s="45">
        <f>+IF(SUM($E$16:$G$16)-SUM($E$18:$G$18)&gt;0,SUM($E$16:$G$16)-SUM($E$18:$G$18),0)</f>
        <v>2598.9681980954556</v>
      </c>
      <c r="H20" s="45">
        <f>+IF(SUM($E$16:$H$16)-SUM($E$18:$H$18)&gt;0,SUM($E$16:$H$16)-SUM($E$18:$H$18),0)</f>
        <v>2696.475785135135</v>
      </c>
      <c r="I20" s="45">
        <f>+IF(SUM($E$16:$I$16)-SUM($E$18:$I$18)&gt;0,SUM($E$16:$I$16)-SUM($E$18:$I$18),0)</f>
        <v>2795.4859888484934</v>
      </c>
      <c r="J20" s="15"/>
    </row>
    <row r="21" spans="2:10" ht="15">
      <c r="B21" s="16"/>
      <c r="C21" s="17"/>
      <c r="D21" s="17" t="s">
        <v>276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34</v>
      </c>
      <c r="E23" s="45">
        <f>+E18</f>
        <v>0</v>
      </c>
      <c r="F23" s="45">
        <f>+F18</f>
        <v>11700</v>
      </c>
      <c r="G23" s="45">
        <f>+G18</f>
        <v>7342.556160142046</v>
      </c>
      <c r="H23" s="45">
        <f>+H18</f>
        <v>8448.968198095456</v>
      </c>
      <c r="I23" s="45">
        <f>+I18</f>
        <v>8546.475785135137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252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231</v>
      </c>
      <c r="D5" s="88">
        <f>+'CE'!D51</f>
        <v>43500</v>
      </c>
      <c r="E5" s="88">
        <f>+'CE'!E51</f>
        <v>80705.67077287298</v>
      </c>
      <c r="F5" s="88">
        <f>+'CE'!F51</f>
        <v>107999.56020757578</v>
      </c>
      <c r="G5" s="88">
        <f>+'CE'!G51</f>
        <v>109413.34824705478</v>
      </c>
      <c r="H5" s="88">
        <f>+'CE'!H51</f>
        <v>110854.80085419214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253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254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255</v>
      </c>
      <c r="D11" s="88">
        <f>+D5*D7*D9</f>
        <v>43500</v>
      </c>
      <c r="E11" s="88">
        <f>+E5*E7*E9</f>
        <v>80705.67077287298</v>
      </c>
      <c r="F11" s="88">
        <f>+F5*F7*F9</f>
        <v>107999.56020757578</v>
      </c>
      <c r="G11" s="88">
        <f>+G5*G7*G9</f>
        <v>109413.34824705478</v>
      </c>
      <c r="H11" s="88">
        <f>+H5*H7*H9</f>
        <v>110854.80085419214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256</v>
      </c>
      <c r="D15" s="93">
        <f>+D11</f>
        <v>43500</v>
      </c>
      <c r="E15" s="93">
        <f>+E11</f>
        <v>80705.67077287298</v>
      </c>
      <c r="F15" s="93">
        <f>+F11</f>
        <v>107999.56020757578</v>
      </c>
      <c r="G15" s="93">
        <f>+G11</f>
        <v>109413.34824705478</v>
      </c>
      <c r="H15" s="93">
        <f>+H11</f>
        <v>110854.80085419214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257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1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258</v>
      </c>
      <c r="D20" s="86"/>
      <c r="E20" s="86"/>
      <c r="F20" s="148" t="s">
        <v>241</v>
      </c>
      <c r="G20" s="149"/>
      <c r="H20" s="148" t="s">
        <v>242</v>
      </c>
      <c r="I20" s="149"/>
      <c r="J20" s="148" t="s">
        <v>243</v>
      </c>
      <c r="K20" s="149"/>
      <c r="L20" s="148" t="s">
        <v>244</v>
      </c>
      <c r="M20" s="149"/>
      <c r="N20" s="148" t="s">
        <v>245</v>
      </c>
      <c r="O20" s="149"/>
    </row>
    <row r="21" spans="1:15" ht="15">
      <c r="A21" s="92"/>
      <c r="B21" s="86"/>
      <c r="C21" s="95" t="s">
        <v>259</v>
      </c>
      <c r="D21" s="86" t="s">
        <v>260</v>
      </c>
      <c r="E21" s="86" t="s">
        <v>261</v>
      </c>
      <c r="F21" s="86" t="s">
        <v>262</v>
      </c>
      <c r="G21" s="91" t="s">
        <v>265</v>
      </c>
      <c r="H21" s="86" t="s">
        <v>262</v>
      </c>
      <c r="I21" s="91" t="s">
        <v>265</v>
      </c>
      <c r="J21" s="86" t="s">
        <v>262</v>
      </c>
      <c r="K21" s="91" t="s">
        <v>265</v>
      </c>
      <c r="L21" s="86" t="s">
        <v>262</v>
      </c>
      <c r="M21" s="91" t="s">
        <v>265</v>
      </c>
      <c r="N21" s="86" t="s">
        <v>262</v>
      </c>
      <c r="O21" s="91" t="s">
        <v>265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15000</v>
      </c>
      <c r="G22" s="97">
        <f>+$E$22*F22</f>
        <v>3450</v>
      </c>
      <c r="H22" s="97">
        <f>+IF(E15&gt;$D$22,$D22,E15)*H19</f>
        <v>15000</v>
      </c>
      <c r="I22" s="97">
        <f>+$E$22*H22</f>
        <v>3450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13000</v>
      </c>
      <c r="G23" s="97">
        <f>+$E$23*F23</f>
        <v>3510.0000000000005</v>
      </c>
      <c r="H23" s="97">
        <f>+IF(H22=E15,0,IF(E15&gt;$D$23,$D$23-$C$23,E15-$C$23))*H19</f>
        <v>13000</v>
      </c>
      <c r="I23" s="97">
        <f>+$E$23*H23</f>
        <v>3510.0000000000005</v>
      </c>
      <c r="J23" s="97">
        <f>+IF(J22=F15,0,IF(F15&gt;$D$23,$D$23-$C$23,F15-$C$23))*J19</f>
        <v>13000</v>
      </c>
      <c r="K23" s="97">
        <f>+$E$23*J23</f>
        <v>3510.0000000000005</v>
      </c>
      <c r="L23" s="97">
        <f>+IF(L22=G15,0,IF(G15&gt;$D$23,$D$23-$C$23,G15-$C$23))*L19</f>
        <v>13000</v>
      </c>
      <c r="M23" s="97">
        <f>+$E$23*L23</f>
        <v>3510.0000000000005</v>
      </c>
      <c r="N23" s="97">
        <f>+IF(N22=H15,0,IF(H15&gt;$D$23,$D$23-$C$23,H15-$C$23))*N19</f>
        <v>13000</v>
      </c>
      <c r="O23" s="97">
        <f>+$E$23*N23</f>
        <v>3510.0000000000005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15500</v>
      </c>
      <c r="G24" s="97">
        <f>+$E$24*F24</f>
        <v>5890</v>
      </c>
      <c r="H24" s="97">
        <f>+IF(H22+H23=E15,0,IF(E15&gt;$D$24,$D$24-$C$24,E15-$C$24))*H19</f>
        <v>27000</v>
      </c>
      <c r="I24" s="97">
        <f>+$E$24*H24</f>
        <v>10260</v>
      </c>
      <c r="J24" s="97">
        <f>+IF(J22+J23=F15,0,IF(F15&gt;$D$24,$D$24-$C$24,F15-$C$24))*J19</f>
        <v>27000</v>
      </c>
      <c r="K24" s="97">
        <f>+$E$24*J24</f>
        <v>10260</v>
      </c>
      <c r="L24" s="97">
        <f>+IF(L22+L23=G15,0,IF(G15&gt;$D$24,$D$24-$C$24,G15-$C$24))*L19</f>
        <v>27000</v>
      </c>
      <c r="M24" s="97">
        <f>+$E$24*L24</f>
        <v>10260</v>
      </c>
      <c r="N24" s="97">
        <f>+IF(N22+N23=H15,0,IF(H15&gt;$D$24,$D$24-$C$24,H15-$C$24))*N19</f>
        <v>27000</v>
      </c>
      <c r="O24" s="97">
        <f>+$E$24*N24</f>
        <v>10260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20000</v>
      </c>
      <c r="I25" s="97">
        <f>+$E$25*H25</f>
        <v>8200</v>
      </c>
      <c r="J25" s="97">
        <f>+IF(J23+J24+J22=F15,0,IF(F15&gt;$D$25,$D$25-$C$25,F15-$C$25))*J19</f>
        <v>20000</v>
      </c>
      <c r="K25" s="97">
        <f>+$E$25*J25</f>
        <v>8200</v>
      </c>
      <c r="L25" s="97">
        <f>+IF(L23+L24+L22=G15,0,IF(G15&gt;$D$25,$D$25-$C$25,G15-$C$25))*L19</f>
        <v>20000</v>
      </c>
      <c r="M25" s="97">
        <f>+$E$25*L25</f>
        <v>8200</v>
      </c>
      <c r="N25" s="97">
        <f>+IF(N23+N24+N22=H15,0,IF(H15&gt;$D$25,$D$25-$C$25,H15-$C$25))*N19</f>
        <v>20000</v>
      </c>
      <c r="O25" s="97">
        <f>+$E$25*N25</f>
        <v>8200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5705.670772872982</v>
      </c>
      <c r="I26" s="97">
        <f>+$E$26*H26</f>
        <v>2453.438432335382</v>
      </c>
      <c r="J26" s="97">
        <f>+IF(J24+J25+J23+J22=F15,0,F15-$C$26)*J19</f>
        <v>32999.56020757578</v>
      </c>
      <c r="K26" s="97">
        <f>+$E$26*J26</f>
        <v>14189.810889257584</v>
      </c>
      <c r="L26" s="97">
        <f>+IF(L24+L25+L23+L22=G15,0,G15-$C$26)*L19</f>
        <v>34413.348247054775</v>
      </c>
      <c r="M26" s="97">
        <f>+$E$26*L26</f>
        <v>14797.739746233554</v>
      </c>
      <c r="N26" s="97">
        <f>+IF(N24+N25+N23+N22=H15,0,H15-$C$26)*N19</f>
        <v>35854.800854192144</v>
      </c>
      <c r="O26" s="97">
        <f>+$E$26*N26</f>
        <v>15417.564367302622</v>
      </c>
    </row>
    <row r="27" spans="1:15" ht="15">
      <c r="A27" s="92"/>
      <c r="B27" s="86"/>
      <c r="C27" s="91"/>
      <c r="D27" s="91"/>
      <c r="E27" s="86"/>
      <c r="F27" s="86" t="s">
        <v>12</v>
      </c>
      <c r="G27" s="98">
        <f>SUM(G22:G26)</f>
        <v>12850</v>
      </c>
      <c r="H27" s="86" t="s">
        <v>12</v>
      </c>
      <c r="I27" s="98">
        <f>SUM(I22:I26)</f>
        <v>27873.43843233538</v>
      </c>
      <c r="J27" s="86" t="s">
        <v>12</v>
      </c>
      <c r="K27" s="98">
        <f>SUM(K22:K26)</f>
        <v>39609.810889257584</v>
      </c>
      <c r="L27" s="86" t="s">
        <v>12</v>
      </c>
      <c r="M27" s="98">
        <f>SUM(M22:M26)</f>
        <v>40217.73974623355</v>
      </c>
      <c r="N27" s="86" t="s">
        <v>12</v>
      </c>
      <c r="O27" s="98">
        <f>SUM(O22:O26)</f>
        <v>40837.56436730262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252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231</v>
      </c>
      <c r="D5" s="88">
        <f>+'CE'!D51</f>
        <v>43500</v>
      </c>
      <c r="E5" s="88">
        <f>+'CE'!E51</f>
        <v>80705.67077287298</v>
      </c>
      <c r="F5" s="88">
        <f>+'CE'!F51</f>
        <v>107999.56020757578</v>
      </c>
      <c r="G5" s="88">
        <f>+'CE'!G51</f>
        <v>109413.34824705478</v>
      </c>
      <c r="H5" s="88">
        <f>+'CE'!H51</f>
        <v>110854.80085419214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253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335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255</v>
      </c>
      <c r="D11" s="88">
        <f>+D5*D7*D9</f>
        <v>43500</v>
      </c>
      <c r="E11" s="88">
        <f>+E5*E7*E9</f>
        <v>80705.67077287298</v>
      </c>
      <c r="F11" s="88">
        <f>+F5*F7*F9</f>
        <v>107999.56020757578</v>
      </c>
      <c r="G11" s="88">
        <f>+G5*G7*G9</f>
        <v>109413.34824705478</v>
      </c>
      <c r="H11" s="88">
        <f>+H5*H7*H9</f>
        <v>110854.80085419214</v>
      </c>
    </row>
    <row r="13" spans="3:8" ht="15">
      <c r="C13" t="s">
        <v>338</v>
      </c>
      <c r="D13" s="117">
        <f>+T23</f>
        <v>9303.796961</v>
      </c>
      <c r="E13" s="117">
        <f>+U23</f>
        <v>17627.10440804626</v>
      </c>
      <c r="F13" s="117">
        <f>+V23</f>
        <v>23738.206252476215</v>
      </c>
      <c r="G13" s="117">
        <f>+W23</f>
        <v>24054.753394515563</v>
      </c>
      <c r="H13" s="117">
        <f>+X23</f>
        <v>24377.49463325362</v>
      </c>
    </row>
    <row r="15" ht="15">
      <c r="H15" s="125"/>
    </row>
    <row r="18" spans="20:24" ht="15">
      <c r="T18" s="1" t="s">
        <v>241</v>
      </c>
      <c r="U18" s="1" t="s">
        <v>242</v>
      </c>
      <c r="V18" s="1" t="s">
        <v>243</v>
      </c>
      <c r="W18" s="1" t="s">
        <v>244</v>
      </c>
      <c r="X18" s="1" t="s">
        <v>245</v>
      </c>
    </row>
    <row r="19" spans="12:24" ht="25.5">
      <c r="L19" s="150" t="s">
        <v>336</v>
      </c>
      <c r="M19" s="151"/>
      <c r="N19" s="151"/>
      <c r="O19" s="152"/>
      <c r="P19" s="113" t="s">
        <v>341</v>
      </c>
      <c r="Q19" s="113" t="s">
        <v>339</v>
      </c>
      <c r="R19" s="113" t="s">
        <v>340</v>
      </c>
      <c r="S19" s="113" t="s">
        <v>342</v>
      </c>
      <c r="T19" s="119" t="s">
        <v>343</v>
      </c>
      <c r="U19" s="119" t="s">
        <v>343</v>
      </c>
      <c r="V19" s="119" t="s">
        <v>343</v>
      </c>
      <c r="W19" s="119" t="s">
        <v>343</v>
      </c>
      <c r="X19" s="119" t="s">
        <v>343</v>
      </c>
    </row>
    <row r="20" spans="12:24" ht="15">
      <c r="L20" s="150" t="s">
        <v>337</v>
      </c>
      <c r="M20" s="151"/>
      <c r="N20" s="151"/>
      <c r="O20" s="152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50" t="s">
        <v>337</v>
      </c>
      <c r="M21" s="151"/>
      <c r="N21" s="151"/>
      <c r="O21" s="152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6110.906961</v>
      </c>
      <c r="U21" s="120">
        <f>+IF(E11&lt;$P$21,0,IF(E11&gt;$Q$21,(($Q$21-$P$21)*$S$21),((E11-$P$21)*$S$21)))</f>
        <v>6261.492561</v>
      </c>
      <c r="V21" s="120">
        <f>+IF(F11&lt;$P$21,0,IF(F11&gt;$Q$21,(($Q$21-$P$21)*$S$21),((F11-$P$21)*$S$21)))</f>
        <v>6261.492561</v>
      </c>
      <c r="W21" s="120">
        <f>+IF(G11&lt;$P$21,0,IF(G11&gt;$Q$21,(($Q$21-$P$21)*$S$21),((G11-$P$21)*$S$21)))</f>
        <v>6261.492561</v>
      </c>
      <c r="X21" s="120">
        <f>+IF(H11&lt;$P$21,0,IF(H11&gt;$Q$21,(($Q$21-$P$21)*$S$21),((H11-$P$21)*$S$21)))</f>
        <v>6261.492561</v>
      </c>
    </row>
    <row r="22" spans="12:24" ht="15">
      <c r="L22" s="150" t="s">
        <v>337</v>
      </c>
      <c r="M22" s="151"/>
      <c r="N22" s="151"/>
      <c r="O22" s="152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8172.721847046259</v>
      </c>
      <c r="V22" s="120">
        <f>+IF(F11&lt;$P$22,0,(F11-$P$22)*$S$22)</f>
        <v>14283.823691476215</v>
      </c>
      <c r="W22" s="120">
        <f>+IF(G11&lt;$P$22,0,(G11-$P$22)*$S$22)</f>
        <v>14600.370833515562</v>
      </c>
      <c r="X22" s="120">
        <f>+IF(H11&lt;$P$22,0,(H11-$P$22)*$S$22)</f>
        <v>14923.112072253618</v>
      </c>
    </row>
    <row r="23" spans="4:24" ht="15">
      <c r="D23" s="112"/>
      <c r="S23" s="6" t="s">
        <v>12</v>
      </c>
      <c r="T23" s="118">
        <f>SUM(T20:T22)</f>
        <v>9303.796961</v>
      </c>
      <c r="U23" s="118">
        <f>SUM(U20:U22)</f>
        <v>17627.10440804626</v>
      </c>
      <c r="V23" s="118">
        <f>SUM(V20:V22)</f>
        <v>23738.206252476215</v>
      </c>
      <c r="W23" s="118">
        <f>SUM(W20:W22)</f>
        <v>24054.753394515563</v>
      </c>
      <c r="X23" s="118">
        <f>SUM(X20:X22)</f>
        <v>24377.49463325362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33</v>
      </c>
      <c r="C3" s="25">
        <f>+MCL!D69+finanziamento!E33+Input!D29+'Mutuo invitalia'!E33+Input!D147</f>
        <v>358029.11533908773</v>
      </c>
      <c r="D3" s="25">
        <f>+MCL!E69+finanziamento!F33+Input!E29+C3+'Mutuo invitalia'!F33+Input!E147</f>
        <v>709993.9153390877</v>
      </c>
      <c r="E3" s="25">
        <f>+MCL!F69+finanziamento!G33+Input!F29+D3+'Mutuo invitalia'!G33+Input!F147</f>
        <v>1098805.0303390878</v>
      </c>
      <c r="F3" s="25">
        <f>+MCL!G69+finanziamento!H33+Input!G29+E3+'Mutuo invitalia'!H33+Input!G147</f>
        <v>1491504.2564890878</v>
      </c>
      <c r="G3" s="25">
        <f>+MCL!H69+finanziamento!I33+Input!H29+F3+'Mutuo invitalia'!I33+Input!H147</f>
        <v>1888130.4749005877</v>
      </c>
    </row>
    <row r="4" spans="2:8" ht="15">
      <c r="B4" t="s">
        <v>56</v>
      </c>
      <c r="C4" s="25">
        <f>+MCL!M69+Inve!M23+Personale!D23+finanziamento!E34+'Altri costi'!D51+Iva!C27+Irap!E23+Input!D30+MCL!D89+Input!D130+'Mutuo invitalia'!E34</f>
        <v>357823</v>
      </c>
      <c r="D4" s="25">
        <f>+MCL!N69+Inve!N23+Personale!E23+finanziamento!F34+'Altri costi'!E51+Iva!D27+Irap!F23+Input!E30+C4+MCL!E89+Input!E130+'Mutuo invitalia'!F34</f>
        <v>657191.8471609122</v>
      </c>
      <c r="E4" s="25">
        <f>+MCL!O69+Inve!O23+Personale!F23+finanziamento!G34+'Altri costi'!F51+Iva!E27+Irap!G23+Input!F30+D4+MCL!F89+Input!F130+'Mutuo invitalia'!G34</f>
        <v>999147.5022194665</v>
      </c>
      <c r="F4" s="25">
        <f>+MCL!P69+Inve!P23+Personale!G23+finanziamento!H34+'Altri costi'!G51+Iva!F27+Irap!H23+Input!G30+E4+MCL!G89+Input!G130+'Mutuo invitalia'!H34</f>
        <v>1375268.8888458493</v>
      </c>
      <c r="G4" s="25">
        <f>+MCL!Q69+Inve!Q23+Personale!H23+finanziamento!I34+'Altri costi'!H51+Iva!G27+Irap!I23+Input!H30+F4+MCL!H89+Input!H130+'Mutuo invitalia'!I34</f>
        <v>1754119.7983969455</v>
      </c>
      <c r="H4" s="25"/>
    </row>
    <row r="6" spans="2:7" ht="15">
      <c r="B6" t="s">
        <v>312</v>
      </c>
      <c r="C6" s="85">
        <f>+IF((C3-C4)&gt;0,(C3-C4),0)</f>
        <v>206.1153390877298</v>
      </c>
      <c r="D6" s="85">
        <f>+IF((D3-D4)&gt;0,(D3-D4),0)</f>
        <v>52802.06817817548</v>
      </c>
      <c r="E6" s="85">
        <f>+IF((E3-E4)&gt;0,(E3-E4),0)</f>
        <v>99657.52811962133</v>
      </c>
      <c r="F6" s="85">
        <f>+IF((F3-F4)&gt;0,(F3-F4),0)</f>
        <v>116235.36764323851</v>
      </c>
      <c r="G6" s="85">
        <f>+IF((G3-G4)&gt;0,(G3-G4),0)</f>
        <v>134010.67650364223</v>
      </c>
    </row>
    <row r="7" spans="2:7" ht="15">
      <c r="B7" t="s">
        <v>313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314</v>
      </c>
      <c r="C9" s="85">
        <f>+C7*Input!$D$123</f>
        <v>0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320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323</v>
      </c>
    </row>
    <row r="13" spans="2:7" ht="15">
      <c r="B13" t="s">
        <v>314</v>
      </c>
      <c r="C13" s="85">
        <f>+C7*Input!$D$123</f>
        <v>0</v>
      </c>
      <c r="D13" s="85">
        <f>+D7*Input!$D$123+C13</f>
        <v>0</v>
      </c>
      <c r="E13" s="85">
        <f>+E7*Input!$D$123+D13</f>
        <v>0</v>
      </c>
      <c r="F13" s="85">
        <f>+F7*Input!$D$123+E13</f>
        <v>0</v>
      </c>
      <c r="G13" s="85">
        <f>+G7*Input!$D$123+F13</f>
        <v>0</v>
      </c>
    </row>
    <row r="14" spans="2:7" ht="15">
      <c r="B14" t="s">
        <v>320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315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321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322</v>
      </c>
      <c r="C19" s="85"/>
      <c r="D19" s="85"/>
      <c r="E19" s="85"/>
      <c r="F19" s="85"/>
      <c r="G19" s="85"/>
    </row>
    <row r="20" spans="2:7" ht="15">
      <c r="B20" t="s">
        <v>33</v>
      </c>
      <c r="C20" s="85">
        <f>+C3+C17</f>
        <v>358029.11533908773</v>
      </c>
      <c r="D20" s="85">
        <f>+D3+D17</f>
        <v>709993.9153390877</v>
      </c>
      <c r="E20" s="85">
        <f>+E3+E17</f>
        <v>1098805.0303390878</v>
      </c>
      <c r="F20" s="85">
        <f>+F3+F17</f>
        <v>1491504.2564890878</v>
      </c>
      <c r="G20" s="85">
        <f>+G3+G17</f>
        <v>1888130.4749005877</v>
      </c>
    </row>
    <row r="21" spans="2:7" ht="15">
      <c r="B21" t="s">
        <v>56</v>
      </c>
      <c r="C21" s="85">
        <f>+C4+C16</f>
        <v>357823</v>
      </c>
      <c r="D21" s="85">
        <f>+D4+D16</f>
        <v>657191.8471609122</v>
      </c>
      <c r="E21" s="85">
        <f>+E4+E16</f>
        <v>999147.5022194665</v>
      </c>
      <c r="F21" s="85">
        <f>+F4+F16</f>
        <v>1375268.8888458493</v>
      </c>
      <c r="G21" s="85">
        <f>+G4+G16</f>
        <v>1754119.7983969455</v>
      </c>
    </row>
    <row r="23" spans="2:7" ht="15">
      <c r="B23" t="s">
        <v>312</v>
      </c>
      <c r="C23" s="85">
        <f>+IF((C20-C21)&gt;0,(C20-C21),0)</f>
        <v>206.1153390877298</v>
      </c>
      <c r="D23" s="85">
        <f>+IF((D20-D21)&gt;0,(D20-D21),0)</f>
        <v>52802.06817817548</v>
      </c>
      <c r="E23" s="85">
        <f>+IF((E20-E21)&gt;0,(E20-E21),0)</f>
        <v>99657.52811962133</v>
      </c>
      <c r="F23" s="85">
        <f>+IF((F20-F21)&gt;0,(F20-F21),0)</f>
        <v>116235.36764323851</v>
      </c>
      <c r="G23" s="85">
        <f>+IF((G20-G21)&gt;0,(G20-G21),0)</f>
        <v>134010.67650364223</v>
      </c>
    </row>
    <row r="24" spans="2:7" ht="15">
      <c r="B24" t="s">
        <v>313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326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29</v>
      </c>
      <c r="C4" s="35">
        <f>+Banca!C23</f>
        <v>206.1153390877298</v>
      </c>
      <c r="D4" s="35">
        <f>+Banca!D23</f>
        <v>52802.06817817548</v>
      </c>
      <c r="E4" s="35">
        <f>+Banca!E23</f>
        <v>99657.52811962133</v>
      </c>
      <c r="F4" s="35">
        <f>+Banca!F23</f>
        <v>116235.36764323851</v>
      </c>
      <c r="G4" s="35">
        <f>+Banca!G23</f>
        <v>134010.67650364223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307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14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20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278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35</v>
      </c>
      <c r="C11" s="35">
        <f>+MCL!M27</f>
        <v>0</v>
      </c>
      <c r="D11" s="35">
        <f>+MCL!N27</f>
        <v>0</v>
      </c>
      <c r="E11" s="35">
        <f>+MCL!O27</f>
        <v>0</v>
      </c>
      <c r="F11" s="35">
        <f>+MCL!P27</f>
        <v>0</v>
      </c>
      <c r="G11" s="35">
        <f>+MCL!Q27</f>
        <v>0</v>
      </c>
      <c r="H11" s="25"/>
    </row>
    <row r="13" spans="2:7" ht="15">
      <c r="B13" s="7" t="s">
        <v>36</v>
      </c>
      <c r="C13" s="35">
        <f>+C14+C15+C16-C17-C18-C19</f>
        <v>108000</v>
      </c>
      <c r="D13" s="35">
        <f>+D14+D15+D16-D17-D18-D19</f>
        <v>96000</v>
      </c>
      <c r="E13" s="35">
        <f>+E14+E15+E16-E17-E18-E19</f>
        <v>84000</v>
      </c>
      <c r="F13" s="35">
        <f>+F14+F15+F16-F17-F18-F19</f>
        <v>72000</v>
      </c>
      <c r="G13" s="35">
        <f>+G14+G15+G16-G17-G18-G19</f>
        <v>60000</v>
      </c>
    </row>
    <row r="14" spans="2:7" ht="15">
      <c r="B14" t="s">
        <v>48</v>
      </c>
      <c r="C14" s="26">
        <f>+Input!E62</f>
        <v>110000</v>
      </c>
      <c r="D14" s="26">
        <f>+Input!F62+C14</f>
        <v>110000</v>
      </c>
      <c r="E14" s="26">
        <f>+Input!G62+D14</f>
        <v>110000</v>
      </c>
      <c r="F14" s="26">
        <f>+Input!H62+E14</f>
        <v>110000</v>
      </c>
      <c r="G14" s="26">
        <f>+Input!I62+F14</f>
        <v>110000</v>
      </c>
    </row>
    <row r="15" spans="2:7" ht="15">
      <c r="B15" t="s">
        <v>49</v>
      </c>
      <c r="C15" s="26">
        <f>+Input!E63</f>
        <v>10000</v>
      </c>
      <c r="D15" s="26">
        <f>+Input!F63+C15</f>
        <v>10000</v>
      </c>
      <c r="E15" s="26">
        <f>+Input!G63+D15</f>
        <v>10000</v>
      </c>
      <c r="F15" s="26">
        <f>+Input!H63+E15</f>
        <v>10000</v>
      </c>
      <c r="G15" s="26">
        <f>+Input!I63+F15</f>
        <v>10000</v>
      </c>
    </row>
    <row r="16" spans="2:7" ht="15">
      <c r="B16" t="s">
        <v>369</v>
      </c>
      <c r="C16" s="26">
        <f>+Inve!D71</f>
        <v>0</v>
      </c>
      <c r="D16" s="26">
        <f>+Inve!E71</f>
        <v>0</v>
      </c>
      <c r="E16" s="26">
        <f>+Inve!F71</f>
        <v>0</v>
      </c>
      <c r="F16" s="26">
        <f>+Inve!G71</f>
        <v>0</v>
      </c>
      <c r="G16" s="26">
        <f>+Inve!H71</f>
        <v>0</v>
      </c>
    </row>
    <row r="17" spans="2:7" ht="15">
      <c r="B17" t="s">
        <v>50</v>
      </c>
      <c r="C17" s="26">
        <f>+Inve!D62</f>
        <v>11000</v>
      </c>
      <c r="D17" s="26">
        <f>+Inve!E62</f>
        <v>22000</v>
      </c>
      <c r="E17" s="26">
        <f>+Inve!F62</f>
        <v>33000</v>
      </c>
      <c r="F17" s="26">
        <f>+Inve!G62</f>
        <v>44000</v>
      </c>
      <c r="G17" s="26">
        <f>+Inve!H62</f>
        <v>55000</v>
      </c>
    </row>
    <row r="18" spans="2:7" ht="15">
      <c r="B18" t="s">
        <v>51</v>
      </c>
      <c r="C18" s="26">
        <f>+Inve!D63</f>
        <v>1000</v>
      </c>
      <c r="D18" s="26">
        <f>+Inve!E63</f>
        <v>2000</v>
      </c>
      <c r="E18" s="26">
        <f>+Inve!F63</f>
        <v>3000</v>
      </c>
      <c r="F18" s="26">
        <f>+Inve!G63</f>
        <v>4000</v>
      </c>
      <c r="G18" s="26">
        <f>+Inve!H63</f>
        <v>5000</v>
      </c>
    </row>
    <row r="19" spans="3:7" ht="15">
      <c r="C19" s="26"/>
      <c r="D19" s="26"/>
      <c r="E19" s="26"/>
      <c r="F19" s="26"/>
      <c r="G19" s="26"/>
    </row>
    <row r="20" spans="3:7" ht="15">
      <c r="C20" s="26"/>
      <c r="D20" s="26"/>
      <c r="E20" s="26"/>
      <c r="F20" s="26"/>
      <c r="G20" s="26"/>
    </row>
    <row r="21" spans="2:7" ht="15">
      <c r="B21" t="s">
        <v>359</v>
      </c>
      <c r="C21" s="26">
        <f>+Input!D130</f>
        <v>0</v>
      </c>
      <c r="D21" s="26">
        <f>+Input!E130+C21</f>
        <v>0</v>
      </c>
      <c r="E21" s="26">
        <f>+Input!F130+D21</f>
        <v>0</v>
      </c>
      <c r="F21" s="26">
        <f>+Input!G130+E21</f>
        <v>0</v>
      </c>
      <c r="G21" s="26">
        <f>+Input!H130+F21</f>
        <v>0</v>
      </c>
    </row>
    <row r="23" spans="2:12" ht="15">
      <c r="B23" s="6" t="s">
        <v>25</v>
      </c>
      <c r="C23" s="35">
        <f>+C13+C11+C6+C4+C21</f>
        <v>108206.11533908773</v>
      </c>
      <c r="D23" s="35">
        <f>+D13+D11+D6+D4+D21</f>
        <v>148802.06817817548</v>
      </c>
      <c r="E23" s="35">
        <f>+E13+E11+E6+E4+E21</f>
        <v>183657.52811962133</v>
      </c>
      <c r="F23" s="35">
        <f>+F13+F11+F6+F4+F21</f>
        <v>188235.3676432385</v>
      </c>
      <c r="G23" s="35">
        <f>+G13+G11+G6+G4+G21</f>
        <v>194010.67650364223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30</v>
      </c>
      <c r="C27" s="35">
        <f>+Banca!C24</f>
        <v>0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308</v>
      </c>
      <c r="C29" s="35">
        <f>SUM(C30:C33)</f>
        <v>6627</v>
      </c>
      <c r="D29" s="35">
        <f>SUM(D30:D33)</f>
        <v>5036.393660142046</v>
      </c>
      <c r="E29" s="35">
        <f>SUM(E30:E33)</f>
        <v>6636.141460595456</v>
      </c>
      <c r="F29" s="35">
        <f>SUM(F30:F33)</f>
        <v>6774.020780260133</v>
      </c>
      <c r="G29" s="35">
        <f>SUM(G30:G33)</f>
        <v>6913.806433924743</v>
      </c>
      <c r="H29" s="25"/>
    </row>
    <row r="30" spans="2:12" ht="15">
      <c r="B30" t="s">
        <v>19</v>
      </c>
      <c r="C30" s="26">
        <f>+MCL!D55</f>
        <v>0</v>
      </c>
      <c r="D30" s="26">
        <f>+MCL!E55</f>
        <v>0</v>
      </c>
      <c r="E30" s="26">
        <f>+MCL!F55</f>
        <v>0</v>
      </c>
      <c r="F30" s="26">
        <f>+MCL!G55</f>
        <v>0</v>
      </c>
      <c r="G30" s="26">
        <f>+MCL!H55</f>
        <v>0</v>
      </c>
      <c r="L30" s="25"/>
    </row>
    <row r="31" spans="2:12" ht="15">
      <c r="B31" t="s">
        <v>57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279</v>
      </c>
      <c r="C32" s="26">
        <f>+Irap!E20</f>
        <v>5850</v>
      </c>
      <c r="D32" s="26">
        <f>+Irap!F20</f>
        <v>1492.556160142045</v>
      </c>
      <c r="E32" s="26">
        <f>+Irap!G20</f>
        <v>2598.9681980954556</v>
      </c>
      <c r="F32" s="26">
        <f>+Irap!H20</f>
        <v>2696.475785135135</v>
      </c>
      <c r="G32" s="26">
        <f>+Irap!I20</f>
        <v>2795.4859888484934</v>
      </c>
      <c r="L32" s="25"/>
    </row>
    <row r="33" spans="2:8" ht="15">
      <c r="B33" t="s">
        <v>16</v>
      </c>
      <c r="C33" s="26">
        <f>+Iva!C26</f>
        <v>777</v>
      </c>
      <c r="D33" s="26">
        <f>+Iva!D26</f>
        <v>3543.8375000000015</v>
      </c>
      <c r="E33" s="26">
        <f>+Iva!E26</f>
        <v>4037.1732625000004</v>
      </c>
      <c r="F33" s="26">
        <f>+Iva!F26</f>
        <v>4077.5449951249975</v>
      </c>
      <c r="G33" s="26">
        <f>+Iva!G26</f>
        <v>4118.32044507625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311</v>
      </c>
      <c r="C35" s="35">
        <f>SUM(C36:C40)</f>
        <v>63929.11533908774</v>
      </c>
      <c r="D35" s="35">
        <f>SUM(D36:D40)</f>
        <v>67752.55990530249</v>
      </c>
      <c r="E35" s="35">
        <f>SUM(E36:E40)</f>
        <v>71457.68003681443</v>
      </c>
      <c r="F35" s="35">
        <f>SUM(F36:F40)</f>
        <v>75030.76777884732</v>
      </c>
      <c r="G35" s="35">
        <f>SUM(G36:G40)</f>
        <v>78456.97612024285</v>
      </c>
      <c r="H35" s="25"/>
    </row>
    <row r="36" spans="2:8" ht="15">
      <c r="B36" t="s">
        <v>309</v>
      </c>
      <c r="C36" s="26">
        <f>+Personale!D22</f>
        <v>6000</v>
      </c>
      <c r="D36" s="26">
        <f>+Personale!E22+C36</f>
        <v>12060</v>
      </c>
      <c r="E36" s="26">
        <f>+Personale!F22+D36</f>
        <v>18180.6</v>
      </c>
      <c r="F36" s="26">
        <f>+Personale!G22+E36</f>
        <v>24362.406</v>
      </c>
      <c r="G36" s="26">
        <f>+Personale!H22+F36</f>
        <v>30606.03006</v>
      </c>
      <c r="H36" s="25"/>
    </row>
    <row r="37" spans="2:8" ht="15">
      <c r="B37" t="s">
        <v>361</v>
      </c>
      <c r="C37" s="26">
        <f>+'Mutuo invitalia'!E22</f>
        <v>0</v>
      </c>
      <c r="D37" s="26">
        <f>+'Mutuo invitalia'!F22</f>
        <v>0</v>
      </c>
      <c r="E37" s="26">
        <f>+'Mutuo invitalia'!G22</f>
        <v>0</v>
      </c>
      <c r="F37" s="26">
        <f>+'Mutuo invitalia'!H22</f>
        <v>0</v>
      </c>
      <c r="G37" s="26">
        <f>+'Mutuo invitalia'!I22</f>
        <v>0</v>
      </c>
      <c r="H37" s="25"/>
    </row>
    <row r="38" spans="2:8" ht="15">
      <c r="B38" t="s">
        <v>217</v>
      </c>
      <c r="C38" s="102">
        <f>+finanziamento!E22</f>
        <v>27929.115339087737</v>
      </c>
      <c r="D38" s="102">
        <f>+finanziamento!F22</f>
        <v>25692.559905302493</v>
      </c>
      <c r="E38" s="102">
        <f>+finanziamento!G22</f>
        <v>23277.08003681443</v>
      </c>
      <c r="F38" s="102">
        <f>+finanziamento!H22</f>
        <v>20668.36177884732</v>
      </c>
      <c r="G38" s="102">
        <f>+finanziamento!I22</f>
        <v>17850.946060242844</v>
      </c>
      <c r="H38" s="25"/>
    </row>
    <row r="39" spans="2:8" ht="15">
      <c r="B39" t="s">
        <v>364</v>
      </c>
      <c r="C39" s="102">
        <f>+Input!D147</f>
        <v>0</v>
      </c>
      <c r="D39" s="102">
        <f>+C39+Input!E147</f>
        <v>0</v>
      </c>
      <c r="E39" s="102">
        <f>+D39+Input!F147</f>
        <v>0</v>
      </c>
      <c r="F39" s="102">
        <f>+E39+Input!G147</f>
        <v>0</v>
      </c>
      <c r="G39" s="102">
        <f>+F39+Input!H147</f>
        <v>0</v>
      </c>
      <c r="H39" s="25"/>
    </row>
    <row r="40" spans="2:8" ht="15">
      <c r="B40" t="s">
        <v>310</v>
      </c>
      <c r="C40" s="102">
        <f>+Input!D29</f>
        <v>30000</v>
      </c>
      <c r="D40" s="102">
        <f>+C40+Input!E29</f>
        <v>30000</v>
      </c>
      <c r="E40" s="102">
        <f>+D40+Input!F29</f>
        <v>30000</v>
      </c>
      <c r="F40" s="102">
        <f>+E40+Input!G29</f>
        <v>30000</v>
      </c>
      <c r="G40" s="102">
        <f>+F40+Input!H29</f>
        <v>30000</v>
      </c>
      <c r="H40" s="25"/>
    </row>
    <row r="42" spans="2:7" ht="15">
      <c r="B42" s="6" t="s">
        <v>231</v>
      </c>
      <c r="C42" s="35">
        <f>SUM(C43:C44)</f>
        <v>37650</v>
      </c>
      <c r="D42" s="35">
        <f>SUM(D43:D44)</f>
        <v>76013.11461273093</v>
      </c>
      <c r="E42" s="35">
        <f>SUM(E43:E44)</f>
        <v>105563.70662221125</v>
      </c>
      <c r="F42" s="35">
        <f>SUM(F43:F44)</f>
        <v>106430.57908413089</v>
      </c>
      <c r="G42" s="35">
        <f>SUM(G43:G44)</f>
        <v>108639.89394947454</v>
      </c>
    </row>
    <row r="43" spans="2:8" ht="15">
      <c r="B43" t="s">
        <v>28</v>
      </c>
      <c r="D43" s="26">
        <f>+C43+C44</f>
        <v>37650</v>
      </c>
      <c r="E43" s="26">
        <f>+D43+D44</f>
        <v>76013.11461273093</v>
      </c>
      <c r="F43" s="26">
        <f>+E43+E44</f>
        <v>105563.70662221125</v>
      </c>
      <c r="G43" s="26">
        <f>+F43+F44</f>
        <v>106430.57908413089</v>
      </c>
      <c r="H43" s="25"/>
    </row>
    <row r="44" spans="2:9" ht="15">
      <c r="B44" t="s">
        <v>27</v>
      </c>
      <c r="C44" s="26">
        <f>+'CE'!D55</f>
        <v>37650</v>
      </c>
      <c r="D44" s="26">
        <f>+'CE'!E55-Input!E30</f>
        <v>38363.11461273093</v>
      </c>
      <c r="E44" s="26">
        <f>+'CE'!F55-Input!F30</f>
        <v>29550.592009480315</v>
      </c>
      <c r="F44" s="26">
        <f>+'CE'!G55-Input!G30</f>
        <v>866.8724619196437</v>
      </c>
      <c r="G44" s="26">
        <f>+'CE'!H55-Input!H30</f>
        <v>2209.314865343651</v>
      </c>
      <c r="H44" s="25"/>
      <c r="I44" s="25"/>
    </row>
    <row r="45" spans="2:8" ht="15">
      <c r="B45" s="6" t="s">
        <v>26</v>
      </c>
      <c r="C45" s="35">
        <f>+C27+C29+C35+C42</f>
        <v>108206.11533908773</v>
      </c>
      <c r="D45" s="35">
        <f>+D27+D29+D35+D42</f>
        <v>148802.06817817548</v>
      </c>
      <c r="E45" s="35">
        <f>+E27+E29+E35+E42</f>
        <v>183657.52811962116</v>
      </c>
      <c r="F45" s="35">
        <f>+F27+F29+F35+F42</f>
        <v>188235.36764323834</v>
      </c>
      <c r="G45" s="35">
        <f>+G27+G29+G35+G42</f>
        <v>194010.6765036421</v>
      </c>
      <c r="H45" s="35"/>
    </row>
    <row r="47" spans="2:7" ht="15">
      <c r="B47" s="6" t="s">
        <v>303</v>
      </c>
      <c r="C47" s="25">
        <f>+C23-C45</f>
        <v>0</v>
      </c>
      <c r="D47" s="25">
        <f>+D23-D45</f>
        <v>0</v>
      </c>
      <c r="E47" s="25">
        <f>+E23-E45</f>
        <v>0</v>
      </c>
      <c r="F47" s="25">
        <f>+F23-F45</f>
        <v>0</v>
      </c>
      <c r="G47" s="25">
        <f>+G23-G45</f>
        <v>0</v>
      </c>
    </row>
    <row r="48" spans="3:7" ht="15">
      <c r="C48" s="25"/>
      <c r="D48" s="25"/>
      <c r="E48" s="25"/>
      <c r="F48" s="25"/>
      <c r="G48" s="25"/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326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250000</v>
      </c>
      <c r="E3" s="35">
        <f>+MCL!E13</f>
        <v>290880</v>
      </c>
      <c r="F3" s="35">
        <f>+MCL!F13</f>
        <v>321331.5</v>
      </c>
      <c r="G3" s="35">
        <f>+MCL!G13</f>
        <v>324544.81499999994</v>
      </c>
      <c r="H3" s="35">
        <f>+MCL!H13</f>
        <v>327790.26314999996</v>
      </c>
    </row>
    <row r="5" spans="2:8" ht="15">
      <c r="B5" s="6" t="s">
        <v>354</v>
      </c>
      <c r="D5" s="35">
        <f>+D7-D8+D6</f>
        <v>12500.000000000011</v>
      </c>
      <c r="E5" s="35">
        <f>+E7-E8+E6</f>
        <v>14544.000000000013</v>
      </c>
      <c r="F5" s="35">
        <f>+F7-F8+F6</f>
        <v>16066.575000000013</v>
      </c>
      <c r="G5" s="35">
        <f>+G7-G8+G6</f>
        <v>16227.240750000012</v>
      </c>
      <c r="H5" s="35">
        <f>+H7-H8+H6</f>
        <v>16389.513157500012</v>
      </c>
    </row>
    <row r="6" spans="2:8" ht="15" hidden="1">
      <c r="B6" t="s">
        <v>366</v>
      </c>
      <c r="D6" s="35"/>
      <c r="E6" s="35">
        <f>+D8</f>
        <v>0</v>
      </c>
      <c r="F6" s="35">
        <f>+E8</f>
        <v>0</v>
      </c>
      <c r="G6" s="35">
        <f>+F8</f>
        <v>0</v>
      </c>
      <c r="H6" s="35">
        <f>+G8</f>
        <v>0</v>
      </c>
    </row>
    <row r="7" spans="2:8" ht="15">
      <c r="B7" t="s">
        <v>8</v>
      </c>
      <c r="C7" s="6"/>
      <c r="D7" s="35">
        <f>+MCL!D27+MCL!M27</f>
        <v>12500.000000000011</v>
      </c>
      <c r="E7" s="35">
        <f>+MCL!E27+MCL!N27-MCL!M27</f>
        <v>14544.000000000013</v>
      </c>
      <c r="F7" s="35">
        <f>+MCL!F27+MCL!O27-MCL!N27</f>
        <v>16066.575000000013</v>
      </c>
      <c r="G7" s="35">
        <f>+MCL!G27+MCL!P27-MCL!O27</f>
        <v>16227.240750000012</v>
      </c>
      <c r="H7" s="35">
        <f>+MCL!H27+MCL!Q27-MCL!P27</f>
        <v>16389.513157500012</v>
      </c>
    </row>
    <row r="8" spans="2:8" ht="15" hidden="1">
      <c r="B8" t="s">
        <v>367</v>
      </c>
      <c r="C8" s="6"/>
      <c r="D8" s="35">
        <f>+MCL!M27</f>
        <v>0</v>
      </c>
      <c r="E8" s="35">
        <f>+MCL!N27</f>
        <v>0</v>
      </c>
      <c r="F8" s="35">
        <f>+MCL!O27</f>
        <v>0</v>
      </c>
      <c r="G8" s="35">
        <f>+MCL!P27</f>
        <v>0</v>
      </c>
      <c r="H8" s="35">
        <f>+MCL!Q27</f>
        <v>0</v>
      </c>
    </row>
    <row r="9" spans="3:8" ht="15">
      <c r="C9" s="6"/>
      <c r="D9" s="35"/>
      <c r="E9" s="35"/>
      <c r="F9" s="35"/>
      <c r="G9" s="35"/>
      <c r="H9" s="35"/>
    </row>
    <row r="10" spans="3:8" ht="15">
      <c r="C10" s="6"/>
      <c r="D10" s="35"/>
      <c r="E10" s="35"/>
      <c r="F10" s="35"/>
      <c r="G10" s="35"/>
      <c r="H10" s="35"/>
    </row>
    <row r="11" spans="4:8" ht="15">
      <c r="D11" s="26"/>
      <c r="E11" s="26"/>
      <c r="F11" s="26"/>
      <c r="G11" s="26"/>
      <c r="H11" s="26"/>
    </row>
    <row r="12" spans="2:8" ht="15">
      <c r="B12" s="6" t="s">
        <v>304</v>
      </c>
      <c r="C12" s="6"/>
      <c r="D12" s="35">
        <f>+D3-D5-D10</f>
        <v>237500</v>
      </c>
      <c r="E12" s="35">
        <f>+E3-E5-E10</f>
        <v>276336</v>
      </c>
      <c r="F12" s="35">
        <f>+F3-F5-F10</f>
        <v>305264.925</v>
      </c>
      <c r="G12" s="35">
        <f>+G3-G5-G10</f>
        <v>308317.57424999995</v>
      </c>
      <c r="H12" s="35">
        <f>+H3-H5-H10</f>
        <v>311400.74999249994</v>
      </c>
    </row>
    <row r="13" spans="2:8" ht="15">
      <c r="B13" t="s">
        <v>368</v>
      </c>
      <c r="D13" s="130">
        <f>+D12/D3</f>
        <v>0.95</v>
      </c>
      <c r="E13" s="130">
        <f>+E12/E3</f>
        <v>0.95</v>
      </c>
      <c r="F13" s="130">
        <f>+F12/F3</f>
        <v>0.95</v>
      </c>
      <c r="G13" s="130">
        <f>+G12/G3</f>
        <v>0.95</v>
      </c>
      <c r="H13" s="130">
        <f>+H12/H3</f>
        <v>0.95</v>
      </c>
    </row>
    <row r="15" spans="2:8" ht="15">
      <c r="B15" s="6" t="s">
        <v>219</v>
      </c>
      <c r="C15" s="6"/>
      <c r="D15" s="35">
        <f>SUM(D16:D36)</f>
        <v>73100</v>
      </c>
      <c r="E15" s="35">
        <f>SUM(E16:E36)</f>
        <v>73831</v>
      </c>
      <c r="F15" s="35">
        <f>SUM(F16:F36)</f>
        <v>74569.31</v>
      </c>
      <c r="G15" s="35">
        <f>SUM(G16:G36)</f>
        <v>75315.0031</v>
      </c>
      <c r="H15" s="35">
        <f>SUM(H16:H36)</f>
        <v>76068.153131</v>
      </c>
    </row>
    <row r="16" spans="2:8" ht="15">
      <c r="B16" t="str">
        <f>+Input!C99</f>
        <v>Spese Utenze</v>
      </c>
      <c r="D16" s="26">
        <f>+Input!F99</f>
        <v>3600</v>
      </c>
      <c r="E16" s="26">
        <f>+Input!G99</f>
        <v>3636</v>
      </c>
      <c r="F16" s="26">
        <f>+Input!H99</f>
        <v>3672.36</v>
      </c>
      <c r="G16" s="26">
        <f>+Input!I99</f>
        <v>3709.0836000000004</v>
      </c>
      <c r="H16" s="26">
        <f>+Input!J99</f>
        <v>3746.1744360000002</v>
      </c>
    </row>
    <row r="17" spans="2:8" ht="15">
      <c r="B17" t="str">
        <f>+Input!C100</f>
        <v>Canoni Affitto</v>
      </c>
      <c r="D17" s="26">
        <f>+Input!F100</f>
        <v>60000</v>
      </c>
      <c r="E17" s="26">
        <f>+Input!G100</f>
        <v>60600</v>
      </c>
      <c r="F17" s="26">
        <f>+Input!H100</f>
        <v>61206</v>
      </c>
      <c r="G17" s="26">
        <f>+Input!I100</f>
        <v>61818.06</v>
      </c>
      <c r="H17" s="26">
        <f>+Input!J100</f>
        <v>62436.2406</v>
      </c>
    </row>
    <row r="18" spans="2:8" ht="15">
      <c r="B18" t="str">
        <f>+Input!C101</f>
        <v>Premi assicurativi</v>
      </c>
      <c r="D18" s="26">
        <f>+Input!F101</f>
        <v>500</v>
      </c>
      <c r="E18" s="26">
        <f>+Input!G101</f>
        <v>505</v>
      </c>
      <c r="F18" s="26">
        <f>+Input!H101</f>
        <v>510.05</v>
      </c>
      <c r="G18" s="26">
        <f>+Input!I101</f>
        <v>515.1505</v>
      </c>
      <c r="H18" s="26">
        <f>+Input!J101</f>
        <v>520.302005</v>
      </c>
    </row>
    <row r="19" spans="2:8" ht="15">
      <c r="B19" t="str">
        <f>+Input!C102</f>
        <v>Manutenzioni</v>
      </c>
      <c r="D19" s="26">
        <f>+Input!F102</f>
        <v>3600</v>
      </c>
      <c r="E19" s="26">
        <f>+Input!G102</f>
        <v>3636</v>
      </c>
      <c r="F19" s="26">
        <f>+Input!H102</f>
        <v>3672.36</v>
      </c>
      <c r="G19" s="26">
        <f>+Input!I102</f>
        <v>3709.0836000000004</v>
      </c>
      <c r="H19" s="26">
        <f>+Input!J102</f>
        <v>3746.1744360000002</v>
      </c>
    </row>
    <row r="20" spans="2:8" ht="15">
      <c r="B20" t="str">
        <f>+Input!C103</f>
        <v>Altre spese amministrative</v>
      </c>
      <c r="D20" s="26">
        <f>+Input!F103</f>
        <v>1800</v>
      </c>
      <c r="E20" s="26">
        <f>+Input!G103</f>
        <v>1818</v>
      </c>
      <c r="F20" s="26">
        <f>+Input!H103</f>
        <v>1836.18</v>
      </c>
      <c r="G20" s="26">
        <f>+Input!I103</f>
        <v>1854.5418000000002</v>
      </c>
      <c r="H20" s="26">
        <f>+Input!J103</f>
        <v>1873.0872180000001</v>
      </c>
    </row>
    <row r="21" spans="2:8" ht="15">
      <c r="B21" t="str">
        <f>+Input!C104</f>
        <v>Consulenze</v>
      </c>
      <c r="D21" s="26">
        <f>+Input!F104</f>
        <v>3600</v>
      </c>
      <c r="E21" s="26">
        <f>+Input!G104</f>
        <v>3636</v>
      </c>
      <c r="F21" s="26">
        <f>+Input!H104</f>
        <v>3672.36</v>
      </c>
      <c r="G21" s="26">
        <f>+Input!I104</f>
        <v>3709.0836000000004</v>
      </c>
      <c r="H21" s="26">
        <f>+Input!J104</f>
        <v>3746.1744360000002</v>
      </c>
    </row>
    <row r="22" spans="2:8" ht="15">
      <c r="B22" t="str">
        <f>+Input!C105</f>
        <v>Altri costi 4</v>
      </c>
      <c r="D22" s="26">
        <f>+Input!F105</f>
        <v>0</v>
      </c>
      <c r="E22" s="26">
        <f>+Input!G105</f>
        <v>0</v>
      </c>
      <c r="F22" s="26">
        <f>+Input!H105</f>
        <v>0</v>
      </c>
      <c r="G22" s="26">
        <f>+Input!I105</f>
        <v>0</v>
      </c>
      <c r="H22" s="26">
        <f>+Input!J105</f>
        <v>0</v>
      </c>
    </row>
    <row r="23" spans="2:8" ht="15">
      <c r="B23" t="str">
        <f>+Input!C106</f>
        <v>Altri costi 5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Altri costi 6</v>
      </c>
      <c r="D24" s="26">
        <f>+Input!F107</f>
        <v>0</v>
      </c>
      <c r="E24" s="26">
        <f>+Input!G107</f>
        <v>0</v>
      </c>
      <c r="F24" s="26">
        <f>+Input!H107</f>
        <v>0</v>
      </c>
      <c r="G24" s="26">
        <f>+Input!I107</f>
        <v>0</v>
      </c>
      <c r="H24" s="26">
        <f>+Input!J107</f>
        <v>0</v>
      </c>
    </row>
    <row r="25" spans="2:8" ht="15">
      <c r="B25" t="str">
        <f>+Input!C108</f>
        <v>Altri costi 7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Altri costi 8</v>
      </c>
      <c r="D26" s="26">
        <f>+Input!F109</f>
        <v>0</v>
      </c>
      <c r="E26" s="26">
        <f>+Input!G109</f>
        <v>0</v>
      </c>
      <c r="F26" s="26">
        <f>+Input!H109</f>
        <v>0</v>
      </c>
      <c r="G26" s="26">
        <f>+Input!I109</f>
        <v>0</v>
      </c>
      <c r="H26" s="26">
        <f>+Input!J109</f>
        <v>0</v>
      </c>
    </row>
    <row r="27" spans="2:8" ht="15">
      <c r="B27" t="str">
        <f>+Input!C110</f>
        <v>Altri costi 9</v>
      </c>
      <c r="D27" s="26">
        <f>+Input!F110</f>
        <v>0</v>
      </c>
      <c r="E27" s="26">
        <f>+Input!G110</f>
        <v>0</v>
      </c>
      <c r="F27" s="26">
        <f>+Input!H110</f>
        <v>0</v>
      </c>
      <c r="G27" s="26">
        <f>+Input!I110</f>
        <v>0</v>
      </c>
      <c r="H27" s="26">
        <f>+Input!J110</f>
        <v>0</v>
      </c>
    </row>
    <row r="28" spans="2:8" ht="15">
      <c r="B28" t="str">
        <f>+Input!C111</f>
        <v>Altri costi 10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Altri costi 11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>
      <c r="B30" t="str">
        <f>+Input!C113</f>
        <v>Altri costi 12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13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14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15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16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17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18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306</v>
      </c>
      <c r="C38" s="6"/>
      <c r="D38" s="35">
        <f>SUM(D39:D41)</f>
        <v>12000</v>
      </c>
      <c r="E38" s="35">
        <f>SUM(E39:E41)</f>
        <v>12000</v>
      </c>
      <c r="F38" s="35">
        <f>SUM(F39:F41)</f>
        <v>12000</v>
      </c>
      <c r="G38" s="35">
        <f>SUM(G39:G41)</f>
        <v>12000</v>
      </c>
      <c r="H38" s="35">
        <f>SUM(H39:H41)</f>
        <v>12000</v>
      </c>
    </row>
    <row r="39" spans="2:8" ht="15">
      <c r="B39" t="s">
        <v>46</v>
      </c>
      <c r="D39" s="26">
        <f>+Inve!D57</f>
        <v>11000</v>
      </c>
      <c r="E39" s="26">
        <f>+Inve!E57</f>
        <v>11000</v>
      </c>
      <c r="F39" s="26">
        <f>+Inve!F57</f>
        <v>11000</v>
      </c>
      <c r="G39" s="26">
        <f>+Inve!G57</f>
        <v>11000</v>
      </c>
      <c r="H39" s="26">
        <f>+Inve!H57</f>
        <v>11000</v>
      </c>
    </row>
    <row r="40" spans="2:8" ht="15">
      <c r="B40" t="s">
        <v>47</v>
      </c>
      <c r="D40" s="26">
        <f>+Inve!D58</f>
        <v>1000</v>
      </c>
      <c r="E40" s="26">
        <f>+Inve!E58</f>
        <v>1000</v>
      </c>
      <c r="F40" s="26">
        <f>+Inve!F58</f>
        <v>1000</v>
      </c>
      <c r="G40" s="26">
        <f>+Inve!G58</f>
        <v>1000</v>
      </c>
      <c r="H40" s="26">
        <f>+Inve!H58</f>
        <v>1000</v>
      </c>
    </row>
    <row r="41" spans="2:8" ht="15">
      <c r="B41" t="s">
        <v>372</v>
      </c>
      <c r="D41" s="26"/>
      <c r="E41" s="26"/>
      <c r="F41" s="26"/>
      <c r="G41" s="26"/>
      <c r="H41" s="26"/>
    </row>
    <row r="42" spans="4:8" ht="15">
      <c r="D42" s="26"/>
      <c r="E42" s="26"/>
      <c r="F42" s="26"/>
      <c r="G42" s="26"/>
      <c r="H42" s="26"/>
    </row>
    <row r="43" spans="2:8" ht="15">
      <c r="B43" s="6" t="s">
        <v>69</v>
      </c>
      <c r="C43" s="6"/>
      <c r="D43" s="35">
        <f>+Personale!D8</f>
        <v>106500</v>
      </c>
      <c r="E43" s="35">
        <f>+Personale!E8</f>
        <v>107565</v>
      </c>
      <c r="F43" s="35">
        <f>+Personale!F8</f>
        <v>108640.65000000001</v>
      </c>
      <c r="G43" s="35">
        <f>+Personale!G8</f>
        <v>109727.05650000002</v>
      </c>
      <c r="H43" s="35">
        <f>+Personale!H8</f>
        <v>110824.32706500002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305</v>
      </c>
      <c r="C45" s="6"/>
      <c r="D45" s="35">
        <f>+D12-D15-D38-D43</f>
        <v>45900</v>
      </c>
      <c r="E45" s="35">
        <f>+E12-E15-E38-E43</f>
        <v>82940</v>
      </c>
      <c r="F45" s="35">
        <f>+F12-F15-F38-F43</f>
        <v>110054.96499999998</v>
      </c>
      <c r="G45" s="35">
        <f>+G12-G15-G38-G43</f>
        <v>111275.51464999992</v>
      </c>
      <c r="H45" s="35">
        <f>+H12-H15-H38-H43</f>
        <v>112508.26979649992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319</v>
      </c>
      <c r="C47" s="6"/>
      <c r="D47" s="35">
        <f>-D48+D49</f>
        <v>-2400.0000000000023</v>
      </c>
      <c r="E47" s="35">
        <f>-E48+E49</f>
        <v>-2234.329227127021</v>
      </c>
      <c r="F47" s="35">
        <f>-F48+F49</f>
        <v>-2055.4047924242013</v>
      </c>
      <c r="G47" s="35">
        <f>-G48+G49</f>
        <v>-1862.166402945156</v>
      </c>
      <c r="H47" s="35">
        <f>-H48+H49</f>
        <v>-1653.468942307787</v>
      </c>
    </row>
    <row r="48" spans="2:8" ht="15">
      <c r="B48" t="s">
        <v>123</v>
      </c>
      <c r="D48" s="26">
        <f>+finanziamento!E28+Banca!C9+'Mutuo invitalia'!E28</f>
        <v>2400.0000000000023</v>
      </c>
      <c r="E48" s="26">
        <f>+finanziamento!F28+Banca!D9+'Mutuo invitalia'!F28</f>
        <v>2234.329227127021</v>
      </c>
      <c r="F48" s="26">
        <f>+finanziamento!G28+Banca!E9+'Mutuo invitalia'!G28</f>
        <v>2055.4047924242013</v>
      </c>
      <c r="G48" s="26">
        <f>+finanziamento!H28+Banca!F9+'Mutuo invitalia'!H28</f>
        <v>1862.166402945156</v>
      </c>
      <c r="H48" s="26">
        <f>+finanziamento!I28+Banca!G9+'Mutuo invitalia'!I28</f>
        <v>1653.468942307787</v>
      </c>
    </row>
    <row r="49" spans="2:8" ht="15">
      <c r="B49" t="s">
        <v>318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229</v>
      </c>
      <c r="C51" s="6"/>
      <c r="D51" s="35">
        <f>+D45+D47</f>
        <v>43500</v>
      </c>
      <c r="E51" s="35">
        <f>+E45+E47</f>
        <v>80705.67077287298</v>
      </c>
      <c r="F51" s="35">
        <f>+F45+F47</f>
        <v>107999.56020757578</v>
      </c>
      <c r="G51" s="35">
        <f>+G45+G47</f>
        <v>109413.34824705478</v>
      </c>
      <c r="H51" s="35">
        <f>+H45+H47</f>
        <v>110854.80085419214</v>
      </c>
    </row>
    <row r="53" spans="2:8" ht="15">
      <c r="B53" t="s">
        <v>271</v>
      </c>
      <c r="D53" s="35">
        <f>+Irap!E16</f>
        <v>5850</v>
      </c>
      <c r="E53" s="35">
        <f>+Irap!F16</f>
        <v>7342.556160142046</v>
      </c>
      <c r="F53" s="35">
        <f>+Irap!G16</f>
        <v>8448.968198095456</v>
      </c>
      <c r="G53" s="35">
        <f>+Irap!H16</f>
        <v>8546.475785135137</v>
      </c>
      <c r="H53" s="35">
        <f>+Irap!I16</f>
        <v>8645.485988848495</v>
      </c>
    </row>
    <row r="55" spans="2:8" ht="15">
      <c r="B55" s="6" t="s">
        <v>277</v>
      </c>
      <c r="D55" s="35">
        <f>+D51-D53</f>
        <v>37650</v>
      </c>
      <c r="E55" s="35">
        <f>+E51-E53</f>
        <v>73363.11461273093</v>
      </c>
      <c r="F55" s="35">
        <f>+F51-F53</f>
        <v>99550.59200948032</v>
      </c>
      <c r="G55" s="35">
        <f>+G51-G53</f>
        <v>100866.87246191964</v>
      </c>
      <c r="H55" s="35">
        <f>+H51-H53</f>
        <v>102209.31486534365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334</v>
      </c>
      <c r="C60" s="12"/>
      <c r="D60" s="17"/>
      <c r="E60" s="17"/>
      <c r="F60" s="17"/>
      <c r="G60" s="17"/>
      <c r="H60" s="15"/>
    </row>
    <row r="61" spans="2:8" ht="15">
      <c r="B61" s="16" t="s">
        <v>333</v>
      </c>
      <c r="C61" s="121">
        <f>+Input!D27</f>
        <v>1</v>
      </c>
      <c r="D61" s="34">
        <f>+'Irpef socio'!G27</f>
        <v>12850</v>
      </c>
      <c r="E61" s="34">
        <f>+'Irpef socio'!I27</f>
        <v>27873.43843233538</v>
      </c>
      <c r="F61" s="34">
        <f>+'Irpef socio'!K27</f>
        <v>39609.810889257584</v>
      </c>
      <c r="G61" s="34">
        <f>+'Irpef socio'!M27</f>
        <v>40217.73974623355</v>
      </c>
      <c r="H61" s="122">
        <f>+'Irpef socio'!O27</f>
        <v>40837.56436730262</v>
      </c>
    </row>
    <row r="62" spans="2:8" ht="15">
      <c r="B62" s="16" t="s">
        <v>344</v>
      </c>
      <c r="C62" s="121">
        <f>+Input!D27</f>
        <v>1</v>
      </c>
      <c r="D62" s="34">
        <f>+'Inps socio'!T23</f>
        <v>9303.796961</v>
      </c>
      <c r="E62" s="34">
        <f>+'Inps socio'!U23</f>
        <v>17627.10440804626</v>
      </c>
      <c r="F62" s="34">
        <f>+'Inps socio'!V23</f>
        <v>23738.206252476215</v>
      </c>
      <c r="G62" s="34">
        <f>+'Inps socio'!W23</f>
        <v>24054.753394515563</v>
      </c>
      <c r="H62" s="122">
        <f>+'Inps socio'!X23</f>
        <v>24377.49463325362</v>
      </c>
    </row>
    <row r="63" spans="2:8" ht="15">
      <c r="B63" s="123" t="s">
        <v>332</v>
      </c>
      <c r="C63" s="121">
        <f>+Input!D27</f>
        <v>1</v>
      </c>
      <c r="D63" s="34">
        <f>+(D55*$C$63)-D61-D62</f>
        <v>15496.203039</v>
      </c>
      <c r="E63" s="34">
        <f>+(E55*$C$63)-E61-E62</f>
        <v>27862.571772349293</v>
      </c>
      <c r="F63" s="34">
        <f>+(F55*$C$63)-F61-F62</f>
        <v>36202.574867746516</v>
      </c>
      <c r="G63" s="34">
        <f>+(G55*$C$63)-G61-G62</f>
        <v>36594.379321170534</v>
      </c>
      <c r="H63" s="122">
        <f>+(H55*$C$63)-H61-H62</f>
        <v>36994.25586478741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326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280</v>
      </c>
    </row>
    <row r="3" spans="2:7" ht="15">
      <c r="B3" s="6" t="s">
        <v>281</v>
      </c>
      <c r="C3" s="101">
        <f>+'CE'!D45</f>
        <v>45900</v>
      </c>
      <c r="D3" s="101">
        <f>+'CE'!E45</f>
        <v>82940</v>
      </c>
      <c r="E3" s="101">
        <f>+'CE'!F45</f>
        <v>110054.96499999998</v>
      </c>
      <c r="F3" s="101">
        <f>+'CE'!G45</f>
        <v>111275.51464999992</v>
      </c>
      <c r="G3" s="101">
        <f>+'CE'!H45</f>
        <v>112508.26979649992</v>
      </c>
    </row>
    <row r="4" spans="2:7" ht="15">
      <c r="B4" t="s">
        <v>282</v>
      </c>
      <c r="C4" s="25">
        <f>+SP!C36</f>
        <v>6000</v>
      </c>
      <c r="D4" s="25">
        <f>+SP!D36-SP!C36</f>
        <v>6060</v>
      </c>
      <c r="E4" s="25">
        <f>+SP!E36-SP!D36</f>
        <v>6120.5999999999985</v>
      </c>
      <c r="F4" s="25">
        <f>+SP!F36-SP!E36</f>
        <v>6181.8060000000005</v>
      </c>
      <c r="G4" s="25">
        <f>+SP!G36-SP!F36</f>
        <v>6243.624060000002</v>
      </c>
    </row>
    <row r="5" spans="2:7" ht="15">
      <c r="B5" t="s">
        <v>283</v>
      </c>
      <c r="C5" s="25">
        <f>+'CE'!D38</f>
        <v>12000</v>
      </c>
      <c r="D5" s="25">
        <f>+'CE'!E38</f>
        <v>12000</v>
      </c>
      <c r="E5" s="25">
        <f>+'CE'!F38</f>
        <v>12000</v>
      </c>
      <c r="F5" s="25">
        <f>+'CE'!G38</f>
        <v>12000</v>
      </c>
      <c r="G5" s="25">
        <f>+'CE'!H38</f>
        <v>12000</v>
      </c>
    </row>
    <row r="6" spans="2:7" ht="15">
      <c r="B6" t="s">
        <v>284</v>
      </c>
      <c r="C6" s="101">
        <f>+C3+C4+C5</f>
        <v>63900</v>
      </c>
      <c r="D6" s="101">
        <f>+D3+D4+D5</f>
        <v>101000</v>
      </c>
      <c r="E6" s="101">
        <f>+E3+E4+E5</f>
        <v>128175.56499999997</v>
      </c>
      <c r="F6" s="101">
        <f>+F3+F4+F5</f>
        <v>129457.32064999992</v>
      </c>
      <c r="G6" s="101">
        <f>+G3+G4+G5</f>
        <v>130751.89385649993</v>
      </c>
    </row>
    <row r="8" spans="2:7" ht="15">
      <c r="B8" s="6" t="s">
        <v>285</v>
      </c>
      <c r="C8" s="101">
        <f>SUM(C9:C13)</f>
        <v>6627</v>
      </c>
      <c r="D8" s="101">
        <f>SUM(D9:D13)</f>
        <v>-1590.6063398579536</v>
      </c>
      <c r="E8" s="101">
        <f>SUM(E9:E13)</f>
        <v>1599.7478004534096</v>
      </c>
      <c r="F8" s="101">
        <f>SUM(F9:F13)</f>
        <v>137.8793196646766</v>
      </c>
      <c r="G8" s="101">
        <f>SUM(G9:G13)</f>
        <v>139.78565366461044</v>
      </c>
    </row>
    <row r="9" spans="2:7" ht="15">
      <c r="B9" t="s">
        <v>286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287</v>
      </c>
      <c r="C10" s="25">
        <f>-SP!C8+SP!C33</f>
        <v>777</v>
      </c>
      <c r="D10" s="25">
        <f>+SP!C8-SP!D8+SP!D33-SP!C33</f>
        <v>2766.8375000000015</v>
      </c>
      <c r="E10" s="25">
        <f>+SP!D8-SP!E8+SP!E33-SP!D33</f>
        <v>493.33576249999896</v>
      </c>
      <c r="F10" s="25">
        <f>+SP!E8-SP!F8+SP!F33-SP!E33</f>
        <v>40.371732624997094</v>
      </c>
      <c r="G10" s="25">
        <f>+SP!F8-SP!G8+SP!G33-SP!F33</f>
        <v>40.775449951252085</v>
      </c>
    </row>
    <row r="11" spans="2:7" ht="15">
      <c r="B11" t="s">
        <v>288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289</v>
      </c>
      <c r="C12" s="25">
        <f>+SP!C30</f>
        <v>0</v>
      </c>
      <c r="D12" s="25">
        <f>+SP!D30-SP!C30</f>
        <v>0</v>
      </c>
      <c r="E12" s="25">
        <f>+SP!E30-SP!D30</f>
        <v>0</v>
      </c>
      <c r="F12" s="25">
        <f>+SP!F30-SP!E30</f>
        <v>0</v>
      </c>
      <c r="G12" s="25">
        <f>+SP!G30-SP!F30</f>
        <v>0</v>
      </c>
    </row>
    <row r="13" spans="2:7" ht="15">
      <c r="B13" t="s">
        <v>287</v>
      </c>
      <c r="C13" s="25">
        <f>+SP!C32-SP!C9</f>
        <v>5850</v>
      </c>
      <c r="D13" s="25">
        <f>+SP!D32-SP!C32+SP!C9-SP!D9</f>
        <v>-4357.443839857955</v>
      </c>
      <c r="E13" s="25">
        <f>+SP!E32-SP!D32+SP!D9-SP!E9</f>
        <v>1106.4120379534106</v>
      </c>
      <c r="F13" s="25">
        <f>+SP!F32-SP!E32+SP!E9-SP!F9</f>
        <v>97.50758703967949</v>
      </c>
      <c r="G13" s="25">
        <f>+SP!G32-SP!F32+SP!F9-SP!G9</f>
        <v>99.01020371335835</v>
      </c>
    </row>
    <row r="14" ht="15">
      <c r="A14" s="105"/>
    </row>
    <row r="15" spans="2:7" ht="15">
      <c r="B15" s="6" t="s">
        <v>290</v>
      </c>
      <c r="C15" s="101">
        <f>+C6+C8</f>
        <v>70527</v>
      </c>
      <c r="D15" s="101">
        <f>+D6+D8</f>
        <v>99409.39366014204</v>
      </c>
      <c r="E15" s="101">
        <f>+E6+E8</f>
        <v>129775.31280045338</v>
      </c>
      <c r="F15" s="101">
        <f>+F6+F8</f>
        <v>129595.1999696646</v>
      </c>
      <c r="G15" s="101">
        <f>+G6+G8</f>
        <v>130891.67951016454</v>
      </c>
    </row>
    <row r="17" spans="2:7" ht="15">
      <c r="B17" s="6" t="s">
        <v>291</v>
      </c>
      <c r="C17" s="101">
        <f>SUM(C18:C20)</f>
        <v>-120000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292</v>
      </c>
      <c r="C18" s="25">
        <f>-SP!C14</f>
        <v>-110000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293</v>
      </c>
      <c r="C19" s="25">
        <f>-SP!C15</f>
        <v>-10000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375</v>
      </c>
      <c r="C20" s="25">
        <f>-SP!C16</f>
        <v>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2:7" ht="15">
      <c r="B21" s="131" t="s">
        <v>360</v>
      </c>
      <c r="C21" s="101">
        <f>-SP!C21</f>
        <v>0</v>
      </c>
      <c r="D21" s="101">
        <f>+SP!C21-SP!D21</f>
        <v>0</v>
      </c>
      <c r="E21" s="101">
        <f>+SP!D21-SP!E21</f>
        <v>0</v>
      </c>
      <c r="F21" s="101">
        <f>+SP!E21-SP!F21</f>
        <v>0</v>
      </c>
      <c r="G21" s="101">
        <f>+SP!F21-SP!G21</f>
        <v>0</v>
      </c>
    </row>
    <row r="23" spans="2:7" ht="15">
      <c r="B23" s="6" t="s">
        <v>294</v>
      </c>
      <c r="C23" s="101">
        <f>+C15+C17+C21</f>
        <v>-49473</v>
      </c>
      <c r="D23" s="101">
        <f>+D15+D17+D21</f>
        <v>99409.39366014204</v>
      </c>
      <c r="E23" s="101">
        <f>+E15+E17+E21</f>
        <v>129775.31280045338</v>
      </c>
      <c r="F23" s="101">
        <f>+F15+F17+F21</f>
        <v>129595.1999696646</v>
      </c>
      <c r="G23" s="101">
        <f>+G15+G17+G21</f>
        <v>130891.67951016454</v>
      </c>
    </row>
    <row r="25" spans="2:7" ht="15">
      <c r="B25" t="s">
        <v>295</v>
      </c>
      <c r="C25" s="101">
        <f>SUM(C26:C30)</f>
        <v>57929.11533908774</v>
      </c>
      <c r="D25" s="101">
        <f>SUM(D26:D30)</f>
        <v>-2236.5554337852445</v>
      </c>
      <c r="E25" s="101">
        <f>SUM(E26:E30)</f>
        <v>-2415.4798684880625</v>
      </c>
      <c r="F25" s="101">
        <f>SUM(F26:F30)</f>
        <v>-2608.71825796711</v>
      </c>
      <c r="G25" s="101">
        <f>SUM(G26:G30)</f>
        <v>-2817.415718604476</v>
      </c>
    </row>
    <row r="26" spans="2:7" ht="15">
      <c r="B26" t="s">
        <v>296</v>
      </c>
      <c r="C26" s="25">
        <f>+SP!C38</f>
        <v>27929.115339087737</v>
      </c>
      <c r="D26" s="25">
        <f>+SP!D38-SP!C38</f>
        <v>-2236.5554337852445</v>
      </c>
      <c r="E26" s="25">
        <f>+SP!E38-SP!D38</f>
        <v>-2415.4798684880625</v>
      </c>
      <c r="F26" s="25">
        <f>+SP!F38-SP!E38</f>
        <v>-2608.71825796711</v>
      </c>
      <c r="G26" s="25">
        <f>+SP!G38-SP!F38</f>
        <v>-2817.415718604476</v>
      </c>
    </row>
    <row r="27" spans="2:7" ht="15">
      <c r="B27" t="s">
        <v>297</v>
      </c>
      <c r="C27" s="25">
        <f>+SP!C40</f>
        <v>30000</v>
      </c>
      <c r="D27" s="25">
        <f>+SP!D40-SP!C40</f>
        <v>0</v>
      </c>
      <c r="E27" s="25">
        <f>+SP!E40-SP!D40</f>
        <v>0</v>
      </c>
      <c r="F27" s="25">
        <f>+SP!F40-SP!E40</f>
        <v>0</v>
      </c>
      <c r="G27" s="25">
        <f>+SP!G40-SP!F40</f>
        <v>0</v>
      </c>
    </row>
    <row r="28" spans="2:7" ht="15">
      <c r="B28" t="s">
        <v>362</v>
      </c>
      <c r="C28" s="25">
        <f>+SP!C37</f>
        <v>0</v>
      </c>
      <c r="D28" s="25">
        <f>+SP!D37-SP!C37</f>
        <v>0</v>
      </c>
      <c r="E28" s="25">
        <f>+SP!E37-SP!D37</f>
        <v>0</v>
      </c>
      <c r="F28" s="25">
        <f>+SP!F37-SP!E37</f>
        <v>0</v>
      </c>
      <c r="G28" s="25">
        <f>+SP!G37-SP!F37</f>
        <v>0</v>
      </c>
    </row>
    <row r="29" spans="2:7" ht="15">
      <c r="B29" t="s">
        <v>298</v>
      </c>
      <c r="C29" s="25">
        <f>+SP!C31</f>
        <v>0</v>
      </c>
      <c r="D29" s="25">
        <f>+SP!D31-SP!C31</f>
        <v>0</v>
      </c>
      <c r="E29" s="25">
        <f>+SP!E31-SP!D31</f>
        <v>0</v>
      </c>
      <c r="F29" s="25">
        <f>+SP!F31-SP!E31</f>
        <v>0</v>
      </c>
      <c r="G29" s="25">
        <f>+SP!G31-SP!F31</f>
        <v>0</v>
      </c>
    </row>
    <row r="30" spans="2:7" ht="15">
      <c r="B30" t="s">
        <v>365</v>
      </c>
      <c r="C30" s="25">
        <f>+SP!C39</f>
        <v>0</v>
      </c>
      <c r="D30" s="25">
        <f>+SP!D39-SP!C39</f>
        <v>0</v>
      </c>
      <c r="E30" s="25">
        <f>+SP!E39-SP!D39</f>
        <v>0</v>
      </c>
      <c r="F30" s="25">
        <f>+SP!F39-SP!E39</f>
        <v>0</v>
      </c>
      <c r="G30" s="25">
        <f>+SP!G39-SP!F39</f>
        <v>0</v>
      </c>
    </row>
    <row r="32" spans="2:7" ht="15">
      <c r="B32" t="s">
        <v>299</v>
      </c>
      <c r="C32" s="101">
        <f>+'CE'!D47</f>
        <v>-2400.0000000000023</v>
      </c>
      <c r="D32" s="101">
        <f>+'CE'!E47</f>
        <v>-2234.329227127021</v>
      </c>
      <c r="E32" s="101">
        <f>+'CE'!F47</f>
        <v>-2055.4047924242013</v>
      </c>
      <c r="F32" s="101">
        <f>+'CE'!G47</f>
        <v>-1862.166402945156</v>
      </c>
      <c r="G32" s="101">
        <f>+'CE'!H47</f>
        <v>-1653.468942307787</v>
      </c>
    </row>
    <row r="33" spans="2:7" ht="15">
      <c r="B33" t="s">
        <v>300</v>
      </c>
      <c r="C33" s="101">
        <f>-'CE'!D53</f>
        <v>-5850</v>
      </c>
      <c r="D33" s="101">
        <f>-'CE'!E53</f>
        <v>-7342.556160142046</v>
      </c>
      <c r="E33" s="101">
        <f>-'CE'!F53</f>
        <v>-8448.968198095456</v>
      </c>
      <c r="F33" s="101">
        <f>-'CE'!G53</f>
        <v>-8546.475785135137</v>
      </c>
      <c r="G33" s="101">
        <f>-'CE'!H53</f>
        <v>-8645.485988848495</v>
      </c>
    </row>
    <row r="34" spans="3:7" ht="15">
      <c r="C34" s="101"/>
      <c r="D34" s="101"/>
      <c r="E34" s="101"/>
      <c r="F34" s="101"/>
      <c r="G34" s="101"/>
    </row>
    <row r="36" spans="2:7" ht="15">
      <c r="B36" t="s">
        <v>301</v>
      </c>
      <c r="C36" s="101">
        <f>+SP!C43</f>
        <v>0</v>
      </c>
      <c r="D36" s="101">
        <f>+SP!D43-SP!C43-SP!C44</f>
        <v>0</v>
      </c>
      <c r="E36" s="101">
        <f>+SP!E43-SP!D43-SP!D44</f>
        <v>0</v>
      </c>
      <c r="F36" s="101">
        <f>+SP!F43-SP!E43-SP!E44</f>
        <v>0</v>
      </c>
      <c r="G36" s="101">
        <f>+SP!G43-SP!F43-SP!F44</f>
        <v>0</v>
      </c>
    </row>
    <row r="38" spans="2:7" ht="15">
      <c r="B38" s="6" t="s">
        <v>302</v>
      </c>
      <c r="C38" s="101">
        <f>+C23+C25+C32+C33+C36</f>
        <v>206.11533908773526</v>
      </c>
      <c r="D38" s="101">
        <f>+D23+D25+D32+D33+D36</f>
        <v>87595.95283908774</v>
      </c>
      <c r="E38" s="101">
        <f>+E23+E25+E32+E33+E36</f>
        <v>116855.45994144565</v>
      </c>
      <c r="F38" s="101">
        <f>+F23+F25+F32+F33+F36</f>
        <v>116577.83952361721</v>
      </c>
      <c r="G38" s="101">
        <f>+G23+G25+G32+G33+G36</f>
        <v>117775.30886040378</v>
      </c>
    </row>
    <row r="40" spans="2:7" ht="15">
      <c r="B40" t="s">
        <v>303</v>
      </c>
      <c r="C40" s="25">
        <f>+SP!C4-SP!C27</f>
        <v>206.1153390877298</v>
      </c>
      <c r="D40" s="25">
        <f>-(+SP!D27-SP!C27+SP!C4-SP!D4)</f>
        <v>52595.95283908775</v>
      </c>
      <c r="E40" s="25">
        <f>-(+SP!E27-SP!D27+SP!D4-SP!E4)</f>
        <v>46855.45994144585</v>
      </c>
      <c r="F40" s="25">
        <f>-(+SP!F27-SP!E27+SP!E4-SP!F4)</f>
        <v>16577.83952361718</v>
      </c>
      <c r="G40" s="25">
        <f>-(+SP!G27-SP!F27+SP!F4-SP!G4)</f>
        <v>17775.30886040372</v>
      </c>
    </row>
    <row r="42" spans="3:7" ht="15">
      <c r="C42" s="25"/>
      <c r="D42" s="25"/>
      <c r="E42" s="25"/>
      <c r="F42" s="25"/>
      <c r="G42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57">
      <selection activeCell="D74" sqref="D74:H74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6"/>
      <c r="E2" s="136"/>
      <c r="F2" s="136"/>
      <c r="G2" s="136"/>
      <c r="H2" s="136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Facia oraria 1</v>
      </c>
      <c r="D4" s="33">
        <f>+Input!I35*Input!O35</f>
        <v>112500</v>
      </c>
      <c r="E4" s="33">
        <f>+Input!J35*Input!P35</f>
        <v>145440</v>
      </c>
      <c r="F4" s="33">
        <f>+Input!K35*Input!Q35</f>
        <v>160665.75</v>
      </c>
      <c r="G4" s="33">
        <f>+Input!L35*Input!R35</f>
        <v>162272.40749999997</v>
      </c>
      <c r="H4" s="33">
        <f>+Input!M35*Input!S35</f>
        <v>163895.13157499998</v>
      </c>
      <c r="I4" s="15"/>
    </row>
    <row r="5" spans="2:9" ht="15">
      <c r="B5" s="16"/>
      <c r="C5" s="17" t="str">
        <f>+Input!C36</f>
        <v>Facia oraria 2</v>
      </c>
      <c r="D5" s="33">
        <f>+Input!I36*Input!O36</f>
        <v>137500</v>
      </c>
      <c r="E5" s="33">
        <f>+Input!J36*Input!P36</f>
        <v>145440</v>
      </c>
      <c r="F5" s="33">
        <f>+Input!K36*Input!Q36</f>
        <v>160665.75</v>
      </c>
      <c r="G5" s="33">
        <f>+Input!L36*Input!R36</f>
        <v>162272.40749999997</v>
      </c>
      <c r="H5" s="33">
        <f>+Input!M36*Input!S36</f>
        <v>163895.13157499998</v>
      </c>
      <c r="I5" s="15"/>
    </row>
    <row r="6" spans="2:9" ht="15">
      <c r="B6" s="16"/>
      <c r="C6" s="17">
        <f>+Input!C37</f>
        <v>0</v>
      </c>
      <c r="D6" s="33">
        <f>+Input!I37*Input!O37</f>
        <v>0</v>
      </c>
      <c r="E6" s="33">
        <f>+Input!J37*Input!P37</f>
        <v>0</v>
      </c>
      <c r="F6" s="33">
        <f>+Input!K37*Input!Q37</f>
        <v>0</v>
      </c>
      <c r="G6" s="33">
        <f>+Input!L37*Input!R37</f>
        <v>0</v>
      </c>
      <c r="H6" s="33">
        <f>+Input!M37*Input!S37</f>
        <v>0</v>
      </c>
      <c r="I6" s="15"/>
    </row>
    <row r="7" spans="2:9" ht="15">
      <c r="B7" s="16"/>
      <c r="C7" s="17">
        <f>+Input!C38</f>
        <v>0</v>
      </c>
      <c r="D7" s="33">
        <f>+Input!I38*Input!O38</f>
        <v>0</v>
      </c>
      <c r="E7" s="33">
        <f>+Input!J38*Input!P38</f>
        <v>0</v>
      </c>
      <c r="F7" s="33">
        <f>+Input!K38*Input!Q38</f>
        <v>0</v>
      </c>
      <c r="G7" s="33">
        <f>+Input!L38*Input!R38</f>
        <v>0</v>
      </c>
      <c r="H7" s="33">
        <f>+Input!M38*Input!S38</f>
        <v>0</v>
      </c>
      <c r="I7" s="15"/>
    </row>
    <row r="8" spans="2:9" ht="15">
      <c r="B8" s="16"/>
      <c r="C8" s="17">
        <f>+Input!C39</f>
        <v>0</v>
      </c>
      <c r="D8" s="33">
        <f>+Input!I39*Input!O39</f>
        <v>0</v>
      </c>
      <c r="E8" s="33">
        <f>+Input!J39*Input!P39</f>
        <v>0</v>
      </c>
      <c r="F8" s="33">
        <f>+Input!K39*Input!Q39</f>
        <v>0</v>
      </c>
      <c r="G8" s="33">
        <f>+Input!L39*Input!R39</f>
        <v>0</v>
      </c>
      <c r="H8" s="33">
        <f>+Input!M39*Input!S39</f>
        <v>0</v>
      </c>
      <c r="I8" s="15"/>
    </row>
    <row r="9" spans="2:9" ht="15">
      <c r="B9" s="16"/>
      <c r="C9" s="17">
        <f>+Input!C40</f>
        <v>0</v>
      </c>
      <c r="D9" s="33">
        <f>+Input!I40*Input!O40</f>
        <v>0</v>
      </c>
      <c r="E9" s="33">
        <f>+Input!J40*Input!P40</f>
        <v>0</v>
      </c>
      <c r="F9" s="33">
        <f>+Input!K40*Input!Q40</f>
        <v>0</v>
      </c>
      <c r="G9" s="33">
        <f>+Input!L40*Input!R40</f>
        <v>0</v>
      </c>
      <c r="H9" s="33">
        <f>+Input!M40*Input!S40</f>
        <v>0</v>
      </c>
      <c r="I9" s="15"/>
    </row>
    <row r="10" spans="2:9" ht="15">
      <c r="B10" s="16"/>
      <c r="C10" s="17">
        <f>+Input!C41</f>
        <v>0</v>
      </c>
      <c r="D10" s="33">
        <f>+Input!I41*Input!O41</f>
        <v>0</v>
      </c>
      <c r="E10" s="33">
        <f>+Input!J41*Input!P41</f>
        <v>0</v>
      </c>
      <c r="F10" s="33">
        <f>+Input!K41*Input!Q41</f>
        <v>0</v>
      </c>
      <c r="G10" s="33">
        <f>+Input!L41*Input!R41</f>
        <v>0</v>
      </c>
      <c r="H10" s="33">
        <f>+Input!M41*Input!S41</f>
        <v>0</v>
      </c>
      <c r="I10" s="15"/>
    </row>
    <row r="11" spans="2:9" ht="15">
      <c r="B11" s="16"/>
      <c r="C11" s="17">
        <f>+Input!C42</f>
        <v>0</v>
      </c>
      <c r="D11" s="33">
        <f>+Input!I42*Input!O42</f>
        <v>0</v>
      </c>
      <c r="E11" s="33">
        <f>+Input!J42*Input!P42</f>
        <v>0</v>
      </c>
      <c r="F11" s="33">
        <f>+Input!K42*Input!Q42</f>
        <v>0</v>
      </c>
      <c r="G11" s="33">
        <f>+Input!L42*Input!R42</f>
        <v>0</v>
      </c>
      <c r="H11" s="33">
        <f>+Input!M42*Input!S42</f>
        <v>0</v>
      </c>
      <c r="I11" s="15"/>
    </row>
    <row r="12" spans="2:9" ht="15">
      <c r="B12" s="16"/>
      <c r="C12" s="17">
        <f>+Input!C43</f>
        <v>0</v>
      </c>
      <c r="D12" s="33">
        <f>+Input!I43*Input!O43</f>
        <v>0</v>
      </c>
      <c r="E12" s="33">
        <f>+Input!J43*Input!P43</f>
        <v>0</v>
      </c>
      <c r="F12" s="33">
        <f>+Input!K43*Input!Q43</f>
        <v>0</v>
      </c>
      <c r="G12" s="33">
        <f>+Input!L43*Input!R43</f>
        <v>0</v>
      </c>
      <c r="H12" s="33">
        <f>+Input!M43*Input!S43</f>
        <v>0</v>
      </c>
      <c r="I12" s="15"/>
    </row>
    <row r="13" spans="2:9" ht="15">
      <c r="B13" s="16"/>
      <c r="C13" s="12" t="s">
        <v>12</v>
      </c>
      <c r="D13" s="34">
        <f>SUM(D4:D12)</f>
        <v>250000</v>
      </c>
      <c r="E13" s="34">
        <f>SUM(E4:E12)</f>
        <v>290880</v>
      </c>
      <c r="F13" s="34">
        <f>SUM(F4:F12)</f>
        <v>321331.5</v>
      </c>
      <c r="G13" s="34">
        <f>SUM(G4:G12)</f>
        <v>324544.81499999994</v>
      </c>
      <c r="H13" s="34">
        <f>SUM(H4:H12)</f>
        <v>327790.26314999996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13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11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18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xFacia oraria 1</v>
      </c>
      <c r="D18" s="33">
        <f>+D4*(1-(Input!$E35))</f>
        <v>5625.000000000005</v>
      </c>
      <c r="E18" s="33">
        <f>+E4*(1-(Input!$E35))</f>
        <v>7272.000000000006</v>
      </c>
      <c r="F18" s="33">
        <f>+F4*(1-(Input!$E35))</f>
        <v>8033.287500000007</v>
      </c>
      <c r="G18" s="33">
        <f>+G4*(1-(Input!$E35))</f>
        <v>8113.620375000006</v>
      </c>
      <c r="H18" s="33">
        <f>+H4*(1-(Input!$E35))</f>
        <v>8194.756578750006</v>
      </c>
      <c r="I18" s="15"/>
      <c r="K18" s="31"/>
      <c r="L18" s="17" t="str">
        <f aca="true" t="shared" si="0" ref="L18:L26">+C18</f>
        <v>Mp xFacia oraria 1</v>
      </c>
      <c r="M18" s="29">
        <f>+D18*(Input!$F48/360)</f>
        <v>0</v>
      </c>
      <c r="N18" s="29">
        <f>+E18*(Input!$F48/360)</f>
        <v>0</v>
      </c>
      <c r="O18" s="29">
        <f>+F18*(Input!$F48/360)</f>
        <v>0</v>
      </c>
      <c r="P18" s="29">
        <f>+G18*(Input!$F48/360)</f>
        <v>0</v>
      </c>
      <c r="Q18" s="29">
        <f>+H18*(Input!$F48/360)</f>
        <v>0</v>
      </c>
      <c r="R18" s="32"/>
      <c r="T18" s="31"/>
      <c r="U18" s="17" t="str">
        <f aca="true" t="shared" si="1" ref="U18:U26">+L18</f>
        <v>Mp xFacia oraria 1</v>
      </c>
      <c r="V18" s="29">
        <f>+D18+M18</f>
        <v>5625.000000000005</v>
      </c>
      <c r="W18" s="29">
        <f>+E18+N18-M18</f>
        <v>7272.000000000006</v>
      </c>
      <c r="X18" s="29">
        <f aca="true" t="shared" si="2" ref="X18:Z26">+F18+O18-N18</f>
        <v>8033.287500000007</v>
      </c>
      <c r="Y18" s="29">
        <f t="shared" si="2"/>
        <v>8113.620375000006</v>
      </c>
      <c r="Z18" s="29">
        <f t="shared" si="2"/>
        <v>8194.756578750006</v>
      </c>
      <c r="AA18" s="32"/>
    </row>
    <row r="19" spans="2:27" ht="15">
      <c r="B19" s="16"/>
      <c r="C19" s="17" t="str">
        <f>+Input!C49</f>
        <v>Mp xFacia oraria 2</v>
      </c>
      <c r="D19" s="33">
        <f>+D5*(1-(Input!$E36))</f>
        <v>6875.000000000006</v>
      </c>
      <c r="E19" s="33">
        <f>+E5*(1-(Input!$E36))</f>
        <v>7272.000000000006</v>
      </c>
      <c r="F19" s="33">
        <f>+F5*(1-(Input!$E36))</f>
        <v>8033.287500000007</v>
      </c>
      <c r="G19" s="33">
        <f>+G5*(1-(Input!$E36))</f>
        <v>8113.620375000006</v>
      </c>
      <c r="H19" s="33">
        <f>+H5*(1-(Input!$E36))</f>
        <v>8194.756578750006</v>
      </c>
      <c r="I19" s="15"/>
      <c r="K19" s="31"/>
      <c r="L19" s="17" t="str">
        <f t="shared" si="0"/>
        <v>Mp xFacia oraria 2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xFacia oraria 2</v>
      </c>
      <c r="V19" s="29">
        <f aca="true" t="shared" si="3" ref="V19:V26">+D19+M19</f>
        <v>6875.000000000006</v>
      </c>
      <c r="W19" s="29">
        <f aca="true" t="shared" si="4" ref="W19:W26">+E19+N19-M19</f>
        <v>7272.000000000006</v>
      </c>
      <c r="X19" s="29">
        <f t="shared" si="2"/>
        <v>8033.287500000007</v>
      </c>
      <c r="Y19" s="29">
        <f t="shared" si="2"/>
        <v>8113.620375000006</v>
      </c>
      <c r="Z19" s="29">
        <f t="shared" si="2"/>
        <v>8194.756578750006</v>
      </c>
      <c r="AA19" s="32"/>
    </row>
    <row r="20" spans="2:27" ht="15">
      <c r="B20" s="16"/>
      <c r="C20" s="17" t="str">
        <f>+Input!C50</f>
        <v>Mp x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12</v>
      </c>
      <c r="D27" s="34">
        <f>SUM(D18:D26)</f>
        <v>12500.000000000011</v>
      </c>
      <c r="E27" s="34">
        <f>SUM(E18:E26)</f>
        <v>14544.000000000013</v>
      </c>
      <c r="F27" s="34">
        <f>SUM(F18:F26)</f>
        <v>16066.575000000013</v>
      </c>
      <c r="G27" s="34">
        <f>SUM(G18:G26)</f>
        <v>16227.240750000012</v>
      </c>
      <c r="H27" s="34">
        <f>SUM(H18:H26)</f>
        <v>16389.513157500012</v>
      </c>
      <c r="I27" s="15"/>
      <c r="K27" s="16"/>
      <c r="L27" s="12" t="s">
        <v>12</v>
      </c>
      <c r="M27" s="34">
        <f>SUM(M18:M26)</f>
        <v>0</v>
      </c>
      <c r="N27" s="34">
        <f>SUM(N18:N26)</f>
        <v>0</v>
      </c>
      <c r="O27" s="34">
        <f>SUM(O18:O26)</f>
        <v>0</v>
      </c>
      <c r="P27" s="34">
        <f>SUM(P18:P26)</f>
        <v>0</v>
      </c>
      <c r="Q27" s="34">
        <f>SUM(Q18:Q26)</f>
        <v>0</v>
      </c>
      <c r="R27" s="32"/>
      <c r="T27" s="16"/>
      <c r="U27" s="12" t="s">
        <v>12</v>
      </c>
      <c r="V27" s="34">
        <f>SUM(V18:V26)</f>
        <v>12500.000000000011</v>
      </c>
      <c r="W27" s="34">
        <f>SUM(W18:W26)</f>
        <v>14544.000000000013</v>
      </c>
      <c r="X27" s="34">
        <f>SUM(X18:X26)</f>
        <v>16066.575000000013</v>
      </c>
      <c r="Y27" s="34">
        <f>SUM(Y18:Y26)</f>
        <v>16227.240750000012</v>
      </c>
      <c r="Z27" s="34">
        <f>SUM(Z18:Z26)</f>
        <v>16389.513157500012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14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15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347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xFacia oraria 1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xFacia oraria 1</v>
      </c>
      <c r="M32" s="33">
        <f>+Input!$F35*D4</f>
        <v>23625</v>
      </c>
      <c r="N32" s="33">
        <f>+Input!$F35*E4</f>
        <v>30542.399999999998</v>
      </c>
      <c r="O32" s="33">
        <f>+Input!$F35*F4</f>
        <v>33739.807499999995</v>
      </c>
      <c r="P32" s="33">
        <f>+Input!$F35*G4</f>
        <v>34077.20557499999</v>
      </c>
      <c r="Q32" s="33">
        <f>+Input!$F35*H4</f>
        <v>34417.97763074999</v>
      </c>
      <c r="R32" s="15"/>
      <c r="T32" s="16"/>
      <c r="U32" s="17" t="str">
        <f>+U18</f>
        <v>Mp xFacia oraria 1</v>
      </c>
      <c r="V32" s="33">
        <f>+M32/12</f>
        <v>1968.75</v>
      </c>
      <c r="W32" s="33">
        <f aca="true" t="shared" si="5" ref="W32:Z40">+N32/12</f>
        <v>2545.2</v>
      </c>
      <c r="X32" s="33">
        <f t="shared" si="5"/>
        <v>2811.6506249999998</v>
      </c>
      <c r="Y32" s="33">
        <f t="shared" si="5"/>
        <v>2839.7671312499992</v>
      </c>
      <c r="Z32" s="33">
        <f t="shared" si="5"/>
        <v>2868.1648025624995</v>
      </c>
      <c r="AA32" s="15"/>
    </row>
    <row r="33" spans="2:27" ht="15">
      <c r="B33" s="16"/>
      <c r="C33" s="17" t="str">
        <f aca="true" t="shared" si="6" ref="C33:C40">+C19</f>
        <v>Mp xFacia oraria 2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xFacia oraria 2</v>
      </c>
      <c r="M33" s="33">
        <f>+Input!$F36*D5</f>
        <v>28875</v>
      </c>
      <c r="N33" s="33">
        <f>+Input!$F36*E5</f>
        <v>30542.399999999998</v>
      </c>
      <c r="O33" s="33">
        <f>+Input!$F36*F5</f>
        <v>33739.807499999995</v>
      </c>
      <c r="P33" s="33">
        <f>+Input!$F36*G5</f>
        <v>34077.20557499999</v>
      </c>
      <c r="Q33" s="33">
        <f>+Input!$F36*H5</f>
        <v>34417.97763074999</v>
      </c>
      <c r="R33" s="15"/>
      <c r="T33" s="16"/>
      <c r="U33" s="17" t="str">
        <f aca="true" t="shared" si="8" ref="U33:U40">+U19</f>
        <v>Mp xFacia oraria 2</v>
      </c>
      <c r="V33" s="33">
        <f aca="true" t="shared" si="9" ref="V33:V40">+M33/12</f>
        <v>2406.25</v>
      </c>
      <c r="W33" s="33">
        <f t="shared" si="5"/>
        <v>2545.2</v>
      </c>
      <c r="X33" s="33">
        <f t="shared" si="5"/>
        <v>2811.6506249999998</v>
      </c>
      <c r="Y33" s="33">
        <f t="shared" si="5"/>
        <v>2839.7671312499992</v>
      </c>
      <c r="Z33" s="33">
        <f t="shared" si="5"/>
        <v>2868.1648025624995</v>
      </c>
      <c r="AA33" s="15"/>
    </row>
    <row r="34" spans="2:27" ht="15">
      <c r="B34" s="16"/>
      <c r="C34" s="17" t="str">
        <f t="shared" si="6"/>
        <v>Mp x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24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21</v>
      </c>
      <c r="M41" s="34">
        <f>SUM(M32:M40)</f>
        <v>52500</v>
      </c>
      <c r="N41" s="34">
        <f>SUM(N32:N40)</f>
        <v>61084.799999999996</v>
      </c>
      <c r="O41" s="34">
        <f>SUM(O32:O40)</f>
        <v>67479.61499999999</v>
      </c>
      <c r="P41" s="34">
        <f>SUM(P32:P40)</f>
        <v>68154.41114999999</v>
      </c>
      <c r="Q41" s="34">
        <f>SUM(Q32:Q40)</f>
        <v>68835.95526149998</v>
      </c>
      <c r="R41" s="15"/>
      <c r="T41" s="16"/>
      <c r="U41" s="12" t="s">
        <v>349</v>
      </c>
      <c r="V41" s="34">
        <f>SUM(V32:V40)</f>
        <v>4375</v>
      </c>
      <c r="W41" s="34">
        <f>SUM(W32:W40)</f>
        <v>5090.4</v>
      </c>
      <c r="X41" s="34">
        <f>SUM(X32:X40)</f>
        <v>5623.3012499999995</v>
      </c>
      <c r="Y41" s="34">
        <f>SUM(Y32:Y40)</f>
        <v>5679.5342624999985</v>
      </c>
      <c r="Z41" s="34">
        <f>SUM(Z32:Z40)</f>
        <v>5736.329605124999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17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20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348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xFacia oraria 1</v>
      </c>
      <c r="D46" s="33">
        <f>+IF(Input!$G48=0,0,IF(Input!$G48=30,(V18+M46)/12,IF(Input!$G48=60,(V18+M46)/6,IF(Input!$G48=90,(V18+M46)/4,IF(Input!$G48=120,(V18+M46)/3,IF(Input!$G48=150,(V18+M46)*0.416667,(V18+M46)/2))))))</f>
        <v>0</v>
      </c>
      <c r="E46" s="33">
        <f>+IF(Input!$G48=0,0,IF(Input!$G48=30,(W18+N46)/12,IF(Input!$G48=60,(W18+N46)/6,IF(Input!$G48=90,(W18+N46)/4,IF(Input!$G48=120,(W18+N46)/3,IF(Input!$G48=150,(W18+N46)*0.416667,(W18+N46)/2))))))</f>
        <v>0</v>
      </c>
      <c r="F46" s="33">
        <f>+IF(Input!$G48=0,0,IF(Input!$G48=30,(X18+O46)/12,IF(Input!$G48=60,(X18+O46)/6,IF(Input!$G48=90,(X18+O46)/4,IF(Input!$G48=120,(X18+O46)/3,IF(Input!$G48=150,(X18+O46)*0.416667,(X18+O46)/2))))))</f>
        <v>0</v>
      </c>
      <c r="G46" s="33">
        <f>+IF(Input!$G48=0,0,IF(Input!$G48=30,(Y18+P46)/12,IF(Input!$G48=60,(Y18+P46)/6,IF(Input!$G48=90,(Y18+P46)/4,IF(Input!$G48=120,(Y18+P46)/3,IF(Input!$G48=150,(Y18+P46)*0.416667,(Y18+P46)/2))))))</f>
        <v>0</v>
      </c>
      <c r="H46" s="33">
        <f>+IF(Input!$G48=0,0,IF(Input!$G48=30,(Z18+Q46)/12,IF(Input!$G48=60,(Z18+Q46)/6,IF(Input!$G48=90,(Z18+Q46)/4,IF(Input!$G48=120,(Z18+Q46)/3,IF(Input!$G48=150,(Z18+Q46)*0.416667,(Z18+Q46)/2))))))</f>
        <v>0</v>
      </c>
      <c r="I46" s="15"/>
      <c r="K46" s="16"/>
      <c r="L46" s="17" t="str">
        <f>+L32</f>
        <v>Mp xFacia oraria 1</v>
      </c>
      <c r="M46" s="33">
        <f>+MCL!V18*Input!$E48</f>
        <v>1181.250000000001</v>
      </c>
      <c r="N46" s="33">
        <f>+MCL!W18*Input!$E48</f>
        <v>1527.1200000000013</v>
      </c>
      <c r="O46" s="33">
        <f>+MCL!X18*Input!$E48</f>
        <v>1686.9903750000014</v>
      </c>
      <c r="P46" s="33">
        <f>+MCL!Y18*Input!$E48</f>
        <v>1703.8602787500013</v>
      </c>
      <c r="Q46" s="33">
        <f>+MCL!Z18*Input!$E48</f>
        <v>1720.8988815375012</v>
      </c>
      <c r="R46" s="15"/>
      <c r="T46" s="16"/>
      <c r="U46" s="17" t="str">
        <f>+U32</f>
        <v>Mp xFacia oraria 1</v>
      </c>
      <c r="V46" s="33">
        <f>+M46/12</f>
        <v>98.43750000000007</v>
      </c>
      <c r="W46" s="33">
        <f aca="true" t="shared" si="10" ref="W46:W54">+N46/12</f>
        <v>127.2600000000001</v>
      </c>
      <c r="X46" s="33">
        <f aca="true" t="shared" si="11" ref="X46:X54">+O46/12</f>
        <v>140.58253125000013</v>
      </c>
      <c r="Y46" s="33">
        <f aca="true" t="shared" si="12" ref="Y46:Y54">+P46/12</f>
        <v>141.98835656250012</v>
      </c>
      <c r="Z46" s="33">
        <f aca="true" t="shared" si="13" ref="Z46:Z54">+Q46/12</f>
        <v>143.4082401281251</v>
      </c>
      <c r="AA46" s="15"/>
    </row>
    <row r="47" spans="2:27" ht="15">
      <c r="B47" s="16"/>
      <c r="C47" s="17" t="str">
        <f aca="true" t="shared" si="14" ref="C47:C54">+C33</f>
        <v>Mp xFacia oraria 2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xFacia oraria 2</v>
      </c>
      <c r="M47" s="33">
        <f>+MCL!V19*Input!$E49</f>
        <v>1443.7500000000014</v>
      </c>
      <c r="N47" s="33">
        <f>+MCL!W19*Input!$E49</f>
        <v>1527.1200000000013</v>
      </c>
      <c r="O47" s="33">
        <f>+MCL!X19*Input!$E49</f>
        <v>1686.9903750000014</v>
      </c>
      <c r="P47" s="33">
        <f>+MCL!Y19*Input!$E49</f>
        <v>1703.8602787500013</v>
      </c>
      <c r="Q47" s="33">
        <f>+MCL!Z19*Input!$E49</f>
        <v>1720.8988815375012</v>
      </c>
      <c r="R47" s="15"/>
      <c r="T47" s="16"/>
      <c r="U47" s="17" t="str">
        <f aca="true" t="shared" si="16" ref="U47:U54">+U33</f>
        <v>Mp xFacia oraria 2</v>
      </c>
      <c r="V47" s="33">
        <f aca="true" t="shared" si="17" ref="V47:V54">+M47/12</f>
        <v>120.31250000000011</v>
      </c>
      <c r="W47" s="33">
        <f t="shared" si="10"/>
        <v>127.2600000000001</v>
      </c>
      <c r="X47" s="33">
        <f t="shared" si="11"/>
        <v>140.58253125000013</v>
      </c>
      <c r="Y47" s="33">
        <f t="shared" si="12"/>
        <v>141.98835656250012</v>
      </c>
      <c r="Z47" s="33">
        <f t="shared" si="13"/>
        <v>143.4082401281251</v>
      </c>
      <c r="AA47" s="15"/>
    </row>
    <row r="48" spans="2:27" ht="15">
      <c r="B48" s="16"/>
      <c r="C48" s="17" t="str">
        <f t="shared" si="14"/>
        <v>Mp x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23</v>
      </c>
      <c r="D55" s="34">
        <f>SUM(D46:D54)</f>
        <v>0</v>
      </c>
      <c r="E55" s="34">
        <f>SUM(E46:E54)</f>
        <v>0</v>
      </c>
      <c r="F55" s="34">
        <f>SUM(F46:F54)</f>
        <v>0</v>
      </c>
      <c r="G55" s="34">
        <f>SUM(G46:G54)</f>
        <v>0</v>
      </c>
      <c r="H55" s="34">
        <f>SUM(H46:H54)</f>
        <v>0</v>
      </c>
      <c r="I55" s="15"/>
      <c r="K55" s="16"/>
      <c r="L55" s="12" t="s">
        <v>22</v>
      </c>
      <c r="M55" s="34">
        <f>SUM(M46:M54)</f>
        <v>2625.0000000000023</v>
      </c>
      <c r="N55" s="34">
        <f>SUM(N46:N54)</f>
        <v>3054.2400000000025</v>
      </c>
      <c r="O55" s="34">
        <f>SUM(O46:O54)</f>
        <v>3373.980750000003</v>
      </c>
      <c r="P55" s="34">
        <f>SUM(P46:P54)</f>
        <v>3407.7205575000025</v>
      </c>
      <c r="Q55" s="34">
        <f>SUM(Q46:Q54)</f>
        <v>3441.7977630750024</v>
      </c>
      <c r="R55" s="15"/>
      <c r="T55" s="16"/>
      <c r="U55" s="12" t="s">
        <v>350</v>
      </c>
      <c r="V55" s="34">
        <f>SUM(V46:V54)</f>
        <v>218.75000000000017</v>
      </c>
      <c r="W55" s="34">
        <f>SUM(W46:W54)</f>
        <v>254.5200000000002</v>
      </c>
      <c r="X55" s="34">
        <f>SUM(X46:X54)</f>
        <v>281.16506250000026</v>
      </c>
      <c r="Y55" s="34">
        <f>SUM(Y46:Y54)</f>
        <v>283.97671312500023</v>
      </c>
      <c r="Z55" s="34">
        <f>SUM(Z46:Z54)</f>
        <v>286.8164802562502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32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34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xFacia oraria 1</v>
      </c>
      <c r="D60" s="33">
        <f>+D4+MCL!M32-MCL!D32</f>
        <v>136125</v>
      </c>
      <c r="E60" s="33">
        <f>+E4+MCL!N32-MCL!E32+D32</f>
        <v>175982.4</v>
      </c>
      <c r="F60" s="33">
        <f>+F4+MCL!O32-MCL!F32+E32</f>
        <v>194405.5575</v>
      </c>
      <c r="G60" s="33">
        <f>+G4+MCL!P32-MCL!G32+F32</f>
        <v>196349.61307499997</v>
      </c>
      <c r="H60" s="33">
        <f>+H4+MCL!Q32-MCL!H32+G32</f>
        <v>198313.10920574996</v>
      </c>
      <c r="I60" s="15"/>
      <c r="K60" s="16"/>
      <c r="L60" s="17" t="str">
        <f>+L46</f>
        <v>Mp xFacia oraria 1</v>
      </c>
      <c r="M60" s="33">
        <f>+V18+M46-D46</f>
        <v>6806.2500000000055</v>
      </c>
      <c r="N60" s="33">
        <f>+W18+N46-E46+D46</f>
        <v>8799.120000000008</v>
      </c>
      <c r="O60" s="33">
        <f aca="true" t="shared" si="18" ref="O60:Q68">+X18+O46-F46+E46</f>
        <v>9720.277875000009</v>
      </c>
      <c r="P60" s="33">
        <f t="shared" si="18"/>
        <v>9817.480653750008</v>
      </c>
      <c r="Q60" s="33">
        <f t="shared" si="18"/>
        <v>9915.655460287508</v>
      </c>
      <c r="R60" s="15"/>
    </row>
    <row r="61" spans="2:18" ht="15">
      <c r="B61" s="16"/>
      <c r="C61" s="17" t="str">
        <f aca="true" t="shared" si="19" ref="C61:C68">+C47</f>
        <v>Mp xFacia oraria 2</v>
      </c>
      <c r="D61" s="33">
        <f>+D5+MCL!M33-MCL!D33</f>
        <v>166375</v>
      </c>
      <c r="E61" s="33">
        <f>+E5+MCL!N33-MCL!E33</f>
        <v>175982.4</v>
      </c>
      <c r="F61" s="33">
        <f>+F5+MCL!O33-MCL!F33</f>
        <v>194405.5575</v>
      </c>
      <c r="G61" s="33">
        <f>+G5+MCL!P33-MCL!G33</f>
        <v>196349.61307499997</v>
      </c>
      <c r="H61" s="33">
        <f>+H5+MCL!Q33-MCL!H33</f>
        <v>198313.10920574996</v>
      </c>
      <c r="I61" s="15"/>
      <c r="K61" s="16"/>
      <c r="L61" s="17" t="str">
        <f aca="true" t="shared" si="20" ref="L61:L68">+L47</f>
        <v>Mp xFacia oraria 2</v>
      </c>
      <c r="M61" s="33">
        <f aca="true" t="shared" si="21" ref="M61:M68">+V19+M47-D47</f>
        <v>8318.750000000007</v>
      </c>
      <c r="N61" s="33">
        <f aca="true" t="shared" si="22" ref="N61:N68">+W19+N47-E47+D47</f>
        <v>8799.120000000008</v>
      </c>
      <c r="O61" s="33">
        <f t="shared" si="18"/>
        <v>9720.277875000009</v>
      </c>
      <c r="P61" s="33">
        <f t="shared" si="18"/>
        <v>9817.480653750008</v>
      </c>
      <c r="Q61" s="33">
        <f t="shared" si="18"/>
        <v>9915.655460287508</v>
      </c>
      <c r="R61" s="15"/>
    </row>
    <row r="62" spans="2:18" ht="15">
      <c r="B62" s="16"/>
      <c r="C62" s="17" t="str">
        <f t="shared" si="19"/>
        <v>Mp x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33</v>
      </c>
      <c r="D69" s="34">
        <f>SUM(D60:D68)</f>
        <v>302500</v>
      </c>
      <c r="E69" s="34">
        <f>SUM(E60:E68)</f>
        <v>351964.8</v>
      </c>
      <c r="F69" s="34">
        <f>SUM(F60:F68)</f>
        <v>388811.115</v>
      </c>
      <c r="G69" s="34">
        <f>SUM(G60:G68)</f>
        <v>392699.22614999994</v>
      </c>
      <c r="H69" s="34">
        <f>SUM(H60:H68)</f>
        <v>396626.2184114999</v>
      </c>
      <c r="I69" s="15"/>
      <c r="K69" s="16"/>
      <c r="L69" s="12" t="s">
        <v>33</v>
      </c>
      <c r="M69" s="34">
        <f>SUM(M60:M68)</f>
        <v>15125.000000000013</v>
      </c>
      <c r="N69" s="34">
        <f>SUM(N60:N68)</f>
        <v>17598.240000000016</v>
      </c>
      <c r="O69" s="34">
        <f>SUM(O60:O68)</f>
        <v>19440.555750000018</v>
      </c>
      <c r="P69" s="34">
        <f>SUM(P60:P68)</f>
        <v>19634.961307500016</v>
      </c>
      <c r="Q69" s="34">
        <f>SUM(Q60:Q68)</f>
        <v>19831.310920575015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353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353</v>
      </c>
      <c r="D74" s="33">
        <f>+Input!$D$18</f>
        <v>0</v>
      </c>
      <c r="E74" s="33">
        <f>+Input!$D$18</f>
        <v>0</v>
      </c>
      <c r="F74" s="33">
        <f>+Input!$D$18</f>
        <v>0</v>
      </c>
      <c r="G74" s="33">
        <f>+Input!$D$18</f>
        <v>0</v>
      </c>
      <c r="H74" s="33">
        <f>+Input!$D$18</f>
        <v>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20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352</v>
      </c>
      <c r="D79" s="33">
        <f>+(D74*Input!$F$18)</f>
        <v>0</v>
      </c>
      <c r="E79" s="33">
        <f>+(E74*Input!$F$18)</f>
        <v>0</v>
      </c>
      <c r="F79" s="33">
        <f>+(F74*Input!$F$18)</f>
        <v>0</v>
      </c>
      <c r="G79" s="33">
        <f>+(G74*Input!$F$18)</f>
        <v>0</v>
      </c>
      <c r="H79" s="33">
        <f>+(H74*Input!$F$18)</f>
        <v>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355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352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356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352</v>
      </c>
      <c r="D89" s="33">
        <f>+D74+D79-D84</f>
        <v>0</v>
      </c>
      <c r="E89" s="33">
        <f>+E74+E79-E84</f>
        <v>0</v>
      </c>
      <c r="F89" s="33">
        <f>+F74+F79-F84</f>
        <v>0</v>
      </c>
      <c r="G89" s="33">
        <f>+G74+G79-G84</f>
        <v>0</v>
      </c>
      <c r="H89" s="33">
        <f>+H74+H79-H84</f>
        <v>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36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52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 (risturtturazione e allestimento)</v>
      </c>
      <c r="D4" s="33">
        <f>+Input!E62</f>
        <v>110000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 (risturtturazione e allestimento)</v>
      </c>
      <c r="M4" s="33">
        <f>+Input!E62*Input!$E$65</f>
        <v>23100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 (presentazione autorizzazioni)</v>
      </c>
      <c r="D5" s="33">
        <f>+Input!E63</f>
        <v>10000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 (presentazione autorizzazioni)</v>
      </c>
      <c r="M5" s="33">
        <f>+Input!E63*Input!$E$65</f>
        <v>2100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369</v>
      </c>
      <c r="M6" s="33">
        <f>+Input!$D$21*Input!E21</f>
        <v>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53</v>
      </c>
      <c r="M7" s="34">
        <f>SUM(M4:M6)</f>
        <v>25200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2</v>
      </c>
      <c r="C9" s="12" t="s">
        <v>43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44"/>
    </row>
    <row r="10" spans="2:18" ht="15">
      <c r="B10" s="43"/>
      <c r="C10" s="17" t="str">
        <f>+C4</f>
        <v>Investimenti Materiali (risturtturazione e allestimento)</v>
      </c>
      <c r="D10" s="33">
        <f>+Input!E62*Input!$E$70</f>
        <v>11000</v>
      </c>
      <c r="E10" s="33">
        <f>+IF(D16&gt;=$D$4,0,$D4*Input!$E$70)</f>
        <v>11000</v>
      </c>
      <c r="F10" s="33">
        <f>+IF(E16&gt;=$D$4,0,$D4*Input!$E$70)</f>
        <v>11000</v>
      </c>
      <c r="G10" s="33">
        <f>+IF(F16&gt;=$D$4,0,$D4*Input!$E$70)</f>
        <v>11000</v>
      </c>
      <c r="H10" s="33">
        <f>+IF(G16&gt;=$D$4,0,$D4*Input!$E$70)</f>
        <v>11000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 (presentazione autorizzazioni)</v>
      </c>
      <c r="D11" s="33">
        <f>+Input!E63*Input!$E$71</f>
        <v>1000</v>
      </c>
      <c r="E11" s="33">
        <f>+IF(D17&gt;=$D$5,0,$D5*Input!$E$71)</f>
        <v>1000</v>
      </c>
      <c r="F11" s="33">
        <f>+IF(E17&gt;=$D$5,0,$D5*Input!$E$71)</f>
        <v>1000</v>
      </c>
      <c r="G11" s="33">
        <f>+IF(F17&gt;=$D$5,0,$D5*Input!$E$71)</f>
        <v>1000</v>
      </c>
      <c r="H11" s="33">
        <f>+IF(G17&gt;=$D$5,0,$D5*Input!$E$71)</f>
        <v>1000</v>
      </c>
      <c r="I11" s="44"/>
      <c r="K11" s="16"/>
      <c r="L11" s="12" t="s">
        <v>54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 (risturtturazione e allestimento)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 (presentazione autorizzazioni)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44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55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 (risturtturazione e allestimento)</v>
      </c>
      <c r="D16" s="33">
        <f>+D10</f>
        <v>11000</v>
      </c>
      <c r="E16" s="33">
        <f aca="true" t="shared" si="0" ref="E16:H17">+D16+E10</f>
        <v>22000</v>
      </c>
      <c r="F16" s="33">
        <f t="shared" si="0"/>
        <v>33000</v>
      </c>
      <c r="G16" s="33">
        <f t="shared" si="0"/>
        <v>44000</v>
      </c>
      <c r="H16" s="33">
        <f t="shared" si="0"/>
        <v>55000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 (presentazione autorizzazioni)</v>
      </c>
      <c r="D17" s="33">
        <f>+D11</f>
        <v>1000</v>
      </c>
      <c r="E17" s="33">
        <f t="shared" si="0"/>
        <v>2000</v>
      </c>
      <c r="F17" s="33">
        <f t="shared" si="0"/>
        <v>3000</v>
      </c>
      <c r="G17" s="33">
        <f t="shared" si="0"/>
        <v>4000</v>
      </c>
      <c r="H17" s="33">
        <f t="shared" si="0"/>
        <v>5000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3</v>
      </c>
      <c r="C19" s="12" t="s">
        <v>43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6</v>
      </c>
      <c r="I19" s="44"/>
      <c r="K19" s="16"/>
      <c r="L19" s="12" t="s">
        <v>34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 (risturtturazione e allestimento)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 (risturtturazione e allestimento)</v>
      </c>
      <c r="M20" s="33">
        <f>+Input!E67</f>
        <v>133100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 (presentazione autorizzazioni)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 (presentazione autorizzazioni)</v>
      </c>
      <c r="M21" s="33">
        <f>+Input!E68</f>
        <v>12100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369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56</v>
      </c>
      <c r="M23" s="34">
        <f>SUM(M20:M22)</f>
        <v>145200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44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 (risturtturazione e allestimento)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 (presentazione autorizzazioni)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4</v>
      </c>
      <c r="C29" s="12" t="s">
        <v>43</v>
      </c>
      <c r="D29" s="13" t="s">
        <v>2</v>
      </c>
      <c r="E29" s="13" t="s">
        <v>3</v>
      </c>
      <c r="F29" s="13" t="s">
        <v>4</v>
      </c>
      <c r="G29" s="13" t="s">
        <v>5</v>
      </c>
      <c r="H29" s="13" t="s">
        <v>6</v>
      </c>
      <c r="I29" s="44"/>
    </row>
    <row r="30" spans="2:9" ht="15">
      <c r="B30" s="43"/>
      <c r="C30" s="17" t="str">
        <f>+C20</f>
        <v>Investimenti Materiali (risturtturazione e allestimento)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 (presentazione autorizzazioni)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44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 (risturtturazione e allestimento)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 (presentazione autorizzazioni)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5</v>
      </c>
      <c r="C38" s="12" t="s">
        <v>43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44"/>
    </row>
    <row r="39" spans="2:9" ht="15">
      <c r="B39" s="43"/>
      <c r="C39" s="17" t="str">
        <f>+C30</f>
        <v>Investimenti Materiali (risturtturazione e allestimento)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 (presentazione autorizzazioni)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44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 (risturtturazione e allestimento)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 (presentazione autorizzazioni)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6</v>
      </c>
      <c r="C47" s="12" t="s">
        <v>43</v>
      </c>
      <c r="D47" s="13" t="s">
        <v>2</v>
      </c>
      <c r="E47" s="13" t="s">
        <v>3</v>
      </c>
      <c r="F47" s="13" t="s">
        <v>4</v>
      </c>
      <c r="G47" s="13" t="s">
        <v>5</v>
      </c>
      <c r="H47" s="13" t="s">
        <v>6</v>
      </c>
      <c r="I47" s="44"/>
    </row>
    <row r="48" spans="2:9" ht="15">
      <c r="B48" s="43"/>
      <c r="C48" s="17" t="str">
        <f>+C39</f>
        <v>Investimenti Materiali (risturtturazione e allestimento)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 (presentazione autorizzazioni)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44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 (risturtturazione e allestimento)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 (presentazione autorizzazioni)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45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 (risturtturazione e allestimento)</v>
      </c>
      <c r="D57" s="33">
        <f aca="true" t="shared" si="5" ref="D57:H58">+D10+D20+D30+D39+E48</f>
        <v>11000</v>
      </c>
      <c r="E57" s="33">
        <f t="shared" si="5"/>
        <v>11000</v>
      </c>
      <c r="F57" s="33">
        <f t="shared" si="5"/>
        <v>11000</v>
      </c>
      <c r="G57" s="33">
        <f t="shared" si="5"/>
        <v>11000</v>
      </c>
      <c r="H57" s="33">
        <f t="shared" si="5"/>
        <v>11000</v>
      </c>
      <c r="I57" s="44"/>
    </row>
    <row r="58" spans="2:9" ht="15">
      <c r="B58" s="43"/>
      <c r="C58" s="17" t="str">
        <f t="shared" si="4"/>
        <v>Investimenti Immateriali (presentazione autorizzazioni)</v>
      </c>
      <c r="D58" s="33">
        <f t="shared" si="5"/>
        <v>1000</v>
      </c>
      <c r="E58" s="33">
        <f t="shared" si="5"/>
        <v>1000</v>
      </c>
      <c r="F58" s="33">
        <f t="shared" si="5"/>
        <v>1000</v>
      </c>
      <c r="G58" s="33">
        <f t="shared" si="5"/>
        <v>1000</v>
      </c>
      <c r="H58" s="33">
        <f t="shared" si="5"/>
        <v>1000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 (risturtturazione e allestimento)</v>
      </c>
      <c r="D62" s="33">
        <f>+D16+D26+D35+D44+E53</f>
        <v>11000</v>
      </c>
      <c r="E62" s="45">
        <f aca="true" t="shared" si="6" ref="E62:H63">+E57+D62</f>
        <v>22000</v>
      </c>
      <c r="F62" s="45">
        <f t="shared" si="6"/>
        <v>33000</v>
      </c>
      <c r="G62" s="45">
        <f t="shared" si="6"/>
        <v>44000</v>
      </c>
      <c r="H62" s="45">
        <f t="shared" si="6"/>
        <v>55000</v>
      </c>
      <c r="I62" s="44"/>
    </row>
    <row r="63" spans="2:9" ht="15">
      <c r="B63" s="43"/>
      <c r="C63" s="17" t="str">
        <f t="shared" si="4"/>
        <v>Investimenti Immateriali (presentazione autorizzazioni)</v>
      </c>
      <c r="D63" s="33">
        <f>+D17+D27+D36+D45+E54</f>
        <v>1000</v>
      </c>
      <c r="E63" s="45">
        <f t="shared" si="6"/>
        <v>2000</v>
      </c>
      <c r="F63" s="45">
        <f t="shared" si="6"/>
        <v>3000</v>
      </c>
      <c r="G63" s="45">
        <f t="shared" si="6"/>
        <v>4000</v>
      </c>
      <c r="H63" s="45">
        <f t="shared" si="6"/>
        <v>5000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369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369</v>
      </c>
      <c r="D71" s="33">
        <f>+Input!$D$21</f>
        <v>0</v>
      </c>
      <c r="E71" s="33">
        <f>+Input!$D$21</f>
        <v>0</v>
      </c>
      <c r="F71" s="33">
        <f>+Input!$D$21</f>
        <v>0</v>
      </c>
      <c r="G71" s="33">
        <f>+Input!$D$21</f>
        <v>0</v>
      </c>
      <c r="H71" s="33">
        <f>+Input!$D$21</f>
        <v>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371</v>
      </c>
      <c r="D73" s="33" t="e">
        <f>+Input!D21/Input!F21</f>
        <v>#DIV/0!</v>
      </c>
      <c r="E73" s="33" t="e">
        <f>+IF(D75&gt;=Input!$D$21,0,Input!$D$21/Input!$F$21)</f>
        <v>#DIV/0!</v>
      </c>
      <c r="F73" s="33" t="e">
        <f>+IF(E75&gt;=Input!$D$21,0,Input!$D$21/Input!$F$21)</f>
        <v>#DIV/0!</v>
      </c>
      <c r="G73" s="33" t="e">
        <f>+IF(F75&gt;=Input!$D$21,0,Input!$D$21/Input!$F$21)</f>
        <v>#DIV/0!</v>
      </c>
      <c r="H73" s="33" t="e">
        <f>+IF(G75&gt;=Input!$D$21,0,Input!$D$21/Input!$F$21)</f>
        <v>#DIV/0!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370</v>
      </c>
      <c r="D75" s="33" t="e">
        <f>+D73</f>
        <v>#DIV/0!</v>
      </c>
      <c r="E75" s="33" t="e">
        <f>+E73+D75</f>
        <v>#DIV/0!</v>
      </c>
      <c r="F75" s="33" t="e">
        <f>+F73+E75</f>
        <v>#DIV/0!</v>
      </c>
      <c r="G75" s="33" t="e">
        <f>+G73+F75</f>
        <v>#DIV/0!</v>
      </c>
      <c r="H75" s="33" t="e">
        <f>+H73+G75</f>
        <v>#DIV/0!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66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62</v>
      </c>
      <c r="D4" s="33">
        <f>+Input!E79*Input!E77</f>
        <v>75000</v>
      </c>
      <c r="E4" s="33">
        <f>+Input!F79*Input!F77</f>
        <v>75750</v>
      </c>
      <c r="F4" s="33">
        <f>+Input!G79*Input!G77</f>
        <v>76507.5</v>
      </c>
      <c r="G4" s="33">
        <f>+Input!H79*Input!H77</f>
        <v>77272.57500000001</v>
      </c>
      <c r="H4" s="33">
        <f>+Input!I79*Input!I77</f>
        <v>78045.30075000001</v>
      </c>
      <c r="I4" s="15"/>
    </row>
    <row r="5" spans="2:9" ht="15">
      <c r="B5" s="16"/>
      <c r="C5" s="17" t="s">
        <v>63</v>
      </c>
      <c r="D5" s="33">
        <f>+D4*Input!$E$81</f>
        <v>22500</v>
      </c>
      <c r="E5" s="33">
        <f>+E4*Input!$E$81</f>
        <v>22725</v>
      </c>
      <c r="F5" s="33">
        <f>+F4*Input!$E$81</f>
        <v>22952.25</v>
      </c>
      <c r="G5" s="33">
        <f>+G4*Input!$E$81</f>
        <v>23181.772500000003</v>
      </c>
      <c r="H5" s="33">
        <f>+H4*Input!$E$81</f>
        <v>23413.590225000004</v>
      </c>
      <c r="I5" s="15"/>
    </row>
    <row r="6" spans="2:9" ht="15">
      <c r="B6" s="16"/>
      <c r="C6" s="17" t="s">
        <v>64</v>
      </c>
      <c r="D6" s="33">
        <f>+D4*Input!$E$82</f>
        <v>3000</v>
      </c>
      <c r="E6" s="33">
        <f>+E4*Input!$E$82</f>
        <v>3030</v>
      </c>
      <c r="F6" s="33">
        <f>+F4*Input!$E$82</f>
        <v>3060.3</v>
      </c>
      <c r="G6" s="33">
        <f>+G4*Input!$E$82</f>
        <v>3090.9030000000007</v>
      </c>
      <c r="H6" s="33">
        <f>+H4*Input!$E$82</f>
        <v>3121.8120300000005</v>
      </c>
      <c r="I6" s="15"/>
    </row>
    <row r="7" spans="2:9" ht="15">
      <c r="B7" s="16"/>
      <c r="C7" s="17" t="s">
        <v>65</v>
      </c>
      <c r="D7" s="33">
        <f>+D4*Input!$E$83</f>
        <v>6000</v>
      </c>
      <c r="E7" s="33">
        <f>+E4*Input!$E$83</f>
        <v>6060</v>
      </c>
      <c r="F7" s="33">
        <f>+F4*Input!$E$83</f>
        <v>6120.6</v>
      </c>
      <c r="G7" s="33">
        <f>+G4*Input!$E$83</f>
        <v>6181.806000000001</v>
      </c>
      <c r="H7" s="33">
        <f>+H4*Input!$E$83</f>
        <v>6243.624060000001</v>
      </c>
      <c r="I7" s="15"/>
    </row>
    <row r="8" spans="2:9" ht="15">
      <c r="B8" s="16"/>
      <c r="C8" s="12" t="s">
        <v>68</v>
      </c>
      <c r="D8" s="50">
        <f>SUM(D4:D7)</f>
        <v>106500</v>
      </c>
      <c r="E8" s="50">
        <f>SUM(E4:E7)</f>
        <v>107565</v>
      </c>
      <c r="F8" s="50">
        <f>SUM(F4:F7)</f>
        <v>108640.65000000001</v>
      </c>
      <c r="G8" s="50">
        <f>SUM(G4:G7)</f>
        <v>109727.05650000002</v>
      </c>
      <c r="H8" s="50">
        <f>SUM(H4:H7)</f>
        <v>110824.32706500002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34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75000</v>
      </c>
      <c r="E14" s="45">
        <f t="shared" si="0"/>
        <v>75750</v>
      </c>
      <c r="F14" s="45">
        <f t="shared" si="0"/>
        <v>76507.5</v>
      </c>
      <c r="G14" s="45">
        <f t="shared" si="0"/>
        <v>77272.57500000001</v>
      </c>
      <c r="H14" s="45">
        <f t="shared" si="0"/>
        <v>78045.30075000001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22500</v>
      </c>
      <c r="E15" s="45">
        <f t="shared" si="0"/>
        <v>22725</v>
      </c>
      <c r="F15" s="45">
        <f t="shared" si="0"/>
        <v>22952.25</v>
      </c>
      <c r="G15" s="45">
        <f t="shared" si="0"/>
        <v>23181.772500000003</v>
      </c>
      <c r="H15" s="45">
        <f t="shared" si="0"/>
        <v>23413.590225000004</v>
      </c>
      <c r="I15" s="15"/>
    </row>
    <row r="16" spans="2:9" ht="15">
      <c r="B16" s="16"/>
      <c r="C16" s="17" t="str">
        <f t="shared" si="1"/>
        <v>INAIL</v>
      </c>
      <c r="D16" s="45">
        <f t="shared" si="1"/>
        <v>3000</v>
      </c>
      <c r="E16" s="45">
        <f aca="true" t="shared" si="2" ref="E16:H17">+E6</f>
        <v>3030</v>
      </c>
      <c r="F16" s="45">
        <f t="shared" si="2"/>
        <v>3060.3</v>
      </c>
      <c r="G16" s="45">
        <f t="shared" si="2"/>
        <v>3090.9030000000007</v>
      </c>
      <c r="H16" s="45">
        <f t="shared" si="2"/>
        <v>3121.8120300000005</v>
      </c>
      <c r="I16" s="15"/>
    </row>
    <row r="17" spans="2:9" ht="15">
      <c r="B17" s="16"/>
      <c r="C17" s="17" t="str">
        <f t="shared" si="1"/>
        <v>TFR</v>
      </c>
      <c r="D17" s="45">
        <f t="shared" si="1"/>
        <v>6000</v>
      </c>
      <c r="E17" s="45">
        <f t="shared" si="2"/>
        <v>6060</v>
      </c>
      <c r="F17" s="45">
        <f t="shared" si="2"/>
        <v>6120.6</v>
      </c>
      <c r="G17" s="45">
        <f t="shared" si="2"/>
        <v>6181.806000000001</v>
      </c>
      <c r="H17" s="45">
        <f t="shared" si="2"/>
        <v>6243.624060000001</v>
      </c>
      <c r="I17" s="15"/>
    </row>
    <row r="18" spans="2:9" ht="15">
      <c r="B18" s="16"/>
      <c r="C18" s="12" t="s">
        <v>68</v>
      </c>
      <c r="D18" s="50">
        <f>SUM(D14:D17)</f>
        <v>106500</v>
      </c>
      <c r="E18" s="50">
        <f>SUM(E14:E17)</f>
        <v>107565</v>
      </c>
      <c r="F18" s="50">
        <f>SUM(F14:F17)</f>
        <v>108640.65000000001</v>
      </c>
      <c r="G18" s="50">
        <f>SUM(G14:G17)</f>
        <v>109727.05650000002</v>
      </c>
      <c r="H18" s="50">
        <f>SUM(H14:H17)</f>
        <v>110824.32706500002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309</v>
      </c>
      <c r="D22" s="25">
        <f>+D17</f>
        <v>6000</v>
      </c>
      <c r="E22" s="25">
        <f>+E17</f>
        <v>6060</v>
      </c>
      <c r="F22" s="25">
        <f>+F17</f>
        <v>6120.6</v>
      </c>
      <c r="G22" s="25">
        <f>+G17</f>
        <v>6181.806000000001</v>
      </c>
      <c r="H22" s="25">
        <f>+H17</f>
        <v>6243.624060000001</v>
      </c>
    </row>
    <row r="23" spans="3:8" ht="15">
      <c r="C23" t="s">
        <v>34</v>
      </c>
      <c r="D23" s="25">
        <f>+D18-D22</f>
        <v>100500</v>
      </c>
      <c r="E23" s="25">
        <f>+E18-E22</f>
        <v>101505</v>
      </c>
      <c r="F23" s="25">
        <f>+F18-F22</f>
        <v>102520.05</v>
      </c>
      <c r="G23" s="25">
        <f>+G18-G22</f>
        <v>103545.25050000002</v>
      </c>
      <c r="H23" s="25">
        <f>+H18-H22</f>
        <v>104580.70300500002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2013-09-12T12:05:31Z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