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finanziamento" sheetId="10" r:id="rId10"/>
    <sheet name="Altri costi" sheetId="11" r:id="rId11"/>
    <sheet name="Iva" sheetId="12" r:id="rId12"/>
    <sheet name="Irap" sheetId="13" r:id="rId13"/>
    <sheet name="Irpef socio" sheetId="14" r:id="rId14"/>
    <sheet name="Inps socio" sheetId="15" r:id="rId15"/>
    <sheet name="Banca" sheetId="16" r:id="rId1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<sst xmlns="http://schemas.openxmlformats.org/spreadsheetml/2006/main" count="591" uniqueCount="414">
  <si>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</si>
  <si>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</si>
  <si>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</si>
  <si>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</si>
  <si>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</si>
  <si>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</si>
  <si>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</si>
  <si>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</si>
  <si>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</si>
  <si>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</si>
  <si>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Margine ricarico</t>
  </si>
  <si>
    <t>Vendite</t>
  </si>
  <si>
    <t>Aliquota iva media</t>
  </si>
  <si>
    <t>dilazione Clienti</t>
  </si>
  <si>
    <t>Giacenza magazzino</t>
  </si>
  <si>
    <t>Giorni dil fornitore</t>
  </si>
  <si>
    <t>magazzino MP</t>
  </si>
  <si>
    <t>Acqusti Mp</t>
  </si>
  <si>
    <t>Mp iniziali</t>
  </si>
  <si>
    <t>Mp Finali</t>
  </si>
  <si>
    <t>TOTALE</t>
  </si>
  <si>
    <t>Consumo merci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</si>
  <si>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</si>
  <si>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</si>
  <si>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</si>
  <si>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</si>
  <si>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</si>
  <si>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</si>
  <si>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</si>
  <si>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</si>
  <si>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</si>
  <si>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</si>
  <si>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</si>
  <si>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</si>
  <si>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</si>
  <si>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</si>
  <si>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</si>
  <si>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</si>
  <si>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</si>
  <si>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</si>
  <si>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</si>
  <si>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</si>
  <si>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</si>
  <si>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</si>
  <si>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</si>
  <si>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</si>
  <si>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</si>
  <si>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</si>
  <si>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</si>
  <si>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</si>
  <si>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</si>
  <si>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</si>
  <si>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</si>
  <si>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</si>
  <si>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</si>
  <si>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</si>
  <si>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</si>
  <si>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</si>
  <si>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</si>
  <si>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</si>
  <si>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</si>
  <si>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</si>
  <si>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</si>
  <si>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</si>
  <si>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</si>
  <si>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</si>
  <si>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</si>
  <si>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</si>
  <si>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</si>
  <si>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</si>
  <si>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</si>
  <si>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</si>
  <si>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</si>
  <si>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</si>
  <si>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</si>
  <si>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</si>
  <si>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</si>
  <si>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</si>
  <si>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</si>
  <si>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</si>
  <si>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</si>
  <si>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</si>
  <si>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</si>
  <si>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</si>
  <si>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</si>
  <si>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</si>
  <si>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</si>
  <si>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</si>
  <si>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</si>
  <si>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</si>
  <si>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</si>
  <si>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</si>
  <si>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</si>
  <si>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</si>
  <si>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</si>
  <si>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</si>
  <si>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</si>
  <si>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</si>
  <si>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</si>
  <si>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</si>
  <si>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</si>
  <si>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</si>
  <si>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</si>
  <si>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</si>
  <si>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</si>
  <si>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</si>
  <si>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</si>
  <si>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</si>
  <si>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</si>
  <si>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</si>
  <si>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</si>
  <si>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</si>
  <si>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</si>
  <si>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</si>
  <si>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</si>
  <si>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</si>
  <si>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</si>
  <si>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</si>
  <si>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</si>
  <si>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</si>
  <si>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</si>
  <si>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</si>
  <si>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</si>
  <si>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</si>
  <si>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</si>
  <si>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</si>
  <si>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</si>
  <si>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</si>
  <si>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</si>
  <si>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</si>
  <si>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</si>
  <si>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</si>
  <si>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</si>
  <si>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</si>
  <si>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</si>
  <si>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</si>
  <si>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</si>
  <si>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</si>
  <si>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</si>
  <si>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</si>
  <si>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</si>
  <si>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</si>
  <si>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</si>
  <si>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</si>
  <si>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</si>
  <si>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</si>
  <si>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</si>
  <si>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</si>
  <si>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</si>
  <si>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</si>
  <si>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</si>
  <si>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</si>
  <si>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</si>
  <si>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</si>
  <si>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</si>
  <si>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</si>
  <si>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</si>
  <si>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</si>
  <si>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</si>
  <si>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</si>
  <si>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</si>
  <si>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</si>
  <si>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</si>
  <si>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</si>
  <si>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</si>
  <si>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</si>
  <si>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</si>
  <si>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</si>
  <si>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</si>
  <si>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</si>
  <si>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</si>
  <si>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</si>
  <si>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</si>
  <si>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</si>
  <si>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</si>
  <si>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</si>
  <si>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</si>
  <si>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</si>
  <si>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</si>
  <si>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</si>
  <si>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</si>
  <si>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</si>
  <si>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</si>
  <si>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</si>
  <si>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</si>
  <si>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</si>
  <si>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</si>
  <si>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</si>
  <si>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</si>
  <si>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</si>
  <si>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</si>
  <si>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</si>
  <si>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</si>
  <si>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</si>
  <si>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</si>
  <si>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</si>
  <si>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</si>
  <si>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</si>
  <si>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</si>
  <si>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</si>
  <si>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</si>
  <si>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</si>
  <si>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</si>
  <si>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</si>
  <si>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</si>
  <si>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</si>
  <si>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</si>
  <si>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</si>
  <si>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</si>
  <si>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</si>
  <si>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</si>
  <si>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</si>
  <si>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</si>
  <si>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</si>
  <si>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</si>
  <si>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</si>
  <si>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</si>
  <si>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</si>
  <si>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</si>
  <si>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</si>
  <si>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</si>
  <si>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</si>
  <si>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</si>
  <si>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</si>
  <si>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</si>
  <si>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</si>
  <si>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</si>
  <si>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</si>
  <si>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</si>
  <si>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</si>
  <si>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</si>
  <si>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</si>
  <si>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</si>
  <si>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</si>
  <si>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</si>
  <si>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</si>
  <si>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</si>
  <si>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</si>
  <si>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</si>
  <si>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</si>
  <si>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</si>
  <si>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</si>
  <si>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</si>
  <si>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</si>
  <si>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</si>
  <si>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</si>
  <si>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1</t>
  </si>
  <si>
    <t>Altri costi 2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</si>
  <si>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</si>
  <si>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</si>
  <si>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</si>
  <si>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</si>
  <si>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</si>
  <si>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</si>
  <si>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</si>
  <si>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</si>
  <si>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</si>
  <si>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</si>
  <si>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</si>
  <si>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</si>
  <si>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</si>
  <si>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</si>
  <si>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</si>
  <si>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</si>
  <si>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</si>
  <si>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</si>
  <si>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</si>
  <si>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</si>
  <si>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</si>
  <si>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</si>
  <si>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</si>
  <si>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</si>
  <si>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</si>
  <si>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</si>
  <si>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</si>
  <si>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</si>
  <si>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</si>
  <si>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</si>
  <si>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</si>
  <si>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</si>
  <si>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</si>
  <si>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</si>
  <si>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</si>
  <si>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</si>
  <si>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</si>
  <si>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</si>
  <si>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</si>
  <si>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</si>
  <si>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</si>
  <si>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</si>
  <si>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</si>
  <si>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</si>
  <si>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</si>
  <si>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</si>
  <si>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</si>
  <si>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</si>
  <si>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</si>
  <si>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</si>
  <si>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</si>
  <si>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</si>
  <si>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</si>
  <si>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</si>
  <si>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</si>
  <si>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</si>
  <si>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</si>
  <si>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</si>
  <si>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</si>
  <si>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</si>
  <si>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</si>
  <si>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</si>
  <si>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</si>
  <si>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</si>
  <si>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</si>
  <si>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</si>
  <si>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</si>
  <si>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</si>
  <si>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</si>
  <si>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</si>
  <si>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</si>
  <si>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</si>
  <si>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</si>
  <si>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</si>
  <si>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</si>
  <si>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</si>
  <si>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</si>
  <si>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</si>
  <si>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</si>
  <si>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</si>
  <si>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</si>
  <si>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</si>
  <si>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</si>
  <si>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</si>
  <si>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</si>
  <si>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</si>
  <si>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</si>
  <si>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</si>
  <si>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</si>
  <si>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</si>
  <si>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</si>
  <si>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</si>
  <si>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</si>
  <si>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</si>
  <si>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</si>
  <si>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</si>
  <si>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</si>
  <si>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</si>
  <si>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</si>
  <si>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</si>
  <si>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</si>
  <si>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</si>
  <si>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</si>
  <si>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</si>
  <si>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</si>
  <si>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</si>
  <si>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</si>
  <si>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</si>
  <si>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Consumi MP</t>
  </si>
  <si>
    <t>www.bpexcel.it</t>
  </si>
  <si>
    <t>Settore:</t>
  </si>
  <si>
    <t xml:space="preserve">Entità legale: </t>
  </si>
  <si>
    <t>Utile Azienda  dopo Irap</t>
  </si>
  <si>
    <t>Prodotto 8</t>
  </si>
  <si>
    <t>Prodotto 9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</si>
  <si>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</si>
  <si>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</si>
  <si>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</si>
  <si>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</si>
  <si>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</si>
  <si>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</si>
  <si>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</si>
  <si>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</si>
  <si>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</si>
  <si>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</si>
  <si>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</si>
  <si>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</si>
  <si>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</si>
  <si>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</si>
  <si>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</si>
  <si>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</si>
  <si>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</si>
  <si>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Prezzo medio</t>
  </si>
  <si>
    <t>Quantità</t>
  </si>
  <si>
    <t>Un misura</t>
  </si>
  <si>
    <t>Varie</t>
  </si>
  <si>
    <t>Bibite</t>
  </si>
  <si>
    <t>Attività:</t>
  </si>
  <si>
    <t>J</t>
  </si>
  <si>
    <t>K</t>
  </si>
  <si>
    <t>L</t>
  </si>
  <si>
    <t>M</t>
  </si>
  <si>
    <t>N</t>
  </si>
  <si>
    <t xml:space="preserve">Anno Stipula Contratto </t>
  </si>
  <si>
    <t xml:space="preserve">Banca </t>
  </si>
  <si>
    <t>Torte</t>
  </si>
  <si>
    <t>Semifreddo</t>
  </si>
  <si>
    <t>Frullati</t>
  </si>
  <si>
    <t>Stagionalità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</si>
  <si>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</si>
  <si>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</si>
  <si>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</si>
  <si>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</si>
  <si>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</si>
  <si>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</si>
  <si>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</si>
  <si>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</si>
  <si>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</si>
  <si>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</si>
  <si>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</si>
  <si>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</si>
  <si>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Iva a debito  dicembre</t>
  </si>
  <si>
    <t>Iva a credito  dicembre</t>
  </si>
  <si>
    <t>Gelateria</t>
  </si>
  <si>
    <t>Pz</t>
  </si>
  <si>
    <t>Gelato (cono/coppetta)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</si>
</sst>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2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24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16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6" fontId="0" fillId="33" borderId="32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3" fontId="0" fillId="33" borderId="3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38" borderId="0" xfId="53" applyFont="1" applyFill="1" applyAlignment="1">
      <alignment horizontal="center"/>
    </xf>
    <xf numFmtId="0" fontId="43" fillId="39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0" xfId="0" applyFill="1" applyBorder="1" applyAlignment="1">
      <alignment/>
    </xf>
    <xf numFmtId="0" fontId="43" fillId="39" borderId="0" xfId="0" applyFont="1" applyFill="1" applyBorder="1" applyAlignment="1">
      <alignment horizontal="center"/>
    </xf>
    <xf numFmtId="0" fontId="0" fillId="39" borderId="18" xfId="0" applyFill="1" applyBorder="1" applyAlignment="1">
      <alignment/>
    </xf>
    <xf numFmtId="164" fontId="43" fillId="39" borderId="0" xfId="0" applyNumberFormat="1" applyFont="1" applyFill="1" applyBorder="1" applyAlignment="1">
      <alignment/>
    </xf>
    <xf numFmtId="9" fontId="43" fillId="39" borderId="0" xfId="59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167" fontId="0" fillId="33" borderId="35" xfId="59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9" fontId="0" fillId="33" borderId="22" xfId="59" applyFont="1" applyFill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44" fillId="0" borderId="0" xfId="0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O120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5" sqref="E85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2.57421875" style="0" customWidth="1"/>
    <col min="6" max="6" width="19.00390625" style="0" bestFit="1" customWidth="1"/>
    <col min="7" max="7" width="11.421875" style="0" customWidth="1"/>
    <col min="8" max="8" width="13.140625" style="0" bestFit="1" customWidth="1"/>
    <col min="9" max="9" width="19.57421875" style="0" customWidth="1"/>
    <col min="10" max="10" width="16.8515625" style="0" customWidth="1"/>
    <col min="11" max="11" width="9.57421875" style="0" bestFit="1" customWidth="1"/>
    <col min="13" max="13" width="11.421875" style="0" customWidth="1"/>
    <col min="14" max="14" width="11.00390625" style="0" customWidth="1"/>
    <col min="30" max="30" width="11.00390625" style="0" bestFit="1" customWidth="1"/>
    <col min="31" max="31" width="15.57421875" style="0" bestFit="1" customWidth="1"/>
  </cols>
  <sheetData>
    <row r="2" spans="3:14" ht="58.5" customHeight="1">
      <c r="C2" s="131" t="s">
        <v>357</v>
      </c>
      <c r="E2" s="6" t="s">
        <v>358</v>
      </c>
      <c r="F2" t="s">
        <v>363</v>
      </c>
      <c r="G2" s="6" t="s">
        <v>385</v>
      </c>
      <c r="H2" t="s">
        <v>411</v>
      </c>
      <c r="I2" s="6" t="s">
        <v>359</v>
      </c>
      <c r="J2" s="128" t="s">
        <v>364</v>
      </c>
      <c r="N2" s="2" t="s">
        <v>379</v>
      </c>
    </row>
    <row r="3" ht="15.75" thickBot="1"/>
    <row r="4" spans="2:11" ht="15">
      <c r="B4" s="8"/>
      <c r="C4" s="132" t="s">
        <v>259</v>
      </c>
      <c r="D4" s="133"/>
      <c r="E4" s="133"/>
      <c r="F4" s="133"/>
      <c r="G4" s="133"/>
      <c r="H4" s="133"/>
      <c r="I4" s="134"/>
      <c r="K4" s="6" t="s">
        <v>355</v>
      </c>
    </row>
    <row r="5" spans="2:11" ht="15">
      <c r="B5" s="16"/>
      <c r="C5" s="135"/>
      <c r="D5" s="136" t="s">
        <v>3</v>
      </c>
      <c r="E5" s="136" t="s">
        <v>4</v>
      </c>
      <c r="F5" s="136" t="s">
        <v>5</v>
      </c>
      <c r="G5" s="136" t="s">
        <v>6</v>
      </c>
      <c r="H5" s="136" t="s">
        <v>7</v>
      </c>
      <c r="I5" s="137"/>
      <c r="K5" s="105" t="s">
        <v>352</v>
      </c>
    </row>
    <row r="6" spans="2:11" ht="15">
      <c r="B6" s="16"/>
      <c r="C6" s="135" t="s">
        <v>360</v>
      </c>
      <c r="D6" s="138">
        <f>+'CE'!D51</f>
        <v>-10527.841478519078</v>
      </c>
      <c r="E6" s="138">
        <f>+'CE'!E51</f>
        <v>408.11278382518094</v>
      </c>
      <c r="F6" s="138">
        <f>+'CE'!F51</f>
        <v>28663.009398044418</v>
      </c>
      <c r="G6" s="138">
        <f>+'CE'!G51</f>
        <v>37628.177062115006</v>
      </c>
      <c r="H6" s="138">
        <f>+'CE'!H51</f>
        <v>47140.23864032199</v>
      </c>
      <c r="I6" s="137"/>
      <c r="K6" s="105" t="s">
        <v>353</v>
      </c>
    </row>
    <row r="7" spans="2:11" ht="15">
      <c r="B7" s="16"/>
      <c r="C7" s="135" t="s">
        <v>378</v>
      </c>
      <c r="D7" s="138">
        <f>+'CE'!D59</f>
        <v>-8456.81073925954</v>
      </c>
      <c r="E7" s="138">
        <f>+'CE'!E59</f>
        <v>-3151.589708576429</v>
      </c>
      <c r="F7" s="138">
        <f>+'CE'!F59</f>
        <v>8994.108743788696</v>
      </c>
      <c r="G7" s="138">
        <f>+'CE'!G59</f>
        <v>11942.538754433348</v>
      </c>
      <c r="H7" s="138">
        <f>+'CE'!H59</f>
        <v>15070.82914131401</v>
      </c>
      <c r="I7" s="137"/>
      <c r="K7" s="105" t="s">
        <v>307</v>
      </c>
    </row>
    <row r="8" spans="2:9" ht="15">
      <c r="B8" s="16"/>
      <c r="C8" s="135"/>
      <c r="D8" s="139"/>
      <c r="E8" s="139"/>
      <c r="F8" s="139"/>
      <c r="G8" s="139"/>
      <c r="H8" s="139"/>
      <c r="I8" s="137"/>
    </row>
    <row r="9" spans="2:9" ht="15">
      <c r="B9" s="16"/>
      <c r="C9" s="135" t="s">
        <v>291</v>
      </c>
      <c r="D9" s="138">
        <f>+IF(SP!C4&gt;0,SP!C4,-SP!C23)</f>
        <v>627.9656888507889</v>
      </c>
      <c r="E9" s="138">
        <f>+IF(SP!D4&gt;0,SP!D4,-SP!D23)</f>
        <v>18963.911623545224</v>
      </c>
      <c r="F9" s="138">
        <f>+IF(SP!E4&gt;0,SP!E4,-SP!E23)</f>
        <v>59996.47853322013</v>
      </c>
      <c r="G9" s="138">
        <f>+IF(SP!F4&gt;0,SP!F4,-SP!F23)</f>
        <v>77761.51499577146</v>
      </c>
      <c r="H9" s="138">
        <f>+IF(SP!G4&gt;0,SP!G4,-SP!G23)</f>
        <v>95602.48067448754</v>
      </c>
      <c r="I9" s="137"/>
    </row>
    <row r="10" spans="2:9" ht="15.75" thickBot="1">
      <c r="B10" s="18"/>
      <c r="C10" s="140"/>
      <c r="D10" s="140"/>
      <c r="E10" s="140"/>
      <c r="F10" s="140"/>
      <c r="G10" s="140"/>
      <c r="H10" s="140"/>
      <c r="I10" s="141"/>
    </row>
    <row r="11" ht="15.75" thickBot="1"/>
    <row r="12" spans="2:16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2:16" ht="15">
      <c r="B13" s="16"/>
      <c r="C13" s="12" t="s">
        <v>276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5"/>
    </row>
    <row r="14" spans="2:35" ht="15">
      <c r="B14" s="16"/>
      <c r="C14" s="17" t="s">
        <v>264</v>
      </c>
      <c r="D14" s="104" t="s">
        <v>274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5"/>
      <c r="AI14" t="s">
        <v>274</v>
      </c>
    </row>
    <row r="15" spans="2:35" ht="1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5"/>
      <c r="AI15" t="s">
        <v>275</v>
      </c>
    </row>
    <row r="16" spans="2:16" ht="15">
      <c r="B16" s="16"/>
      <c r="C16" s="17" t="s">
        <v>290</v>
      </c>
      <c r="D16" s="23">
        <v>0.5</v>
      </c>
      <c r="E16" s="1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5"/>
    </row>
    <row r="17" spans="2:16" ht="15">
      <c r="B17" s="16"/>
      <c r="C17" s="17"/>
      <c r="D17" s="148">
        <f>+IF(SUM(D19:O19)&lt;&gt;1," errore totale anno diverso da 100%","")</f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5"/>
    </row>
    <row r="18" spans="2:16" ht="15">
      <c r="B18" s="16"/>
      <c r="C18" s="17"/>
      <c r="D18" s="13" t="s">
        <v>397</v>
      </c>
      <c r="E18" s="13" t="s">
        <v>398</v>
      </c>
      <c r="F18" s="13" t="s">
        <v>399</v>
      </c>
      <c r="G18" s="13" t="s">
        <v>400</v>
      </c>
      <c r="H18" s="13" t="s">
        <v>401</v>
      </c>
      <c r="I18" s="13" t="s">
        <v>402</v>
      </c>
      <c r="J18" s="13" t="s">
        <v>403</v>
      </c>
      <c r="K18" s="13" t="s">
        <v>404</v>
      </c>
      <c r="L18" s="13" t="s">
        <v>405</v>
      </c>
      <c r="M18" s="13" t="s">
        <v>406</v>
      </c>
      <c r="N18" s="13" t="s">
        <v>407</v>
      </c>
      <c r="O18" s="13" t="s">
        <v>408</v>
      </c>
      <c r="P18" s="15"/>
    </row>
    <row r="19" spans="2:16" ht="15">
      <c r="B19" s="16"/>
      <c r="C19" s="52" t="s">
        <v>396</v>
      </c>
      <c r="D19" s="23">
        <v>0</v>
      </c>
      <c r="E19" s="23">
        <v>0</v>
      </c>
      <c r="F19" s="23">
        <v>0.03</v>
      </c>
      <c r="G19" s="23">
        <v>0.04</v>
      </c>
      <c r="H19" s="23">
        <v>0.1</v>
      </c>
      <c r="I19" s="23">
        <v>0.15</v>
      </c>
      <c r="J19" s="23">
        <v>0.25</v>
      </c>
      <c r="K19" s="23">
        <v>0.25</v>
      </c>
      <c r="L19" s="23">
        <v>0.15</v>
      </c>
      <c r="M19" s="23">
        <v>0</v>
      </c>
      <c r="N19" s="23">
        <v>0</v>
      </c>
      <c r="O19" s="23">
        <v>0.03</v>
      </c>
      <c r="P19" s="15"/>
    </row>
    <row r="20" spans="2:16" ht="15">
      <c r="B20" s="16"/>
      <c r="C20" s="17"/>
      <c r="D20" s="12" t="str">
        <f>+D5</f>
        <v>Anno 1</v>
      </c>
      <c r="E20" s="12" t="str">
        <f>+E5</f>
        <v>Anno 2</v>
      </c>
      <c r="F20" s="12" t="str">
        <f>+F5</f>
        <v>Anno 3</v>
      </c>
      <c r="G20" s="12" t="str">
        <f>+G5</f>
        <v>Anno 4</v>
      </c>
      <c r="H20" s="12" t="str">
        <f>+H5</f>
        <v>Anno 5</v>
      </c>
      <c r="I20" s="17"/>
      <c r="J20" s="17"/>
      <c r="K20" s="17"/>
      <c r="L20" s="17"/>
      <c r="M20" s="17"/>
      <c r="N20" s="17"/>
      <c r="O20" s="17"/>
      <c r="P20" s="15"/>
    </row>
    <row r="21" spans="2:16" ht="15">
      <c r="B21" s="16"/>
      <c r="C21" s="17" t="s">
        <v>344</v>
      </c>
      <c r="D21" s="2">
        <v>40000</v>
      </c>
      <c r="E21" s="2"/>
      <c r="F21" s="2"/>
      <c r="G21" s="2"/>
      <c r="H21" s="2"/>
      <c r="I21" s="17"/>
      <c r="J21" s="17"/>
      <c r="K21" s="17"/>
      <c r="L21" s="17"/>
      <c r="M21" s="17"/>
      <c r="N21" s="17"/>
      <c r="O21" s="17"/>
      <c r="P21" s="15"/>
    </row>
    <row r="22" spans="2:16" ht="15">
      <c r="B22" s="16"/>
      <c r="C22" s="17" t="s">
        <v>345</v>
      </c>
      <c r="D22" s="17"/>
      <c r="E22" s="2"/>
      <c r="F22" s="2"/>
      <c r="G22" s="2">
        <f>+F6</f>
        <v>28663.009398044418</v>
      </c>
      <c r="H22" s="2">
        <f>+G6</f>
        <v>37628.177062115006</v>
      </c>
      <c r="I22" s="17"/>
      <c r="J22" s="17"/>
      <c r="K22" s="17"/>
      <c r="L22" s="17"/>
      <c r="M22" s="17"/>
      <c r="N22" s="17"/>
      <c r="O22" s="17"/>
      <c r="P22" s="15"/>
    </row>
    <row r="23" spans="2:16" ht="15.75" thickBot="1">
      <c r="B23" s="18"/>
      <c r="C23" s="19"/>
      <c r="D23" s="103"/>
      <c r="E23" s="103"/>
      <c r="F23" s="103"/>
      <c r="G23" s="103"/>
      <c r="H23" s="103"/>
      <c r="I23" s="19"/>
      <c r="J23" s="19"/>
      <c r="K23" s="19"/>
      <c r="L23" s="19"/>
      <c r="M23" s="19"/>
      <c r="N23" s="19"/>
      <c r="O23" s="19"/>
      <c r="P23" s="20"/>
    </row>
    <row r="24" ht="15.75" thickBot="1"/>
    <row r="25" spans="2:21" ht="15">
      <c r="B25" s="8"/>
      <c r="C25" s="21" t="s">
        <v>11</v>
      </c>
      <c r="D25" s="9"/>
      <c r="E25" s="9"/>
      <c r="F25" s="9"/>
      <c r="G25" s="9"/>
      <c r="H25" s="9"/>
      <c r="I25" s="9"/>
      <c r="J25" s="21" t="s">
        <v>380</v>
      </c>
      <c r="K25" s="21"/>
      <c r="L25" s="21"/>
      <c r="M25" s="21"/>
      <c r="N25" s="21"/>
      <c r="O25" s="9"/>
      <c r="P25" s="21" t="s">
        <v>381</v>
      </c>
      <c r="Q25" s="21"/>
      <c r="R25" s="21"/>
      <c r="S25" s="21"/>
      <c r="T25" s="21"/>
      <c r="U25" s="10"/>
    </row>
    <row r="26" spans="1:31" ht="30">
      <c r="A26" s="6"/>
      <c r="B26" s="11"/>
      <c r="C26" s="12" t="s">
        <v>9</v>
      </c>
      <c r="D26" s="12"/>
      <c r="E26" s="22" t="s">
        <v>10</v>
      </c>
      <c r="F26" s="22" t="s">
        <v>1</v>
      </c>
      <c r="G26" s="22" t="s">
        <v>2</v>
      </c>
      <c r="H26" s="14"/>
      <c r="I26" s="13" t="s">
        <v>382</v>
      </c>
      <c r="J26" s="13" t="s">
        <v>3</v>
      </c>
      <c r="K26" s="13" t="s">
        <v>4</v>
      </c>
      <c r="L26" s="13" t="s">
        <v>5</v>
      </c>
      <c r="M26" s="13" t="s">
        <v>6</v>
      </c>
      <c r="N26" s="13" t="s">
        <v>7</v>
      </c>
      <c r="O26" s="14"/>
      <c r="P26" s="13" t="s">
        <v>3</v>
      </c>
      <c r="Q26" s="13" t="s">
        <v>4</v>
      </c>
      <c r="R26" s="13" t="s">
        <v>5</v>
      </c>
      <c r="S26" s="13" t="s">
        <v>6</v>
      </c>
      <c r="T26" s="13" t="s">
        <v>7</v>
      </c>
      <c r="U26" s="15"/>
      <c r="AD26" t="s">
        <v>8</v>
      </c>
      <c r="AE26" t="s">
        <v>13</v>
      </c>
    </row>
    <row r="27" spans="2:31" ht="15">
      <c r="B27" s="16"/>
      <c r="C27" s="27" t="s">
        <v>413</v>
      </c>
      <c r="D27" s="12"/>
      <c r="E27" s="23">
        <v>0.9</v>
      </c>
      <c r="F27" s="23">
        <v>0.21</v>
      </c>
      <c r="G27" s="24">
        <v>0</v>
      </c>
      <c r="H27" s="17"/>
      <c r="I27" s="14" t="s">
        <v>412</v>
      </c>
      <c r="J27" s="127">
        <v>2.5</v>
      </c>
      <c r="K27" s="127">
        <f>+J27*1.01</f>
        <v>2.525</v>
      </c>
      <c r="L27" s="127">
        <f>+K27*1.01</f>
        <v>2.55025</v>
      </c>
      <c r="M27" s="127">
        <f>+L27*1.01</f>
        <v>2.5757525</v>
      </c>
      <c r="N27" s="127">
        <f>+M27*1.01</f>
        <v>2.601510025</v>
      </c>
      <c r="O27" s="17"/>
      <c r="P27" s="129">
        <v>20000</v>
      </c>
      <c r="Q27" s="129">
        <f>+P27*1.5</f>
        <v>30000</v>
      </c>
      <c r="R27" s="129">
        <f>+Q27*1.3</f>
        <v>39000</v>
      </c>
      <c r="S27" s="129">
        <f>+R27*1.05</f>
        <v>40950</v>
      </c>
      <c r="T27" s="129">
        <f>+S27*1.05</f>
        <v>42997.5</v>
      </c>
      <c r="U27" s="15"/>
      <c r="AD27" s="1">
        <v>0</v>
      </c>
      <c r="AE27" s="1">
        <v>0</v>
      </c>
    </row>
    <row r="28" spans="2:31" ht="15">
      <c r="B28" s="16"/>
      <c r="C28" s="27" t="s">
        <v>395</v>
      </c>
      <c r="D28" s="12"/>
      <c r="E28" s="23">
        <v>0.9</v>
      </c>
      <c r="F28" s="23">
        <v>0.21</v>
      </c>
      <c r="G28" s="24">
        <v>0</v>
      </c>
      <c r="H28" s="17"/>
      <c r="I28" s="14" t="s">
        <v>412</v>
      </c>
      <c r="J28" s="127">
        <v>3</v>
      </c>
      <c r="K28" s="127">
        <f aca="true" t="shared" si="0" ref="K28:N31">+J28*1.01</f>
        <v>3.0300000000000002</v>
      </c>
      <c r="L28" s="127">
        <f t="shared" si="0"/>
        <v>3.0603000000000002</v>
      </c>
      <c r="M28" s="127">
        <f t="shared" si="0"/>
        <v>3.0909030000000004</v>
      </c>
      <c r="N28" s="127">
        <f t="shared" si="0"/>
        <v>3.1218120300000005</v>
      </c>
      <c r="O28" s="17"/>
      <c r="P28" s="129">
        <v>5000</v>
      </c>
      <c r="Q28" s="129">
        <f>+P28*1.5</f>
        <v>7500</v>
      </c>
      <c r="R28" s="129">
        <f>+Q28*1.3</f>
        <v>9750</v>
      </c>
      <c r="S28" s="129">
        <f aca="true" t="shared" si="1" ref="S28:T30">+R28*1.05</f>
        <v>10237.5</v>
      </c>
      <c r="T28" s="129">
        <f t="shared" si="1"/>
        <v>10749.375</v>
      </c>
      <c r="U28" s="15"/>
      <c r="AD28" s="1">
        <v>30</v>
      </c>
      <c r="AE28" s="1">
        <v>30</v>
      </c>
    </row>
    <row r="29" spans="2:31" ht="15">
      <c r="B29" s="16"/>
      <c r="C29" s="27" t="s">
        <v>394</v>
      </c>
      <c r="D29" s="12"/>
      <c r="E29" s="23">
        <v>0.9</v>
      </c>
      <c r="F29" s="23">
        <v>0.21</v>
      </c>
      <c r="G29" s="24">
        <v>0</v>
      </c>
      <c r="H29" s="17"/>
      <c r="I29" s="126" t="s">
        <v>412</v>
      </c>
      <c r="J29" s="127">
        <v>3</v>
      </c>
      <c r="K29" s="127">
        <f t="shared" si="0"/>
        <v>3.0300000000000002</v>
      </c>
      <c r="L29" s="127">
        <f t="shared" si="0"/>
        <v>3.0603000000000002</v>
      </c>
      <c r="M29" s="127">
        <f t="shared" si="0"/>
        <v>3.0909030000000004</v>
      </c>
      <c r="N29" s="127">
        <f t="shared" si="0"/>
        <v>3.1218120300000005</v>
      </c>
      <c r="O29" s="17"/>
      <c r="P29" s="129">
        <v>5000</v>
      </c>
      <c r="Q29" s="129">
        <f>+P29*1.5</f>
        <v>7500</v>
      </c>
      <c r="R29" s="129">
        <f>+Q29*1.3</f>
        <v>9750</v>
      </c>
      <c r="S29" s="129">
        <f t="shared" si="1"/>
        <v>10237.5</v>
      </c>
      <c r="T29" s="129">
        <f t="shared" si="1"/>
        <v>10749.375</v>
      </c>
      <c r="U29" s="15"/>
      <c r="AD29" s="1">
        <v>60</v>
      </c>
      <c r="AE29" s="1">
        <v>60</v>
      </c>
    </row>
    <row r="30" spans="2:31" ht="15">
      <c r="B30" s="16"/>
      <c r="C30" s="27" t="s">
        <v>393</v>
      </c>
      <c r="D30" s="12"/>
      <c r="E30" s="23">
        <v>0.9</v>
      </c>
      <c r="F30" s="23">
        <v>0.21</v>
      </c>
      <c r="G30" s="24">
        <v>0</v>
      </c>
      <c r="H30" s="17"/>
      <c r="I30" s="126" t="s">
        <v>412</v>
      </c>
      <c r="J30" s="127">
        <v>15</v>
      </c>
      <c r="K30" s="127">
        <f t="shared" si="0"/>
        <v>15.15</v>
      </c>
      <c r="L30" s="127">
        <f t="shared" si="0"/>
        <v>15.3015</v>
      </c>
      <c r="M30" s="127">
        <f t="shared" si="0"/>
        <v>15.454515</v>
      </c>
      <c r="N30" s="127">
        <f t="shared" si="0"/>
        <v>15.609060150000001</v>
      </c>
      <c r="O30" s="17"/>
      <c r="P30" s="129">
        <v>5000</v>
      </c>
      <c r="Q30" s="129">
        <f>+P30*1.5</f>
        <v>7500</v>
      </c>
      <c r="R30" s="129">
        <f>+Q30*1.3</f>
        <v>9750</v>
      </c>
      <c r="S30" s="129">
        <f t="shared" si="1"/>
        <v>10237.5</v>
      </c>
      <c r="T30" s="129">
        <f t="shared" si="1"/>
        <v>10749.375</v>
      </c>
      <c r="U30" s="15"/>
      <c r="AD30" s="1">
        <v>90</v>
      </c>
      <c r="AE30" s="1">
        <v>90</v>
      </c>
    </row>
    <row r="31" spans="2:31" ht="15">
      <c r="B31" s="16"/>
      <c r="C31" s="27" t="s">
        <v>384</v>
      </c>
      <c r="D31" s="12"/>
      <c r="E31" s="23">
        <v>0.6</v>
      </c>
      <c r="F31" s="23">
        <v>0.21</v>
      </c>
      <c r="G31" s="24">
        <v>0</v>
      </c>
      <c r="H31" s="17"/>
      <c r="I31" s="126" t="s">
        <v>412</v>
      </c>
      <c r="J31" s="3">
        <v>2</v>
      </c>
      <c r="K31" s="4">
        <f t="shared" si="0"/>
        <v>2.02</v>
      </c>
      <c r="L31" s="4">
        <f t="shared" si="0"/>
        <v>2.0402</v>
      </c>
      <c r="M31" s="4">
        <f t="shared" si="0"/>
        <v>2.060602</v>
      </c>
      <c r="N31" s="5">
        <f t="shared" si="0"/>
        <v>2.08120802</v>
      </c>
      <c r="O31" s="17"/>
      <c r="P31" s="4"/>
      <c r="Q31" s="4"/>
      <c r="R31" s="4"/>
      <c r="S31" s="4"/>
      <c r="T31" s="5"/>
      <c r="U31" s="15"/>
      <c r="AD31" s="1">
        <v>120</v>
      </c>
      <c r="AE31" s="1">
        <v>120</v>
      </c>
    </row>
    <row r="32" spans="2:31" ht="15">
      <c r="B32" s="16"/>
      <c r="C32" s="27" t="s">
        <v>383</v>
      </c>
      <c r="D32" s="12"/>
      <c r="E32" s="23">
        <v>0</v>
      </c>
      <c r="F32" s="23">
        <v>0</v>
      </c>
      <c r="G32" s="24"/>
      <c r="H32" s="17"/>
      <c r="I32" s="126"/>
      <c r="J32" s="3"/>
      <c r="K32" s="4"/>
      <c r="L32" s="4"/>
      <c r="M32" s="4"/>
      <c r="N32" s="5"/>
      <c r="O32" s="17"/>
      <c r="P32" s="4"/>
      <c r="Q32" s="4"/>
      <c r="R32" s="4"/>
      <c r="S32" s="4"/>
      <c r="T32" s="5"/>
      <c r="U32" s="15"/>
      <c r="AD32" s="1">
        <v>150</v>
      </c>
      <c r="AE32" s="1">
        <v>150</v>
      </c>
    </row>
    <row r="33" spans="2:31" ht="15">
      <c r="B33" s="16"/>
      <c r="C33" s="27" t="s">
        <v>384</v>
      </c>
      <c r="D33" s="12"/>
      <c r="E33" s="23">
        <v>0</v>
      </c>
      <c r="F33" s="23">
        <v>0</v>
      </c>
      <c r="G33" s="24"/>
      <c r="H33" s="17"/>
      <c r="I33" s="126"/>
      <c r="J33" s="3"/>
      <c r="K33" s="4"/>
      <c r="L33" s="4"/>
      <c r="M33" s="4"/>
      <c r="N33" s="5"/>
      <c r="O33" s="17"/>
      <c r="P33" s="4"/>
      <c r="Q33" s="4"/>
      <c r="R33" s="4"/>
      <c r="S33" s="4"/>
      <c r="T33" s="5"/>
      <c r="U33" s="15"/>
      <c r="AD33" s="1">
        <v>180</v>
      </c>
      <c r="AE33" s="1">
        <v>180</v>
      </c>
    </row>
    <row r="34" spans="2:21" ht="15">
      <c r="B34" s="16"/>
      <c r="C34" s="27" t="s">
        <v>361</v>
      </c>
      <c r="D34" s="12"/>
      <c r="E34" s="23">
        <v>0</v>
      </c>
      <c r="F34" s="23">
        <v>0</v>
      </c>
      <c r="G34" s="24"/>
      <c r="H34" s="17"/>
      <c r="I34" s="125"/>
      <c r="J34" s="3"/>
      <c r="K34" s="4"/>
      <c r="L34" s="4"/>
      <c r="M34" s="4"/>
      <c r="N34" s="5"/>
      <c r="O34" s="17"/>
      <c r="P34" s="4"/>
      <c r="Q34" s="4"/>
      <c r="R34" s="4"/>
      <c r="S34" s="4"/>
      <c r="T34" s="5"/>
      <c r="U34" s="15"/>
    </row>
    <row r="35" spans="2:21" ht="15">
      <c r="B35" s="16"/>
      <c r="C35" s="27" t="s">
        <v>362</v>
      </c>
      <c r="D35" s="12"/>
      <c r="E35" s="23">
        <v>0</v>
      </c>
      <c r="F35" s="23">
        <v>0</v>
      </c>
      <c r="G35" s="24"/>
      <c r="H35" s="17"/>
      <c r="I35" s="17"/>
      <c r="J35" s="3"/>
      <c r="K35" s="4"/>
      <c r="L35" s="4"/>
      <c r="M35" s="4"/>
      <c r="N35" s="5"/>
      <c r="O35" s="17"/>
      <c r="P35" s="4"/>
      <c r="Q35" s="4"/>
      <c r="R35" s="4"/>
      <c r="S35" s="4"/>
      <c r="T35" s="5"/>
      <c r="U35" s="15"/>
    </row>
    <row r="36" spans="2:21" ht="15.75" thickBo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</row>
    <row r="37" ht="15.75" thickBot="1"/>
    <row r="38" spans="2:8" ht="15">
      <c r="B38" s="8"/>
      <c r="C38" s="21" t="s">
        <v>356</v>
      </c>
      <c r="D38" s="9"/>
      <c r="E38" s="28"/>
      <c r="F38" s="9"/>
      <c r="G38" s="9"/>
      <c r="H38" s="10"/>
    </row>
    <row r="39" spans="2:8" ht="26.25" customHeight="1">
      <c r="B39" s="16"/>
      <c r="C39" s="17"/>
      <c r="D39" s="17"/>
      <c r="E39" s="22" t="s">
        <v>12</v>
      </c>
      <c r="F39" s="22" t="s">
        <v>14</v>
      </c>
      <c r="G39" s="22" t="s">
        <v>15</v>
      </c>
      <c r="H39" s="15"/>
    </row>
    <row r="40" spans="2:8" ht="15">
      <c r="B40" s="16"/>
      <c r="C40" s="27" t="str">
        <f>+"Mp x"&amp;C27</f>
        <v>Mp xGelato (cono/coppetta)</v>
      </c>
      <c r="D40" s="17"/>
      <c r="E40" s="38">
        <v>0.1</v>
      </c>
      <c r="F40" s="24">
        <v>0</v>
      </c>
      <c r="G40" s="24">
        <v>30</v>
      </c>
      <c r="H40" s="15"/>
    </row>
    <row r="41" spans="2:8" ht="15">
      <c r="B41" s="16"/>
      <c r="C41" s="27" t="str">
        <f aca="true" t="shared" si="2" ref="C41:C48">+"Mp x"&amp;C28</f>
        <v>Mp xFrullati</v>
      </c>
      <c r="D41" s="17"/>
      <c r="E41" s="38">
        <v>0.1</v>
      </c>
      <c r="F41" s="24">
        <v>0</v>
      </c>
      <c r="G41" s="24">
        <v>30</v>
      </c>
      <c r="H41" s="15"/>
    </row>
    <row r="42" spans="2:8" ht="15">
      <c r="B42" s="16"/>
      <c r="C42" s="27" t="str">
        <f t="shared" si="2"/>
        <v>Mp xSemifreddo</v>
      </c>
      <c r="D42" s="17"/>
      <c r="E42" s="38">
        <v>0.1</v>
      </c>
      <c r="F42" s="24">
        <v>0</v>
      </c>
      <c r="G42" s="24">
        <v>30</v>
      </c>
      <c r="H42" s="15"/>
    </row>
    <row r="43" spans="2:8" ht="15">
      <c r="B43" s="16"/>
      <c r="C43" s="27" t="str">
        <f t="shared" si="2"/>
        <v>Mp xTorte</v>
      </c>
      <c r="D43" s="17"/>
      <c r="E43" s="38">
        <v>0.1</v>
      </c>
      <c r="F43" s="24">
        <v>0</v>
      </c>
      <c r="G43" s="24">
        <v>30</v>
      </c>
      <c r="H43" s="15"/>
    </row>
    <row r="44" spans="2:8" ht="15">
      <c r="B44" s="16"/>
      <c r="C44" s="27" t="str">
        <f t="shared" si="2"/>
        <v>Mp xBibite</v>
      </c>
      <c r="D44" s="17"/>
      <c r="E44" s="38">
        <v>0.1</v>
      </c>
      <c r="F44" s="24">
        <v>30</v>
      </c>
      <c r="G44" s="24">
        <v>30</v>
      </c>
      <c r="H44" s="15"/>
    </row>
    <row r="45" spans="2:8" ht="15">
      <c r="B45" s="16"/>
      <c r="C45" s="27" t="str">
        <f t="shared" si="2"/>
        <v>Mp xVarie</v>
      </c>
      <c r="D45" s="17"/>
      <c r="E45" s="38">
        <v>0</v>
      </c>
      <c r="F45" s="24">
        <v>0</v>
      </c>
      <c r="G45" s="24">
        <v>0</v>
      </c>
      <c r="H45" s="15"/>
    </row>
    <row r="46" spans="2:8" ht="15">
      <c r="B46" s="16"/>
      <c r="C46" s="27" t="str">
        <f t="shared" si="2"/>
        <v>Mp xBibite</v>
      </c>
      <c r="D46" s="17"/>
      <c r="E46" s="38">
        <v>0</v>
      </c>
      <c r="F46" s="24">
        <v>0</v>
      </c>
      <c r="G46" s="24">
        <v>0</v>
      </c>
      <c r="H46" s="15"/>
    </row>
    <row r="47" spans="2:8" ht="15">
      <c r="B47" s="16"/>
      <c r="C47" s="27" t="str">
        <f>+"Mp x"&amp;C34</f>
        <v>Mp xProdotto 8</v>
      </c>
      <c r="D47" s="17"/>
      <c r="E47" s="38">
        <v>0</v>
      </c>
      <c r="F47" s="24">
        <v>0</v>
      </c>
      <c r="G47" s="24">
        <v>0</v>
      </c>
      <c r="H47" s="15"/>
    </row>
    <row r="48" spans="2:8" ht="15">
      <c r="B48" s="16"/>
      <c r="C48" s="27" t="str">
        <f t="shared" si="2"/>
        <v>Mp xProdotto 9</v>
      </c>
      <c r="D48" s="17"/>
      <c r="E48" s="38">
        <v>0</v>
      </c>
      <c r="F48" s="24">
        <v>0</v>
      </c>
      <c r="G48" s="24">
        <v>0</v>
      </c>
      <c r="H48" s="15"/>
    </row>
    <row r="49" spans="2:8" ht="15.75" thickBot="1">
      <c r="B49" s="18"/>
      <c r="C49" s="19"/>
      <c r="D49" s="19"/>
      <c r="E49" s="19"/>
      <c r="F49" s="19"/>
      <c r="G49" s="19"/>
      <c r="H49" s="20"/>
    </row>
    <row r="51" ht="15.75" thickBot="1"/>
    <row r="52" spans="2:12" ht="15">
      <c r="B52" s="8"/>
      <c r="C52" s="21" t="s">
        <v>46</v>
      </c>
      <c r="D52" s="9"/>
      <c r="E52" s="9"/>
      <c r="F52" s="9"/>
      <c r="G52" s="9"/>
      <c r="H52" s="9"/>
      <c r="I52" s="9"/>
      <c r="J52" s="9"/>
      <c r="K52" s="9"/>
      <c r="L52" s="10"/>
    </row>
    <row r="53" spans="2:12" ht="15">
      <c r="B53" s="16"/>
      <c r="C53" s="17"/>
      <c r="D53" s="17"/>
      <c r="E53" s="13" t="str">
        <f>+J26</f>
        <v>Anno 1</v>
      </c>
      <c r="F53" s="13" t="str">
        <f>+K26</f>
        <v>Anno 2</v>
      </c>
      <c r="G53" s="13" t="str">
        <f>+L26</f>
        <v>Anno 3</v>
      </c>
      <c r="H53" s="13" t="str">
        <f>+M26</f>
        <v>Anno 4</v>
      </c>
      <c r="I53" s="13" t="str">
        <f>+N26</f>
        <v>Anno 5</v>
      </c>
      <c r="J53" s="17"/>
      <c r="K53" s="17"/>
      <c r="L53" s="15"/>
    </row>
    <row r="54" spans="2:12" ht="15">
      <c r="B54" s="16"/>
      <c r="C54" s="17" t="s">
        <v>47</v>
      </c>
      <c r="D54" s="17"/>
      <c r="E54" s="2">
        <v>100000</v>
      </c>
      <c r="F54" s="2"/>
      <c r="G54" s="2"/>
      <c r="H54" s="2"/>
      <c r="I54" s="2"/>
      <c r="J54" s="17"/>
      <c r="K54" s="17"/>
      <c r="L54" s="15"/>
    </row>
    <row r="55" spans="2:12" ht="15">
      <c r="B55" s="16"/>
      <c r="C55" s="17" t="s">
        <v>48</v>
      </c>
      <c r="D55" s="17"/>
      <c r="E55" s="2">
        <v>20000</v>
      </c>
      <c r="F55" s="2"/>
      <c r="G55" s="2"/>
      <c r="H55" s="2"/>
      <c r="I55" s="2"/>
      <c r="J55" s="17"/>
      <c r="K55" s="17"/>
      <c r="L55" s="15"/>
    </row>
    <row r="56" spans="2:12" ht="1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5"/>
    </row>
    <row r="57" spans="2:12" ht="15">
      <c r="B57" s="16"/>
      <c r="C57" s="17" t="s">
        <v>1</v>
      </c>
      <c r="D57" s="17"/>
      <c r="E57" s="23">
        <v>0.21</v>
      </c>
      <c r="F57" s="17"/>
      <c r="G57" s="17"/>
      <c r="H57" s="17"/>
      <c r="I57" s="17"/>
      <c r="J57" s="17"/>
      <c r="K57" s="12" t="s">
        <v>51</v>
      </c>
      <c r="L57" s="15"/>
    </row>
    <row r="58" spans="2:12" ht="15">
      <c r="B58" s="16"/>
      <c r="C58" s="17"/>
      <c r="D58" s="17"/>
      <c r="E58" s="17" t="str">
        <f>+E53</f>
        <v>Anno 1</v>
      </c>
      <c r="F58" s="17" t="str">
        <f>+F53</f>
        <v>Anno 2</v>
      </c>
      <c r="G58" s="17" t="str">
        <f>+G53</f>
        <v>Anno 3</v>
      </c>
      <c r="H58" s="17" t="str">
        <f>+H53</f>
        <v>Anno 4</v>
      </c>
      <c r="I58" s="17" t="str">
        <f>+I53</f>
        <v>Anno 5</v>
      </c>
      <c r="J58" s="17"/>
      <c r="K58" s="17"/>
      <c r="L58" s="15"/>
    </row>
    <row r="59" spans="2:12" ht="15">
      <c r="B59" s="16"/>
      <c r="C59" s="17" t="s">
        <v>49</v>
      </c>
      <c r="D59" s="17"/>
      <c r="E59" s="2">
        <v>121000</v>
      </c>
      <c r="F59" s="2"/>
      <c r="G59" s="2"/>
      <c r="H59" s="2"/>
      <c r="I59" s="2"/>
      <c r="J59" s="17"/>
      <c r="K59" s="39">
        <f>+(SUM(E54:I54)+(SUM(E54:I54)*E57))-SUM(E59:I59)</f>
        <v>0</v>
      </c>
      <c r="L59" s="15"/>
    </row>
    <row r="60" spans="2:12" ht="15">
      <c r="B60" s="16"/>
      <c r="C60" s="17" t="s">
        <v>50</v>
      </c>
      <c r="D60" s="17"/>
      <c r="E60" s="2">
        <v>24200</v>
      </c>
      <c r="F60" s="2"/>
      <c r="G60" s="2"/>
      <c r="H60" s="2"/>
      <c r="I60" s="2"/>
      <c r="J60" s="17"/>
      <c r="K60" s="39">
        <f>+(SUM(E55:I55)+(SUM(E55:I55)*E57))-SUM(E60:I60)</f>
        <v>0</v>
      </c>
      <c r="L60" s="15"/>
    </row>
    <row r="61" spans="2:12" ht="15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5"/>
    </row>
    <row r="62" spans="2:12" ht="15">
      <c r="B62" s="16"/>
      <c r="C62" s="17" t="s">
        <v>52</v>
      </c>
      <c r="D62" s="17"/>
      <c r="E62" s="23">
        <v>0.1</v>
      </c>
      <c r="F62" s="17"/>
      <c r="G62" s="17"/>
      <c r="H62" s="17"/>
      <c r="I62" s="17"/>
      <c r="J62" s="17"/>
      <c r="K62" s="17"/>
      <c r="L62" s="15"/>
    </row>
    <row r="63" spans="2:12" ht="15">
      <c r="B63" s="16"/>
      <c r="C63" s="17" t="s">
        <v>53</v>
      </c>
      <c r="D63" s="17"/>
      <c r="E63" s="23">
        <v>0.1</v>
      </c>
      <c r="F63" s="17"/>
      <c r="G63" s="17"/>
      <c r="H63" s="17"/>
      <c r="I63" s="17"/>
      <c r="J63" s="17"/>
      <c r="K63" s="17"/>
      <c r="L63" s="15"/>
    </row>
    <row r="64" spans="2:12" ht="15.75" thickBot="1"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20"/>
    </row>
    <row r="65" ht="15.75" thickBot="1"/>
    <row r="66" spans="2:10" ht="15">
      <c r="B66" s="8"/>
      <c r="C66" s="9"/>
      <c r="D66" s="9"/>
      <c r="E66" s="9"/>
      <c r="F66" s="9"/>
      <c r="G66" s="9"/>
      <c r="H66" s="9"/>
      <c r="I66" s="9"/>
      <c r="J66" s="10"/>
    </row>
    <row r="67" spans="2:10" ht="15">
      <c r="B67" s="16"/>
      <c r="C67" s="12" t="s">
        <v>69</v>
      </c>
      <c r="D67" s="17"/>
      <c r="E67" s="17"/>
      <c r="F67" s="17"/>
      <c r="G67" s="17"/>
      <c r="H67" s="17"/>
      <c r="I67" s="17"/>
      <c r="J67" s="15"/>
    </row>
    <row r="68" spans="2:10" ht="15">
      <c r="B68" s="16"/>
      <c r="C68" s="17"/>
      <c r="D68" s="17"/>
      <c r="E68" s="13" t="str">
        <f>+E53</f>
        <v>Anno 1</v>
      </c>
      <c r="F68" s="13" t="str">
        <f>+F53</f>
        <v>Anno 2</v>
      </c>
      <c r="G68" s="13" t="str">
        <f>+G53</f>
        <v>Anno 3</v>
      </c>
      <c r="H68" s="13" t="str">
        <f>+H53</f>
        <v>Anno 4</v>
      </c>
      <c r="I68" s="13" t="str">
        <f>+I53</f>
        <v>Anno 5</v>
      </c>
      <c r="J68" s="15"/>
    </row>
    <row r="69" spans="2:10" ht="15">
      <c r="B69" s="16"/>
      <c r="C69" s="17" t="s">
        <v>70</v>
      </c>
      <c r="D69" s="17"/>
      <c r="E69" s="53">
        <v>1</v>
      </c>
      <c r="F69" s="53">
        <v>2</v>
      </c>
      <c r="G69" s="53">
        <v>2</v>
      </c>
      <c r="H69" s="53">
        <v>2</v>
      </c>
      <c r="I69" s="53">
        <v>2</v>
      </c>
      <c r="J69" s="15"/>
    </row>
    <row r="70" spans="2:10" ht="15">
      <c r="B70" s="16"/>
      <c r="C70" s="17"/>
      <c r="D70" s="17"/>
      <c r="E70" s="17"/>
      <c r="F70" s="17"/>
      <c r="G70" s="17"/>
      <c r="H70" s="17"/>
      <c r="I70" s="17"/>
      <c r="J70" s="15"/>
    </row>
    <row r="71" spans="2:10" ht="15">
      <c r="B71" s="16"/>
      <c r="C71" s="17" t="s">
        <v>79</v>
      </c>
      <c r="D71" s="17"/>
      <c r="E71" s="2">
        <f>1500*14</f>
        <v>21000</v>
      </c>
      <c r="F71" s="2">
        <f>1500*14</f>
        <v>21000</v>
      </c>
      <c r="G71" s="2">
        <v>23000</v>
      </c>
      <c r="H71" s="2">
        <v>23000</v>
      </c>
      <c r="I71" s="2">
        <f>+H71</f>
        <v>23000</v>
      </c>
      <c r="J71" s="15"/>
    </row>
    <row r="72" spans="2:10" ht="15">
      <c r="B72" s="16"/>
      <c r="C72" s="52"/>
      <c r="D72" s="17"/>
      <c r="E72" s="17"/>
      <c r="F72" s="17"/>
      <c r="G72" s="17"/>
      <c r="H72" s="17"/>
      <c r="I72" s="17"/>
      <c r="J72" s="15"/>
    </row>
    <row r="73" spans="2:10" ht="15">
      <c r="B73" s="16"/>
      <c r="C73" s="17" t="s">
        <v>71</v>
      </c>
      <c r="D73" s="17"/>
      <c r="E73" s="106">
        <v>0.2975</v>
      </c>
      <c r="F73" s="17"/>
      <c r="G73" s="17"/>
      <c r="H73" s="17"/>
      <c r="I73" s="17"/>
      <c r="J73" s="15"/>
    </row>
    <row r="74" spans="2:10" ht="15">
      <c r="B74" s="16"/>
      <c r="C74" s="17" t="s">
        <v>72</v>
      </c>
      <c r="D74" s="17"/>
      <c r="E74" s="107">
        <v>0.04</v>
      </c>
      <c r="F74" s="17"/>
      <c r="G74" s="17"/>
      <c r="H74" s="17"/>
      <c r="I74" s="17"/>
      <c r="J74" s="15"/>
    </row>
    <row r="75" spans="2:10" ht="15">
      <c r="B75" s="16"/>
      <c r="C75" s="17" t="s">
        <v>73</v>
      </c>
      <c r="D75" s="17"/>
      <c r="E75" s="142">
        <v>0.074</v>
      </c>
      <c r="F75" s="17"/>
      <c r="G75" s="17"/>
      <c r="H75" s="17"/>
      <c r="I75" s="17"/>
      <c r="J75" s="15"/>
    </row>
    <row r="76" spans="2:10" ht="15.75" thickBot="1">
      <c r="B76" s="18"/>
      <c r="C76" s="19"/>
      <c r="D76" s="19"/>
      <c r="E76" s="19"/>
      <c r="F76" s="19"/>
      <c r="G76" s="19"/>
      <c r="H76" s="19"/>
      <c r="I76" s="19"/>
      <c r="J76" s="20"/>
    </row>
    <row r="78" ht="15.75" thickBot="1"/>
    <row r="79" spans="2:6" ht="15">
      <c r="B79" s="8"/>
      <c r="C79" s="21" t="s">
        <v>82</v>
      </c>
      <c r="D79" s="9"/>
      <c r="E79" s="9"/>
      <c r="F79" s="10"/>
    </row>
    <row r="80" spans="2:6" ht="15">
      <c r="B80" s="16"/>
      <c r="C80" s="17"/>
      <c r="D80" s="17"/>
      <c r="E80" s="17"/>
      <c r="F80" s="15"/>
    </row>
    <row r="81" spans="2:41" ht="15">
      <c r="B81" s="16"/>
      <c r="C81" s="17" t="s">
        <v>391</v>
      </c>
      <c r="D81" s="17"/>
      <c r="E81" s="109" t="s">
        <v>97</v>
      </c>
      <c r="F81" s="15"/>
      <c r="AO81" t="s">
        <v>97</v>
      </c>
    </row>
    <row r="82" spans="2:41" ht="15">
      <c r="B82" s="16"/>
      <c r="C82" s="17" t="s">
        <v>84</v>
      </c>
      <c r="D82" s="17"/>
      <c r="E82" s="108">
        <v>0.07</v>
      </c>
      <c r="F82" s="15"/>
      <c r="AO82" t="s">
        <v>98</v>
      </c>
    </row>
    <row r="83" spans="2:41" ht="15">
      <c r="B83" s="16"/>
      <c r="C83" s="17"/>
      <c r="D83" s="17"/>
      <c r="E83" s="17"/>
      <c r="F83" s="15"/>
      <c r="AO83" t="s">
        <v>99</v>
      </c>
    </row>
    <row r="84" spans="2:41" ht="15">
      <c r="B84" s="16"/>
      <c r="C84" s="17" t="s">
        <v>85</v>
      </c>
      <c r="D84" s="17"/>
      <c r="E84" s="110">
        <v>85000</v>
      </c>
      <c r="F84" s="15"/>
      <c r="AO84" t="s">
        <v>100</v>
      </c>
    </row>
    <row r="85" spans="2:41" ht="15">
      <c r="B85" s="16"/>
      <c r="C85" s="17" t="s">
        <v>86</v>
      </c>
      <c r="D85" s="17"/>
      <c r="E85" s="111">
        <v>10</v>
      </c>
      <c r="F85" s="15"/>
      <c r="AO85" t="s">
        <v>101</v>
      </c>
    </row>
    <row r="86" spans="2:6" ht="15.75" thickBot="1">
      <c r="B86" s="18"/>
      <c r="C86" s="19"/>
      <c r="D86" s="19"/>
      <c r="E86" s="19"/>
      <c r="F86" s="20"/>
    </row>
    <row r="87" ht="15.75" thickBot="1"/>
    <row r="88" spans="2:11" ht="15">
      <c r="B88" s="8"/>
      <c r="C88" s="9"/>
      <c r="D88" s="9"/>
      <c r="E88" s="9"/>
      <c r="F88" s="9"/>
      <c r="G88" s="9"/>
      <c r="H88" s="9"/>
      <c r="I88" s="9"/>
      <c r="J88" s="9"/>
      <c r="K88" s="10"/>
    </row>
    <row r="89" spans="2:11" ht="15">
      <c r="B89" s="16"/>
      <c r="C89" s="12" t="s">
        <v>231</v>
      </c>
      <c r="D89" s="12" t="s">
        <v>232</v>
      </c>
      <c r="E89" s="12" t="s">
        <v>233</v>
      </c>
      <c r="F89" s="13" t="str">
        <f>+E68</f>
        <v>Anno 1</v>
      </c>
      <c r="G89" s="13" t="str">
        <f>+F68</f>
        <v>Anno 2</v>
      </c>
      <c r="H89" s="13" t="str">
        <f>+G68</f>
        <v>Anno 3</v>
      </c>
      <c r="I89" s="13" t="str">
        <f>+H68</f>
        <v>Anno 4</v>
      </c>
      <c r="J89" s="13" t="str">
        <f>+I68</f>
        <v>Anno 5</v>
      </c>
      <c r="K89" s="15"/>
    </row>
    <row r="90" spans="2:11" ht="15">
      <c r="B90" s="16"/>
      <c r="C90" s="13"/>
      <c r="D90" s="17"/>
      <c r="E90" s="14"/>
      <c r="F90" s="14"/>
      <c r="G90" s="14"/>
      <c r="H90" s="14"/>
      <c r="I90" s="14"/>
      <c r="J90" s="14"/>
      <c r="K90" s="15"/>
    </row>
    <row r="91" spans="2:11" ht="15">
      <c r="B91" s="16"/>
      <c r="C91" s="143" t="s">
        <v>234</v>
      </c>
      <c r="D91" s="145">
        <v>0.21</v>
      </c>
      <c r="E91" s="17"/>
      <c r="F91" s="2">
        <v>12000</v>
      </c>
      <c r="G91" s="2">
        <v>12000</v>
      </c>
      <c r="H91" s="2">
        <v>12000</v>
      </c>
      <c r="I91" s="2">
        <v>12000</v>
      </c>
      <c r="J91" s="2">
        <v>12000</v>
      </c>
      <c r="K91" s="15"/>
    </row>
    <row r="92" spans="2:11" ht="15">
      <c r="B92" s="16"/>
      <c r="C92" s="144" t="s">
        <v>235</v>
      </c>
      <c r="D92" s="107">
        <v>0.21</v>
      </c>
      <c r="E92" s="17"/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15"/>
    </row>
    <row r="93" spans="2:11" ht="15">
      <c r="B93" s="16"/>
      <c r="C93" s="144" t="s">
        <v>236</v>
      </c>
      <c r="D93" s="107">
        <v>0.21</v>
      </c>
      <c r="E93" s="17"/>
      <c r="F93" s="2">
        <v>5000</v>
      </c>
      <c r="G93" s="2">
        <v>1000</v>
      </c>
      <c r="H93" s="2">
        <v>1000</v>
      </c>
      <c r="I93" s="2">
        <v>1000</v>
      </c>
      <c r="J93" s="2">
        <v>1000</v>
      </c>
      <c r="K93" s="15"/>
    </row>
    <row r="94" spans="2:11" ht="15">
      <c r="B94" s="16"/>
      <c r="C94" s="144" t="s">
        <v>237</v>
      </c>
      <c r="D94" s="107">
        <v>0.21</v>
      </c>
      <c r="E94" s="17"/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5"/>
    </row>
    <row r="95" spans="2:11" ht="15">
      <c r="B95" s="16"/>
      <c r="C95" s="144" t="s">
        <v>238</v>
      </c>
      <c r="D95" s="107">
        <v>0.21</v>
      </c>
      <c r="E95" s="17"/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15"/>
    </row>
    <row r="96" spans="2:11" ht="15">
      <c r="B96" s="16"/>
      <c r="C96" s="144" t="s">
        <v>239</v>
      </c>
      <c r="D96" s="107">
        <v>0.21</v>
      </c>
      <c r="E96" s="17"/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15"/>
    </row>
    <row r="97" spans="2:11" ht="15">
      <c r="B97" s="16"/>
      <c r="C97" s="144" t="s">
        <v>240</v>
      </c>
      <c r="D97" s="107">
        <v>0.21</v>
      </c>
      <c r="E97" s="17"/>
      <c r="F97" s="2">
        <v>600</v>
      </c>
      <c r="G97" s="2">
        <v>600</v>
      </c>
      <c r="H97" s="2">
        <v>600</v>
      </c>
      <c r="I97" s="2">
        <v>600</v>
      </c>
      <c r="J97" s="2">
        <v>600</v>
      </c>
      <c r="K97" s="15"/>
    </row>
    <row r="98" spans="2:11" ht="15">
      <c r="B98" s="16"/>
      <c r="C98" s="144" t="s">
        <v>241</v>
      </c>
      <c r="D98" s="107">
        <v>0.21</v>
      </c>
      <c r="E98" s="17"/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5"/>
    </row>
    <row r="99" spans="2:11" ht="15">
      <c r="B99" s="16"/>
      <c r="C99" s="144" t="s">
        <v>245</v>
      </c>
      <c r="D99" s="107">
        <v>0</v>
      </c>
      <c r="E99" s="17"/>
      <c r="F99" s="2">
        <v>15000</v>
      </c>
      <c r="G99" s="2">
        <v>15000</v>
      </c>
      <c r="H99" s="2">
        <v>15000</v>
      </c>
      <c r="I99" s="2">
        <v>15000</v>
      </c>
      <c r="J99" s="2">
        <v>15000</v>
      </c>
      <c r="K99" s="15"/>
    </row>
    <row r="100" spans="2:11" ht="15">
      <c r="B100" s="16"/>
      <c r="C100" s="144" t="s">
        <v>242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44" t="s">
        <v>243</v>
      </c>
      <c r="D101" s="107">
        <v>0.21</v>
      </c>
      <c r="E101" s="17"/>
      <c r="F101" s="2">
        <v>1000</v>
      </c>
      <c r="G101" s="2">
        <v>1000</v>
      </c>
      <c r="H101" s="2">
        <v>1000</v>
      </c>
      <c r="I101" s="2">
        <v>1000</v>
      </c>
      <c r="J101" s="2">
        <v>1000</v>
      </c>
      <c r="K101" s="15"/>
    </row>
    <row r="102" spans="2:11" ht="15">
      <c r="B102" s="16"/>
      <c r="C102" s="144" t="s">
        <v>244</v>
      </c>
      <c r="D102" s="107">
        <v>0</v>
      </c>
      <c r="E102" s="17"/>
      <c r="F102" s="2">
        <v>2000</v>
      </c>
      <c r="G102" s="2">
        <v>2000</v>
      </c>
      <c r="H102" s="2">
        <v>2000</v>
      </c>
      <c r="I102" s="2">
        <v>2000</v>
      </c>
      <c r="J102" s="2">
        <v>2000</v>
      </c>
      <c r="K102" s="15"/>
    </row>
    <row r="103" spans="2:11" ht="15">
      <c r="B103" s="16"/>
      <c r="C103" s="144" t="s">
        <v>246</v>
      </c>
      <c r="D103" s="107">
        <v>0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44" t="s">
        <v>247</v>
      </c>
      <c r="D104" s="107">
        <v>0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44" t="s">
        <v>248</v>
      </c>
      <c r="D105" s="107">
        <v>0</v>
      </c>
      <c r="E105" s="17"/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5"/>
    </row>
    <row r="106" spans="2:11" ht="15">
      <c r="B106" s="16"/>
      <c r="C106" s="144" t="s">
        <v>249</v>
      </c>
      <c r="D106" s="107">
        <v>0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44" t="s">
        <v>250</v>
      </c>
      <c r="D107" s="107">
        <v>0</v>
      </c>
      <c r="E107" s="17"/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5"/>
    </row>
    <row r="108" spans="2:11" ht="15">
      <c r="B108" s="16"/>
      <c r="C108" s="144" t="s">
        <v>251</v>
      </c>
      <c r="D108" s="107">
        <v>0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44" t="s">
        <v>252</v>
      </c>
      <c r="D109" s="107">
        <v>0</v>
      </c>
      <c r="E109" s="17"/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5"/>
    </row>
    <row r="110" spans="2:11" ht="15">
      <c r="B110" s="16"/>
      <c r="C110" s="144" t="s">
        <v>253</v>
      </c>
      <c r="D110" s="107">
        <v>0</v>
      </c>
      <c r="E110" s="17"/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5"/>
    </row>
    <row r="111" spans="2:11" ht="15">
      <c r="B111" s="16"/>
      <c r="C111" s="144" t="s">
        <v>254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.75" thickBot="1">
      <c r="B112" s="18"/>
      <c r="C112" s="19"/>
      <c r="D112" s="19"/>
      <c r="E112" s="19"/>
      <c r="F112" s="19"/>
      <c r="G112" s="19"/>
      <c r="H112" s="19"/>
      <c r="I112" s="19"/>
      <c r="J112" s="19"/>
      <c r="K112" s="20"/>
    </row>
    <row r="113" ht="15.75" thickBot="1"/>
    <row r="114" spans="2:5" ht="15">
      <c r="B114" s="8"/>
      <c r="C114" s="9"/>
      <c r="D114" s="9"/>
      <c r="E114" s="10"/>
    </row>
    <row r="115" spans="2:5" ht="15">
      <c r="B115" s="16"/>
      <c r="C115" s="17" t="s">
        <v>392</v>
      </c>
      <c r="D115" s="17"/>
      <c r="E115" s="15"/>
    </row>
    <row r="116" spans="2:5" ht="15">
      <c r="B116" s="16"/>
      <c r="C116" s="17"/>
      <c r="D116" s="17"/>
      <c r="E116" s="15"/>
    </row>
    <row r="117" spans="2:5" ht="15">
      <c r="B117" s="16"/>
      <c r="C117" s="17" t="s">
        <v>258</v>
      </c>
      <c r="D117" s="107">
        <v>0.05</v>
      </c>
      <c r="E117" s="15"/>
    </row>
    <row r="118" spans="2:5" ht="15">
      <c r="B118" s="16"/>
      <c r="C118" s="17"/>
      <c r="D118" s="17"/>
      <c r="E118" s="15"/>
    </row>
    <row r="119" spans="2:5" ht="15">
      <c r="B119" s="16"/>
      <c r="C119" s="17" t="s">
        <v>342</v>
      </c>
      <c r="D119" s="107">
        <v>0.03</v>
      </c>
      <c r="E119" s="15"/>
    </row>
    <row r="120" spans="2:5" ht="15.75" thickBot="1">
      <c r="B120" s="18"/>
      <c r="C120" s="19"/>
      <c r="D120" s="19"/>
      <c r="E120" s="20"/>
    </row>
  </sheetData>
  <sheetProtection/>
  <dataValidations count="4">
    <dataValidation type="list" allowBlank="1" showInputMessage="1" showErrorMessage="1" sqref="G40:G48 G27:G35">
      <formula1>$AE$27:$AE$33</formula1>
    </dataValidation>
    <dataValidation type="list" allowBlank="1" showInputMessage="1" showErrorMessage="1" sqref="F40:F48">
      <formula1>$AD$27:$AD$33</formula1>
    </dataValidation>
    <dataValidation type="list" allowBlank="1" showInputMessage="1" showErrorMessage="1" sqref="E81">
      <formula1>$AO$81:$AO$85</formula1>
    </dataValidation>
    <dataValidation type="list" allowBlank="1" showInputMessage="1" showErrorMessage="1" sqref="D14">
      <formula1>$AI$14:$AI$24</formula1>
    </dataValidation>
  </dataValidations>
  <hyperlinks>
    <hyperlink ref="K5" location="SP!A1" display="Stato Patrimoniale"/>
    <hyperlink ref="K6" location="CE!A1" display="Conto Economico"/>
    <hyperlink ref="K7" location="'Cash Flow'!A1" display="Cash Flow"/>
    <hyperlink ref="C2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5"/>
      <c r="B1" s="56" t="s">
        <v>87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>
        <v>1</v>
      </c>
      <c r="GN1" s="76">
        <v>2</v>
      </c>
      <c r="GO1" s="76">
        <v>3</v>
      </c>
      <c r="GP1" s="76">
        <v>4</v>
      </c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</row>
    <row r="2" spans="1:212" ht="15">
      <c r="A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FY2" s="77" t="s">
        <v>97</v>
      </c>
      <c r="FZ2" s="76">
        <v>1</v>
      </c>
      <c r="GA2" s="76"/>
      <c r="GB2" s="76"/>
      <c r="GC2" s="76" t="s">
        <v>141</v>
      </c>
      <c r="GD2" s="76">
        <f>VLOOKUP(C4,$FY$2:$FZ$38,2,FALSE)</f>
        <v>1</v>
      </c>
      <c r="GE2" s="76" t="s">
        <v>142</v>
      </c>
      <c r="GF2" s="76"/>
      <c r="GG2" s="76"/>
      <c r="GH2" s="76"/>
      <c r="GI2" s="76"/>
      <c r="GJ2" s="76">
        <v>1</v>
      </c>
      <c r="GK2" s="76">
        <f>+IF($C$8=$GM$1,GM2,IF($C$8=$GN$1,GN2,IF($C$8=$GO$1,GO2,IF($C$8=$GP$1,GP2,0))))</f>
        <v>1</v>
      </c>
      <c r="GL2" s="76"/>
      <c r="GM2" s="76">
        <v>1</v>
      </c>
      <c r="GN2" s="76">
        <v>1</v>
      </c>
      <c r="GO2" s="76">
        <v>1</v>
      </c>
      <c r="GP2" s="76">
        <v>1</v>
      </c>
      <c r="GQ2" s="76"/>
      <c r="GR2" s="76"/>
      <c r="GS2" s="76"/>
      <c r="GT2" s="76">
        <v>1</v>
      </c>
      <c r="GU2" s="76"/>
      <c r="GV2" s="76">
        <v>1</v>
      </c>
      <c r="GW2" s="76"/>
      <c r="GX2" s="76"/>
      <c r="GY2" s="76"/>
      <c r="GZ2" s="76"/>
      <c r="HA2" s="76"/>
      <c r="HB2" s="76"/>
      <c r="HC2" s="76"/>
      <c r="HD2" s="76"/>
    </row>
    <row r="3" spans="1:212" ht="15.75">
      <c r="A3" s="55"/>
      <c r="B3" s="56" t="s">
        <v>88</v>
      </c>
      <c r="C3" s="5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FY3" s="77" t="s">
        <v>98</v>
      </c>
      <c r="FZ3" s="76">
        <f>1+FZ2</f>
        <v>2</v>
      </c>
      <c r="GA3" s="76"/>
      <c r="GB3" s="76"/>
      <c r="GC3" s="76"/>
      <c r="GD3" s="76">
        <f>VLOOKUP(C6,$FY$2:$FZ$38,2,FALSE)</f>
        <v>1</v>
      </c>
      <c r="GE3" s="76" t="s">
        <v>143</v>
      </c>
      <c r="GF3" s="76"/>
      <c r="GG3" s="76"/>
      <c r="GH3" s="76"/>
      <c r="GI3" s="76"/>
      <c r="GJ3" s="76">
        <f>+GJ2+1</f>
        <v>2</v>
      </c>
      <c r="GK3" s="76">
        <f>+IF($C$8=$GM$1,GM3,IF($C$8=$GN$1,GN3,IF($C$8=$GO$1,GO3,IF($C$8=$GP$1,GP3,0))))</f>
        <v>0</v>
      </c>
      <c r="GL3" s="76"/>
      <c r="GM3" s="76"/>
      <c r="GN3" s="76"/>
      <c r="GO3" s="76"/>
      <c r="GP3" s="76"/>
      <c r="GQ3" s="76"/>
      <c r="GR3" s="76"/>
      <c r="GS3" s="76"/>
      <c r="GT3" s="76">
        <v>2</v>
      </c>
      <c r="GU3" s="76"/>
      <c r="GV3" s="76">
        <v>2</v>
      </c>
      <c r="GW3" s="76"/>
      <c r="GX3" s="76"/>
      <c r="GY3" s="76"/>
      <c r="GZ3" s="76"/>
      <c r="HA3" s="76"/>
      <c r="HB3" s="76"/>
      <c r="HC3" s="76"/>
      <c r="HD3" s="76"/>
    </row>
    <row r="4" spans="2:212" ht="15">
      <c r="B4" s="58" t="s">
        <v>83</v>
      </c>
      <c r="C4" s="59" t="str">
        <f>+Input!E81</f>
        <v>A1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FY4" s="77" t="s">
        <v>99</v>
      </c>
      <c r="FZ4" s="76">
        <f aca="true" t="shared" si="0" ref="FZ4:FZ67">1+FZ3</f>
        <v>3</v>
      </c>
      <c r="GA4" s="76"/>
      <c r="GB4" s="76"/>
      <c r="GC4" s="76"/>
      <c r="GD4" s="76"/>
      <c r="GE4" s="76"/>
      <c r="GF4" s="76"/>
      <c r="GG4" s="76"/>
      <c r="GH4" s="76"/>
      <c r="GI4" s="76"/>
      <c r="GJ4" s="76">
        <f aca="true" t="shared" si="1" ref="GJ4:GJ67">+GJ3+1</f>
        <v>3</v>
      </c>
      <c r="GK4" s="76">
        <f aca="true" t="shared" si="2" ref="GK4:GK68">+IF($C$8=$GM$1,GM4,IF($C$8=$GN$1,GN4,IF($C$8=$GO$1,GO4,IF($C$8=$GP$1,GP4,0))))</f>
        <v>0</v>
      </c>
      <c r="GL4" s="76"/>
      <c r="GM4" s="76"/>
      <c r="GN4" s="76"/>
      <c r="GO4" s="76"/>
      <c r="GP4" s="76"/>
      <c r="GQ4" s="76"/>
      <c r="GR4" s="76"/>
      <c r="GS4" s="76"/>
      <c r="GT4" s="76">
        <v>3</v>
      </c>
      <c r="GU4" s="76"/>
      <c r="GV4" s="76">
        <v>3</v>
      </c>
      <c r="GW4" s="76"/>
      <c r="GX4" s="76"/>
      <c r="GY4" s="76"/>
      <c r="GZ4" s="76"/>
      <c r="HA4" s="76"/>
      <c r="HB4" s="76"/>
      <c r="HC4" s="76"/>
      <c r="HD4" s="76"/>
    </row>
    <row r="5" spans="1:212" ht="15">
      <c r="A5" s="55" t="s">
        <v>89</v>
      </c>
      <c r="B5" s="58" t="s">
        <v>84</v>
      </c>
      <c r="C5" s="60">
        <f>+Input!E82</f>
        <v>0.07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FY5" s="77" t="s">
        <v>100</v>
      </c>
      <c r="FZ5" s="76">
        <f t="shared" si="0"/>
        <v>4</v>
      </c>
      <c r="GA5" s="76"/>
      <c r="GB5" s="76"/>
      <c r="GC5" s="76"/>
      <c r="GD5" s="76"/>
      <c r="GE5" s="76"/>
      <c r="GF5" s="76"/>
      <c r="GG5" s="76"/>
      <c r="GH5" s="76"/>
      <c r="GI5" s="76"/>
      <c r="GJ5" s="76">
        <f t="shared" si="1"/>
        <v>4</v>
      </c>
      <c r="GK5" s="76">
        <f t="shared" si="2"/>
        <v>0</v>
      </c>
      <c r="GL5" s="76"/>
      <c r="GM5" s="76"/>
      <c r="GN5" s="76"/>
      <c r="GO5" s="76"/>
      <c r="GP5" s="76">
        <v>1</v>
      </c>
      <c r="GQ5" s="76"/>
      <c r="GR5" s="76"/>
      <c r="GS5" s="76"/>
      <c r="GT5" s="76">
        <v>4</v>
      </c>
      <c r="GU5" s="76"/>
      <c r="GV5" s="76">
        <v>4</v>
      </c>
      <c r="GW5" s="76"/>
      <c r="GX5" s="76"/>
      <c r="GY5" s="76"/>
      <c r="GZ5" s="76"/>
      <c r="HA5" s="76"/>
      <c r="HB5" s="76"/>
      <c r="HC5" s="76"/>
      <c r="HD5" s="76"/>
    </row>
    <row r="6" spans="1:212" ht="15">
      <c r="A6" s="55"/>
      <c r="B6" s="58" t="s">
        <v>90</v>
      </c>
      <c r="C6" s="61" t="str">
        <f>+C4</f>
        <v>A1</v>
      </c>
      <c r="D6" s="55">
        <f>+IF(GD3&lt;GD2,"non puoi inserire una data antecedente a quella di stipule del finanziamento","")</f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FY6" s="77" t="s">
        <v>101</v>
      </c>
      <c r="FZ6" s="76">
        <f t="shared" si="0"/>
        <v>5</v>
      </c>
      <c r="GA6" s="76"/>
      <c r="GB6" s="76"/>
      <c r="GC6" s="76"/>
      <c r="GD6" s="76"/>
      <c r="GE6" s="76"/>
      <c r="GF6" s="76"/>
      <c r="GG6" s="76"/>
      <c r="GH6" s="76"/>
      <c r="GI6" s="76"/>
      <c r="GJ6" s="76">
        <f t="shared" si="1"/>
        <v>5</v>
      </c>
      <c r="GK6" s="76">
        <f t="shared" si="2"/>
        <v>0</v>
      </c>
      <c r="GL6" s="76"/>
      <c r="GM6" s="76"/>
      <c r="GN6" s="76"/>
      <c r="GO6" s="76">
        <v>1</v>
      </c>
      <c r="GP6" s="76"/>
      <c r="GQ6" s="76"/>
      <c r="GR6" s="76"/>
      <c r="GS6" s="76"/>
      <c r="GT6" s="76"/>
      <c r="GU6" s="76"/>
      <c r="GV6" s="76">
        <v>5</v>
      </c>
      <c r="GW6" s="76"/>
      <c r="GX6" s="76"/>
      <c r="GY6" s="76"/>
      <c r="GZ6" s="76"/>
      <c r="HA6" s="76"/>
      <c r="HB6" s="76"/>
      <c r="HC6" s="76"/>
      <c r="HD6" s="76"/>
    </row>
    <row r="7" spans="1:212" ht="15">
      <c r="A7" s="55"/>
      <c r="B7" s="62" t="s">
        <v>85</v>
      </c>
      <c r="C7" s="63">
        <f>+Input!E84</f>
        <v>85000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FY7" s="77" t="s">
        <v>102</v>
      </c>
      <c r="FZ7" s="76">
        <f t="shared" si="0"/>
        <v>6</v>
      </c>
      <c r="GA7" s="76"/>
      <c r="GB7" s="76"/>
      <c r="GC7" s="76"/>
      <c r="GD7" s="76"/>
      <c r="GE7" s="76"/>
      <c r="GF7" s="76"/>
      <c r="GG7" s="76"/>
      <c r="GH7" s="76"/>
      <c r="GI7" s="76"/>
      <c r="GJ7" s="76">
        <f t="shared" si="1"/>
        <v>6</v>
      </c>
      <c r="GK7" s="76">
        <f t="shared" si="2"/>
        <v>0</v>
      </c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>
        <v>6</v>
      </c>
      <c r="GW7" s="76"/>
      <c r="GX7" s="76"/>
      <c r="GY7" s="76"/>
      <c r="GZ7" s="76"/>
      <c r="HA7" s="76"/>
      <c r="HB7" s="76"/>
      <c r="HC7" s="76"/>
      <c r="HD7" s="76"/>
    </row>
    <row r="8" spans="1:212" ht="15">
      <c r="A8" s="55"/>
      <c r="B8" s="62" t="s">
        <v>91</v>
      </c>
      <c r="C8" s="64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FY8" s="77" t="s">
        <v>103</v>
      </c>
      <c r="FZ8" s="76">
        <f t="shared" si="0"/>
        <v>7</v>
      </c>
      <c r="GA8" s="76"/>
      <c r="GB8" s="76"/>
      <c r="GC8" s="76"/>
      <c r="GD8" s="76"/>
      <c r="GE8" s="76"/>
      <c r="GF8" s="76"/>
      <c r="GG8" s="76"/>
      <c r="GH8" s="76"/>
      <c r="GI8" s="76"/>
      <c r="GJ8" s="76">
        <f t="shared" si="1"/>
        <v>7</v>
      </c>
      <c r="GK8" s="76">
        <f t="shared" si="2"/>
        <v>0</v>
      </c>
      <c r="GL8" s="76"/>
      <c r="GM8" s="76"/>
      <c r="GN8" s="76">
        <v>1</v>
      </c>
      <c r="GO8" s="76"/>
      <c r="GP8" s="76">
        <v>1</v>
      </c>
      <c r="GQ8" s="76"/>
      <c r="GR8" s="76"/>
      <c r="GS8" s="76"/>
      <c r="GT8" s="76"/>
      <c r="GU8" s="76"/>
      <c r="GV8" s="76">
        <v>7</v>
      </c>
      <c r="GW8" s="76"/>
      <c r="GX8" s="76"/>
      <c r="GY8" s="76"/>
      <c r="GZ8" s="76"/>
      <c r="HA8" s="76"/>
      <c r="HB8" s="76"/>
      <c r="HC8" s="76"/>
      <c r="HD8" s="76"/>
    </row>
    <row r="9" spans="1:212" ht="15">
      <c r="A9" s="55"/>
      <c r="B9" s="62" t="s">
        <v>86</v>
      </c>
      <c r="C9" s="64">
        <v>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FY9" s="77" t="s">
        <v>104</v>
      </c>
      <c r="FZ9" s="76">
        <f t="shared" si="0"/>
        <v>8</v>
      </c>
      <c r="GA9" s="76"/>
      <c r="GB9" s="76"/>
      <c r="GC9" s="76"/>
      <c r="GD9" s="76"/>
      <c r="GE9" s="76"/>
      <c r="GF9" s="76"/>
      <c r="GG9" s="76"/>
      <c r="GH9" s="76"/>
      <c r="GI9" s="76"/>
      <c r="GJ9" s="76">
        <f t="shared" si="1"/>
        <v>8</v>
      </c>
      <c r="GK9" s="76">
        <f t="shared" si="2"/>
        <v>0</v>
      </c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>
        <v>8</v>
      </c>
      <c r="GW9" s="76"/>
      <c r="GX9" s="76"/>
      <c r="GY9" s="76"/>
      <c r="GZ9" s="76"/>
      <c r="HA9" s="76"/>
      <c r="HB9" s="76"/>
      <c r="HC9" s="76"/>
      <c r="HD9" s="76"/>
    </row>
    <row r="10" spans="1:212" ht="15">
      <c r="A10" s="55"/>
      <c r="B10" s="65" t="s">
        <v>92</v>
      </c>
      <c r="C10" s="66">
        <f>+Input!E85</f>
        <v>10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FY10" s="77" t="s">
        <v>105</v>
      </c>
      <c r="FZ10" s="76">
        <f t="shared" si="0"/>
        <v>9</v>
      </c>
      <c r="GA10" s="76"/>
      <c r="GB10" s="76"/>
      <c r="GC10" s="76"/>
      <c r="GD10" s="76"/>
      <c r="GE10" s="76"/>
      <c r="GF10" s="76"/>
      <c r="GG10" s="76"/>
      <c r="GH10" s="76"/>
      <c r="GI10" s="76"/>
      <c r="GJ10" s="76">
        <f t="shared" si="1"/>
        <v>9</v>
      </c>
      <c r="GK10" s="76">
        <f t="shared" si="2"/>
        <v>0</v>
      </c>
      <c r="GL10" s="76"/>
      <c r="GM10" s="76"/>
      <c r="GN10" s="76"/>
      <c r="GO10" s="76">
        <v>1</v>
      </c>
      <c r="GP10" s="76"/>
      <c r="GQ10" s="76"/>
      <c r="GR10" s="76"/>
      <c r="GS10" s="76"/>
      <c r="GT10" s="76"/>
      <c r="GU10" s="76"/>
      <c r="GV10" s="76">
        <v>9</v>
      </c>
      <c r="GW10" s="76"/>
      <c r="GX10" s="76"/>
      <c r="GY10" s="76"/>
      <c r="GZ10" s="76"/>
      <c r="HA10" s="76"/>
      <c r="HB10" s="76"/>
      <c r="HC10" s="76"/>
      <c r="HD10" s="76"/>
    </row>
    <row r="11" spans="1:212" ht="15">
      <c r="A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FY11" s="77" t="s">
        <v>106</v>
      </c>
      <c r="FZ11" s="76">
        <f t="shared" si="0"/>
        <v>10</v>
      </c>
      <c r="GA11" s="76"/>
      <c r="GB11" s="76"/>
      <c r="GC11" s="76"/>
      <c r="GD11" s="76"/>
      <c r="GE11" s="76"/>
      <c r="GF11" s="76"/>
      <c r="GG11" s="76"/>
      <c r="GH11" s="76"/>
      <c r="GI11" s="76"/>
      <c r="GJ11" s="76">
        <f t="shared" si="1"/>
        <v>10</v>
      </c>
      <c r="GK11" s="76">
        <f t="shared" si="2"/>
        <v>0</v>
      </c>
      <c r="GL11" s="76"/>
      <c r="GM11" s="76"/>
      <c r="GN11" s="76"/>
      <c r="GO11" s="76"/>
      <c r="GP11" s="76">
        <v>1</v>
      </c>
      <c r="GQ11" s="76"/>
      <c r="GR11" s="76"/>
      <c r="GS11" s="76"/>
      <c r="GT11" s="76"/>
      <c r="GU11" s="76"/>
      <c r="GV11" s="76">
        <v>10</v>
      </c>
      <c r="GW11" s="76"/>
      <c r="GX11" s="76"/>
      <c r="GY11" s="76"/>
      <c r="GZ11" s="76"/>
      <c r="HA11" s="76"/>
      <c r="HB11" s="76"/>
      <c r="HC11" s="76"/>
      <c r="HD11" s="76"/>
    </row>
    <row r="12" spans="1:212" ht="15">
      <c r="A12" s="55"/>
      <c r="B12" s="67" t="s">
        <v>93</v>
      </c>
      <c r="C12" s="68" t="str">
        <f>IF(C8=1,"annuale",IF(C8=2,"semestrale",IF(C8=3,"quadrimestrale",IF(C8=4,"trimestrale"))))</f>
        <v>annuale</v>
      </c>
      <c r="D12" s="69">
        <f>((1+C5)^(1/C8))-1</f>
        <v>0.07000000000000006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FY12" s="77" t="s">
        <v>107</v>
      </c>
      <c r="FZ12" s="76">
        <f t="shared" si="0"/>
        <v>11</v>
      </c>
      <c r="GA12" s="76"/>
      <c r="GB12" s="76"/>
      <c r="GC12" s="76"/>
      <c r="GD12" s="76"/>
      <c r="GE12" s="76"/>
      <c r="GF12" s="76"/>
      <c r="GG12" s="76"/>
      <c r="GH12" s="76"/>
      <c r="GI12" s="76"/>
      <c r="GJ12" s="76">
        <f t="shared" si="1"/>
        <v>11</v>
      </c>
      <c r="GK12" s="76">
        <f t="shared" si="2"/>
        <v>0</v>
      </c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</row>
    <row r="13" spans="1:212" ht="15">
      <c r="A13" s="55"/>
      <c r="C13" s="55"/>
      <c r="D13" s="55"/>
      <c r="E13" s="55"/>
      <c r="F13" s="55"/>
      <c r="G13" s="55"/>
      <c r="H13" s="55"/>
      <c r="I13" s="55"/>
      <c r="J13" s="55"/>
      <c r="K13" s="55"/>
      <c r="L13" s="55">
        <v>1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FY13" s="77" t="s">
        <v>108</v>
      </c>
      <c r="FZ13" s="76">
        <f t="shared" si="0"/>
        <v>12</v>
      </c>
      <c r="GA13" s="76"/>
      <c r="GB13" s="76"/>
      <c r="GC13" s="76"/>
      <c r="GD13" s="76"/>
      <c r="GE13" s="76"/>
      <c r="GF13" s="76"/>
      <c r="GG13" s="76"/>
      <c r="GH13" s="76"/>
      <c r="GI13" s="76"/>
      <c r="GJ13" s="76">
        <f t="shared" si="1"/>
        <v>12</v>
      </c>
      <c r="GK13" s="76">
        <f t="shared" si="2"/>
        <v>0</v>
      </c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</row>
    <row r="14" spans="1:212" ht="15">
      <c r="A14" s="55"/>
      <c r="B14" s="67" t="s">
        <v>94</v>
      </c>
      <c r="C14" s="68" t="str">
        <f>C12</f>
        <v>annuale</v>
      </c>
      <c r="D14" s="70">
        <f>C7/((1-(1+D12)^(-C10))/D12)</f>
        <v>12102.08773182601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FY14" s="77" t="s">
        <v>109</v>
      </c>
      <c r="FZ14" s="76">
        <f t="shared" si="0"/>
        <v>13</v>
      </c>
      <c r="GA14" s="76"/>
      <c r="GB14" s="76"/>
      <c r="GC14" s="76"/>
      <c r="GD14" s="76"/>
      <c r="GE14" s="76"/>
      <c r="GF14" s="76"/>
      <c r="GG14" s="76"/>
      <c r="GH14" s="76"/>
      <c r="GI14" s="76"/>
      <c r="GJ14" s="76">
        <f t="shared" si="1"/>
        <v>13</v>
      </c>
      <c r="GK14" s="76">
        <f t="shared" si="2"/>
        <v>1</v>
      </c>
      <c r="GL14" s="76"/>
      <c r="GM14" s="76">
        <v>1</v>
      </c>
      <c r="GN14" s="76">
        <v>1</v>
      </c>
      <c r="GO14" s="76">
        <v>1</v>
      </c>
      <c r="GP14" s="76">
        <v>1</v>
      </c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</row>
    <row r="15" spans="1:212" s="78" customFormat="1" ht="15">
      <c r="A15" s="71"/>
      <c r="B15" s="71"/>
      <c r="C15" s="71"/>
      <c r="D15" s="71">
        <f>+_xlfn.IFERROR((VLOOKUP(D16,$GJ:$GK,2,FALSE)),0)</f>
        <v>0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81">
        <v>1</v>
      </c>
      <c r="K15" s="81">
        <v>1</v>
      </c>
      <c r="L15" s="81">
        <v>1</v>
      </c>
      <c r="M15" s="81">
        <v>1</v>
      </c>
      <c r="N15" s="81">
        <v>1</v>
      </c>
      <c r="O15" s="81">
        <v>1</v>
      </c>
      <c r="P15" s="81">
        <v>1</v>
      </c>
      <c r="Q15" s="81">
        <v>1</v>
      </c>
      <c r="R15" s="81">
        <v>1</v>
      </c>
      <c r="S15" s="81">
        <v>1</v>
      </c>
      <c r="T15" s="81">
        <v>1</v>
      </c>
      <c r="U15" s="81">
        <v>1</v>
      </c>
      <c r="V15" s="81">
        <v>1</v>
      </c>
      <c r="W15" s="81">
        <v>1</v>
      </c>
      <c r="X15" s="81">
        <v>1</v>
      </c>
      <c r="Y15" s="81">
        <v>1</v>
      </c>
      <c r="Z15" s="81">
        <v>1</v>
      </c>
      <c r="AA15" s="81">
        <v>1</v>
      </c>
      <c r="AB15" s="81">
        <v>1</v>
      </c>
      <c r="AC15" s="81">
        <v>1</v>
      </c>
      <c r="AD15" s="81">
        <v>1</v>
      </c>
      <c r="AE15" s="81">
        <v>1</v>
      </c>
      <c r="AF15" s="81">
        <v>1</v>
      </c>
      <c r="AG15" s="81">
        <v>1</v>
      </c>
      <c r="AH15" s="81">
        <v>1</v>
      </c>
      <c r="AI15" s="81">
        <v>1</v>
      </c>
      <c r="AJ15" s="81">
        <v>1</v>
      </c>
      <c r="AK15" s="81">
        <v>1</v>
      </c>
      <c r="AL15" s="81">
        <v>1</v>
      </c>
      <c r="AM15" s="81">
        <v>1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FY15" s="77" t="s">
        <v>110</v>
      </c>
      <c r="FZ15" s="79">
        <f t="shared" si="0"/>
        <v>14</v>
      </c>
      <c r="GA15" s="79"/>
      <c r="GB15" s="79"/>
      <c r="GC15" s="79"/>
      <c r="GD15" s="79"/>
      <c r="GE15" s="79"/>
      <c r="GF15" s="79"/>
      <c r="GG15" s="79"/>
      <c r="GH15" s="79"/>
      <c r="GI15" s="79"/>
      <c r="GJ15" s="79">
        <f t="shared" si="1"/>
        <v>14</v>
      </c>
      <c r="GK15" s="79">
        <f t="shared" si="2"/>
        <v>0</v>
      </c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</row>
    <row r="16" spans="1:212" s="78" customFormat="1" ht="15">
      <c r="A16" s="71"/>
      <c r="B16" s="71"/>
      <c r="C16" s="71" t="s">
        <v>95</v>
      </c>
      <c r="D16" s="71">
        <f>+IF(D17=$C$6,1,0)</f>
        <v>0</v>
      </c>
      <c r="E16" s="81">
        <f aca="true" t="shared" si="3" ref="E16:AM16">+IF(E17=$C$6,1,+IF(D16=0,0,D16+1))</f>
        <v>1</v>
      </c>
      <c r="F16" s="81">
        <f t="shared" si="3"/>
        <v>2</v>
      </c>
      <c r="G16" s="81">
        <f t="shared" si="3"/>
        <v>3</v>
      </c>
      <c r="H16" s="81">
        <f t="shared" si="3"/>
        <v>4</v>
      </c>
      <c r="I16" s="81">
        <f t="shared" si="3"/>
        <v>5</v>
      </c>
      <c r="J16" s="81">
        <f t="shared" si="3"/>
        <v>6</v>
      </c>
      <c r="K16" s="81">
        <f t="shared" si="3"/>
        <v>7</v>
      </c>
      <c r="L16" s="81">
        <f t="shared" si="3"/>
        <v>8</v>
      </c>
      <c r="M16" s="81">
        <f t="shared" si="3"/>
        <v>9</v>
      </c>
      <c r="N16" s="81">
        <f t="shared" si="3"/>
        <v>10</v>
      </c>
      <c r="O16" s="81">
        <f t="shared" si="3"/>
        <v>11</v>
      </c>
      <c r="P16" s="81">
        <f t="shared" si="3"/>
        <v>12</v>
      </c>
      <c r="Q16" s="81">
        <f t="shared" si="3"/>
        <v>13</v>
      </c>
      <c r="R16" s="81">
        <f t="shared" si="3"/>
        <v>14</v>
      </c>
      <c r="S16" s="81">
        <f t="shared" si="3"/>
        <v>15</v>
      </c>
      <c r="T16" s="81">
        <f t="shared" si="3"/>
        <v>16</v>
      </c>
      <c r="U16" s="81">
        <f t="shared" si="3"/>
        <v>17</v>
      </c>
      <c r="V16" s="81">
        <f t="shared" si="3"/>
        <v>18</v>
      </c>
      <c r="W16" s="81">
        <f t="shared" si="3"/>
        <v>19</v>
      </c>
      <c r="X16" s="81">
        <f t="shared" si="3"/>
        <v>20</v>
      </c>
      <c r="Y16" s="81">
        <f t="shared" si="3"/>
        <v>21</v>
      </c>
      <c r="Z16" s="81">
        <f t="shared" si="3"/>
        <v>22</v>
      </c>
      <c r="AA16" s="81">
        <f t="shared" si="3"/>
        <v>23</v>
      </c>
      <c r="AB16" s="81">
        <f t="shared" si="3"/>
        <v>24</v>
      </c>
      <c r="AC16" s="81">
        <f t="shared" si="3"/>
        <v>25</v>
      </c>
      <c r="AD16" s="81">
        <f t="shared" si="3"/>
        <v>26</v>
      </c>
      <c r="AE16" s="81">
        <f t="shared" si="3"/>
        <v>27</v>
      </c>
      <c r="AF16" s="81">
        <f t="shared" si="3"/>
        <v>28</v>
      </c>
      <c r="AG16" s="81">
        <f t="shared" si="3"/>
        <v>29</v>
      </c>
      <c r="AH16" s="81">
        <f t="shared" si="3"/>
        <v>30</v>
      </c>
      <c r="AI16" s="81">
        <f t="shared" si="3"/>
        <v>31</v>
      </c>
      <c r="AJ16" s="81">
        <f t="shared" si="3"/>
        <v>32</v>
      </c>
      <c r="AK16" s="81">
        <f t="shared" si="3"/>
        <v>33</v>
      </c>
      <c r="AL16" s="81">
        <f t="shared" si="3"/>
        <v>34</v>
      </c>
      <c r="AM16" s="81">
        <f t="shared" si="3"/>
        <v>35</v>
      </c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FY16" s="77" t="s">
        <v>111</v>
      </c>
      <c r="FZ16" s="79">
        <f t="shared" si="0"/>
        <v>15</v>
      </c>
      <c r="GA16" s="79"/>
      <c r="GB16" s="79"/>
      <c r="GC16" s="79"/>
      <c r="GD16" s="79"/>
      <c r="GE16" s="79"/>
      <c r="GF16" s="79"/>
      <c r="GG16" s="79"/>
      <c r="GH16" s="79"/>
      <c r="GI16" s="79"/>
      <c r="GJ16" s="79">
        <f t="shared" si="1"/>
        <v>15</v>
      </c>
      <c r="GK16" s="79">
        <f t="shared" si="2"/>
        <v>0</v>
      </c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</row>
    <row r="17" spans="1:212" ht="15">
      <c r="A17" s="55"/>
      <c r="B17" s="72" t="s">
        <v>96</v>
      </c>
      <c r="C17" s="73"/>
      <c r="D17" s="73"/>
      <c r="E17" s="73" t="s">
        <v>97</v>
      </c>
      <c r="F17" s="73" t="s">
        <v>98</v>
      </c>
      <c r="G17" s="73" t="s">
        <v>99</v>
      </c>
      <c r="H17" s="73" t="s">
        <v>100</v>
      </c>
      <c r="I17" s="73" t="s">
        <v>101</v>
      </c>
      <c r="J17" s="73" t="s">
        <v>102</v>
      </c>
      <c r="K17" s="73" t="s">
        <v>103</v>
      </c>
      <c r="L17" s="73" t="s">
        <v>104</v>
      </c>
      <c r="M17" s="73" t="s">
        <v>105</v>
      </c>
      <c r="N17" s="73" t="s">
        <v>106</v>
      </c>
      <c r="O17" s="73" t="s">
        <v>107</v>
      </c>
      <c r="P17" s="73" t="s">
        <v>108</v>
      </c>
      <c r="Q17" s="73" t="s">
        <v>109</v>
      </c>
      <c r="R17" s="73" t="s">
        <v>110</v>
      </c>
      <c r="S17" s="73" t="s">
        <v>111</v>
      </c>
      <c r="T17" s="73" t="s">
        <v>112</v>
      </c>
      <c r="U17" s="73" t="s">
        <v>113</v>
      </c>
      <c r="V17" s="73" t="s">
        <v>114</v>
      </c>
      <c r="W17" s="73" t="s">
        <v>115</v>
      </c>
      <c r="X17" s="73" t="s">
        <v>116</v>
      </c>
      <c r="Y17" s="73" t="s">
        <v>117</v>
      </c>
      <c r="Z17" s="73" t="s">
        <v>118</v>
      </c>
      <c r="AA17" s="73" t="s">
        <v>119</v>
      </c>
      <c r="AB17" s="73" t="s">
        <v>120</v>
      </c>
      <c r="AC17" s="73" t="s">
        <v>121</v>
      </c>
      <c r="AD17" s="73" t="s">
        <v>122</v>
      </c>
      <c r="AE17" s="73" t="s">
        <v>123</v>
      </c>
      <c r="AF17" s="73" t="s">
        <v>124</v>
      </c>
      <c r="AG17" s="73" t="s">
        <v>125</v>
      </c>
      <c r="AH17" s="73" t="s">
        <v>126</v>
      </c>
      <c r="AI17" s="73" t="s">
        <v>127</v>
      </c>
      <c r="AJ17" s="73" t="s">
        <v>128</v>
      </c>
      <c r="AK17" s="73" t="s">
        <v>129</v>
      </c>
      <c r="AL17" s="73" t="s">
        <v>130</v>
      </c>
      <c r="AM17" s="73" t="s">
        <v>131</v>
      </c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Y17" s="77" t="s">
        <v>112</v>
      </c>
      <c r="FZ17" s="76">
        <f t="shared" si="0"/>
        <v>16</v>
      </c>
      <c r="GA17" s="76"/>
      <c r="GB17" s="76"/>
      <c r="GC17" s="76"/>
      <c r="GD17" s="76"/>
      <c r="GE17" s="76"/>
      <c r="GF17" s="76"/>
      <c r="GG17" s="76"/>
      <c r="GH17" s="76"/>
      <c r="GI17" s="76"/>
      <c r="GJ17" s="76">
        <f t="shared" si="1"/>
        <v>16</v>
      </c>
      <c r="GK17" s="76">
        <f t="shared" si="2"/>
        <v>0</v>
      </c>
      <c r="GL17" s="76"/>
      <c r="GM17" s="76"/>
      <c r="GN17" s="76"/>
      <c r="GO17" s="76"/>
      <c r="GP17" s="76">
        <v>1</v>
      </c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</row>
    <row r="18" spans="1:212" ht="15">
      <c r="A18" s="55"/>
      <c r="B18" s="62" t="s">
        <v>132</v>
      </c>
      <c r="C18" s="70"/>
      <c r="D18" s="70">
        <f aca="true" t="shared" si="4" ref="D18:AM18">IF(D16&gt;=1,IF(D15=1,$D$14,0))*IF(C22&lt;1,0,1)</f>
        <v>0</v>
      </c>
      <c r="E18" s="70">
        <f t="shared" si="4"/>
        <v>12102.08773182601</v>
      </c>
      <c r="F18" s="70">
        <f t="shared" si="4"/>
        <v>12102.08773182601</v>
      </c>
      <c r="G18" s="70">
        <f t="shared" si="4"/>
        <v>12102.08773182601</v>
      </c>
      <c r="H18" s="70">
        <f t="shared" si="4"/>
        <v>12102.08773182601</v>
      </c>
      <c r="I18" s="70">
        <f t="shared" si="4"/>
        <v>12102.08773182601</v>
      </c>
      <c r="J18" s="70">
        <f t="shared" si="4"/>
        <v>12102.08773182601</v>
      </c>
      <c r="K18" s="70">
        <f t="shared" si="4"/>
        <v>12102.08773182601</v>
      </c>
      <c r="L18" s="70">
        <f t="shared" si="4"/>
        <v>12102.08773182601</v>
      </c>
      <c r="M18" s="70">
        <f t="shared" si="4"/>
        <v>12102.08773182601</v>
      </c>
      <c r="N18" s="70">
        <f t="shared" si="4"/>
        <v>12102.08773182601</v>
      </c>
      <c r="O18" s="70">
        <f t="shared" si="4"/>
        <v>0</v>
      </c>
      <c r="P18" s="70">
        <f t="shared" si="4"/>
        <v>0</v>
      </c>
      <c r="Q18" s="70">
        <f t="shared" si="4"/>
        <v>0</v>
      </c>
      <c r="R18" s="70">
        <f t="shared" si="4"/>
        <v>0</v>
      </c>
      <c r="S18" s="70">
        <f t="shared" si="4"/>
        <v>0</v>
      </c>
      <c r="T18" s="70">
        <f t="shared" si="4"/>
        <v>0</v>
      </c>
      <c r="U18" s="70">
        <f t="shared" si="4"/>
        <v>0</v>
      </c>
      <c r="V18" s="70">
        <f t="shared" si="4"/>
        <v>0</v>
      </c>
      <c r="W18" s="70">
        <f t="shared" si="4"/>
        <v>0</v>
      </c>
      <c r="X18" s="70">
        <f t="shared" si="4"/>
        <v>0</v>
      </c>
      <c r="Y18" s="70">
        <f t="shared" si="4"/>
        <v>0</v>
      </c>
      <c r="Z18" s="70">
        <f t="shared" si="4"/>
        <v>0</v>
      </c>
      <c r="AA18" s="70">
        <f t="shared" si="4"/>
        <v>0</v>
      </c>
      <c r="AB18" s="70">
        <f t="shared" si="4"/>
        <v>0</v>
      </c>
      <c r="AC18" s="70">
        <f t="shared" si="4"/>
        <v>0</v>
      </c>
      <c r="AD18" s="70">
        <f t="shared" si="4"/>
        <v>0</v>
      </c>
      <c r="AE18" s="70">
        <f t="shared" si="4"/>
        <v>0</v>
      </c>
      <c r="AF18" s="70">
        <f t="shared" si="4"/>
        <v>0</v>
      </c>
      <c r="AG18" s="70">
        <f t="shared" si="4"/>
        <v>0</v>
      </c>
      <c r="AH18" s="70">
        <f t="shared" si="4"/>
        <v>0</v>
      </c>
      <c r="AI18" s="70">
        <f t="shared" si="4"/>
        <v>0</v>
      </c>
      <c r="AJ18" s="70">
        <f t="shared" si="4"/>
        <v>0</v>
      </c>
      <c r="AK18" s="70">
        <f t="shared" si="4"/>
        <v>0</v>
      </c>
      <c r="AL18" s="70">
        <f t="shared" si="4"/>
        <v>0</v>
      </c>
      <c r="AM18" s="70">
        <f t="shared" si="4"/>
        <v>0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Y18" s="77" t="s">
        <v>113</v>
      </c>
      <c r="FZ18" s="76">
        <f t="shared" si="0"/>
        <v>17</v>
      </c>
      <c r="GA18" s="76"/>
      <c r="GB18" s="76"/>
      <c r="GC18" s="76"/>
      <c r="GD18" s="76"/>
      <c r="GE18" s="76"/>
      <c r="GF18" s="76"/>
      <c r="GG18" s="76"/>
      <c r="GH18" s="76"/>
      <c r="GI18" s="76"/>
      <c r="GJ18" s="76">
        <f t="shared" si="1"/>
        <v>17</v>
      </c>
      <c r="GK18" s="76">
        <f t="shared" si="2"/>
        <v>0</v>
      </c>
      <c r="GL18" s="76"/>
      <c r="GM18" s="76"/>
      <c r="GN18" s="76"/>
      <c r="GO18" s="76">
        <v>1</v>
      </c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</row>
    <row r="19" spans="1:212" ht="15">
      <c r="A19" s="55"/>
      <c r="B19" s="62" t="s">
        <v>133</v>
      </c>
      <c r="C19" s="70"/>
      <c r="D19" s="70">
        <f aca="true" t="shared" si="5" ref="D19:I19">D18-D21</f>
        <v>0</v>
      </c>
      <c r="E19" s="70">
        <f t="shared" si="5"/>
        <v>6152.0877318260045</v>
      </c>
      <c r="F19" s="70">
        <f t="shared" si="5"/>
        <v>6582.733873053825</v>
      </c>
      <c r="G19" s="70">
        <f t="shared" si="5"/>
        <v>7043.525244167594</v>
      </c>
      <c r="H19" s="70">
        <f t="shared" si="5"/>
        <v>7536.572011259325</v>
      </c>
      <c r="I19" s="70">
        <f t="shared" si="5"/>
        <v>8064.132052047478</v>
      </c>
      <c r="J19" s="70">
        <f>J18-J21</f>
        <v>8628.621295690802</v>
      </c>
      <c r="K19" s="70">
        <f aca="true" t="shared" si="6" ref="K19:AM19">K18-K21</f>
        <v>9232.624786389159</v>
      </c>
      <c r="L19" s="70">
        <f t="shared" si="6"/>
        <v>9878.908521436402</v>
      </c>
      <c r="M19" s="70">
        <f t="shared" si="6"/>
        <v>10570.43211793695</v>
      </c>
      <c r="N19" s="70">
        <f t="shared" si="6"/>
        <v>11310.362366192538</v>
      </c>
      <c r="O19" s="70">
        <f t="shared" si="6"/>
        <v>0</v>
      </c>
      <c r="P19" s="70">
        <f t="shared" si="6"/>
        <v>0</v>
      </c>
      <c r="Q19" s="70">
        <f t="shared" si="6"/>
        <v>0</v>
      </c>
      <c r="R19" s="70">
        <f t="shared" si="6"/>
        <v>0</v>
      </c>
      <c r="S19" s="70">
        <f t="shared" si="6"/>
        <v>0</v>
      </c>
      <c r="T19" s="70">
        <f t="shared" si="6"/>
        <v>0</v>
      </c>
      <c r="U19" s="70">
        <f t="shared" si="6"/>
        <v>0</v>
      </c>
      <c r="V19" s="70">
        <f t="shared" si="6"/>
        <v>0</v>
      </c>
      <c r="W19" s="70">
        <f t="shared" si="6"/>
        <v>0</v>
      </c>
      <c r="X19" s="70">
        <f t="shared" si="6"/>
        <v>0</v>
      </c>
      <c r="Y19" s="70">
        <f t="shared" si="6"/>
        <v>0</v>
      </c>
      <c r="Z19" s="70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0">
        <f t="shared" si="6"/>
        <v>0</v>
      </c>
      <c r="AE19" s="70">
        <f t="shared" si="6"/>
        <v>0</v>
      </c>
      <c r="AF19" s="70">
        <f t="shared" si="6"/>
        <v>0</v>
      </c>
      <c r="AG19" s="70">
        <f t="shared" si="6"/>
        <v>0</v>
      </c>
      <c r="AH19" s="70">
        <f t="shared" si="6"/>
        <v>0</v>
      </c>
      <c r="AI19" s="70">
        <f t="shared" si="6"/>
        <v>0</v>
      </c>
      <c r="AJ19" s="70">
        <f t="shared" si="6"/>
        <v>0</v>
      </c>
      <c r="AK19" s="70">
        <f t="shared" si="6"/>
        <v>0</v>
      </c>
      <c r="AL19" s="70">
        <f t="shared" si="6"/>
        <v>0</v>
      </c>
      <c r="AM19" s="70">
        <f t="shared" si="6"/>
        <v>0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Y19" s="77" t="s">
        <v>114</v>
      </c>
      <c r="FZ19" s="76">
        <f t="shared" si="0"/>
        <v>18</v>
      </c>
      <c r="GA19" s="76"/>
      <c r="GB19" s="76"/>
      <c r="GC19" s="76"/>
      <c r="GD19" s="76"/>
      <c r="GE19" s="76"/>
      <c r="GF19" s="76"/>
      <c r="GG19" s="76"/>
      <c r="GH19" s="76"/>
      <c r="GI19" s="76"/>
      <c r="GJ19" s="76">
        <f t="shared" si="1"/>
        <v>18</v>
      </c>
      <c r="GK19" s="76">
        <f t="shared" si="2"/>
        <v>0</v>
      </c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</row>
    <row r="20" spans="1:212" ht="15">
      <c r="A20" s="55"/>
      <c r="B20" s="62" t="s">
        <v>134</v>
      </c>
      <c r="C20" s="70"/>
      <c r="D20" s="70">
        <f aca="true" t="shared" si="7" ref="D20:AM20">D19+C20*(IF(C22&lt;1,0,1))</f>
        <v>0</v>
      </c>
      <c r="E20" s="70">
        <f t="shared" si="7"/>
        <v>6152.0877318260045</v>
      </c>
      <c r="F20" s="70">
        <f t="shared" si="7"/>
        <v>12734.82160487983</v>
      </c>
      <c r="G20" s="70">
        <f t="shared" si="7"/>
        <v>19778.346849047422</v>
      </c>
      <c r="H20" s="70">
        <f t="shared" si="7"/>
        <v>27314.91886030675</v>
      </c>
      <c r="I20" s="70">
        <f t="shared" si="7"/>
        <v>35379.05091235423</v>
      </c>
      <c r="J20" s="70">
        <f t="shared" si="7"/>
        <v>44007.67220804503</v>
      </c>
      <c r="K20" s="70">
        <f t="shared" si="7"/>
        <v>53240.29699443419</v>
      </c>
      <c r="L20" s="70">
        <f t="shared" si="7"/>
        <v>63119.20551587059</v>
      </c>
      <c r="M20" s="70">
        <f t="shared" si="7"/>
        <v>73689.63763380755</v>
      </c>
      <c r="N20" s="70">
        <f t="shared" si="7"/>
        <v>85000.00000000009</v>
      </c>
      <c r="O20" s="70">
        <f t="shared" si="7"/>
        <v>0</v>
      </c>
      <c r="P20" s="70">
        <f t="shared" si="7"/>
        <v>0</v>
      </c>
      <c r="Q20" s="70">
        <f t="shared" si="7"/>
        <v>0</v>
      </c>
      <c r="R20" s="70">
        <f t="shared" si="7"/>
        <v>0</v>
      </c>
      <c r="S20" s="70">
        <f t="shared" si="7"/>
        <v>0</v>
      </c>
      <c r="T20" s="70">
        <f t="shared" si="7"/>
        <v>0</v>
      </c>
      <c r="U20" s="70">
        <f t="shared" si="7"/>
        <v>0</v>
      </c>
      <c r="V20" s="70">
        <f t="shared" si="7"/>
        <v>0</v>
      </c>
      <c r="W20" s="70">
        <f t="shared" si="7"/>
        <v>0</v>
      </c>
      <c r="X20" s="70">
        <f t="shared" si="7"/>
        <v>0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  <c r="AE20" s="70">
        <f t="shared" si="7"/>
        <v>0</v>
      </c>
      <c r="AF20" s="70">
        <f t="shared" si="7"/>
        <v>0</v>
      </c>
      <c r="AG20" s="70">
        <f t="shared" si="7"/>
        <v>0</v>
      </c>
      <c r="AH20" s="70">
        <f t="shared" si="7"/>
        <v>0</v>
      </c>
      <c r="AI20" s="70">
        <f t="shared" si="7"/>
        <v>0</v>
      </c>
      <c r="AJ20" s="70">
        <f t="shared" si="7"/>
        <v>0</v>
      </c>
      <c r="AK20" s="70">
        <f t="shared" si="7"/>
        <v>0</v>
      </c>
      <c r="AL20" s="70">
        <f t="shared" si="7"/>
        <v>0</v>
      </c>
      <c r="AM20" s="70">
        <f t="shared" si="7"/>
        <v>0</v>
      </c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Y20" s="77" t="s">
        <v>115</v>
      </c>
      <c r="FZ20" s="76">
        <f t="shared" si="0"/>
        <v>19</v>
      </c>
      <c r="GA20" s="76"/>
      <c r="GB20" s="76"/>
      <c r="GC20" s="76"/>
      <c r="GD20" s="76"/>
      <c r="GE20" s="76"/>
      <c r="GF20" s="76"/>
      <c r="GG20" s="76"/>
      <c r="GH20" s="76"/>
      <c r="GI20" s="76"/>
      <c r="GJ20" s="76">
        <f t="shared" si="1"/>
        <v>19</v>
      </c>
      <c r="GK20" s="76">
        <f t="shared" si="2"/>
        <v>0</v>
      </c>
      <c r="GL20" s="76"/>
      <c r="GM20" s="76"/>
      <c r="GN20" s="76">
        <v>1</v>
      </c>
      <c r="GO20" s="76"/>
      <c r="GP20" s="76">
        <v>1</v>
      </c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</row>
    <row r="21" spans="1:212" ht="15">
      <c r="A21" s="55"/>
      <c r="B21" s="62" t="s">
        <v>135</v>
      </c>
      <c r="C21" s="70">
        <f aca="true" t="shared" si="8" ref="C21:AM21">IF(C18&gt;0,B22*$D$12,0)</f>
        <v>0</v>
      </c>
      <c r="D21" s="70">
        <f t="shared" si="8"/>
        <v>0</v>
      </c>
      <c r="E21" s="70">
        <f t="shared" si="8"/>
        <v>5950.0000000000055</v>
      </c>
      <c r="F21" s="70">
        <f t="shared" si="8"/>
        <v>5519.353858772185</v>
      </c>
      <c r="G21" s="70">
        <f t="shared" si="8"/>
        <v>5058.562487658416</v>
      </c>
      <c r="H21" s="70">
        <f t="shared" si="8"/>
        <v>4565.515720566685</v>
      </c>
      <c r="I21" s="70">
        <f t="shared" si="8"/>
        <v>4037.9556797785312</v>
      </c>
      <c r="J21" s="70">
        <f t="shared" si="8"/>
        <v>3473.466436135207</v>
      </c>
      <c r="K21" s="70">
        <f t="shared" si="8"/>
        <v>2869.4629454368505</v>
      </c>
      <c r="L21" s="70">
        <f t="shared" si="8"/>
        <v>2223.1792103896087</v>
      </c>
      <c r="M21" s="70">
        <f t="shared" si="8"/>
        <v>1531.6556138890599</v>
      </c>
      <c r="N21" s="70">
        <f t="shared" si="8"/>
        <v>791.7253656334723</v>
      </c>
      <c r="O21" s="70">
        <f t="shared" si="8"/>
        <v>0</v>
      </c>
      <c r="P21" s="70">
        <f t="shared" si="8"/>
        <v>0</v>
      </c>
      <c r="Q21" s="70">
        <f t="shared" si="8"/>
        <v>0</v>
      </c>
      <c r="R21" s="70">
        <f t="shared" si="8"/>
        <v>0</v>
      </c>
      <c r="S21" s="70">
        <f t="shared" si="8"/>
        <v>0</v>
      </c>
      <c r="T21" s="70">
        <f t="shared" si="8"/>
        <v>0</v>
      </c>
      <c r="U21" s="70">
        <f t="shared" si="8"/>
        <v>0</v>
      </c>
      <c r="V21" s="70">
        <f t="shared" si="8"/>
        <v>0</v>
      </c>
      <c r="W21" s="70">
        <f t="shared" si="8"/>
        <v>0</v>
      </c>
      <c r="X21" s="70">
        <f t="shared" si="8"/>
        <v>0</v>
      </c>
      <c r="Y21" s="70">
        <f t="shared" si="8"/>
        <v>0</v>
      </c>
      <c r="Z21" s="70">
        <f t="shared" si="8"/>
        <v>0</v>
      </c>
      <c r="AA21" s="70">
        <f t="shared" si="8"/>
        <v>0</v>
      </c>
      <c r="AB21" s="70">
        <f t="shared" si="8"/>
        <v>0</v>
      </c>
      <c r="AC21" s="70">
        <f t="shared" si="8"/>
        <v>0</v>
      </c>
      <c r="AD21" s="70">
        <f t="shared" si="8"/>
        <v>0</v>
      </c>
      <c r="AE21" s="70">
        <f t="shared" si="8"/>
        <v>0</v>
      </c>
      <c r="AF21" s="70">
        <f t="shared" si="8"/>
        <v>0</v>
      </c>
      <c r="AG21" s="70">
        <f t="shared" si="8"/>
        <v>0</v>
      </c>
      <c r="AH21" s="70">
        <f t="shared" si="8"/>
        <v>0</v>
      </c>
      <c r="AI21" s="70">
        <f t="shared" si="8"/>
        <v>0</v>
      </c>
      <c r="AJ21" s="70">
        <f t="shared" si="8"/>
        <v>0</v>
      </c>
      <c r="AK21" s="70">
        <f t="shared" si="8"/>
        <v>0</v>
      </c>
      <c r="AL21" s="70">
        <f t="shared" si="8"/>
        <v>0</v>
      </c>
      <c r="AM21" s="70">
        <f t="shared" si="8"/>
        <v>0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Y21" s="77" t="s">
        <v>116</v>
      </c>
      <c r="FZ21" s="76">
        <f t="shared" si="0"/>
        <v>20</v>
      </c>
      <c r="GA21" s="76"/>
      <c r="GB21" s="76"/>
      <c r="GC21" s="76"/>
      <c r="GD21" s="76"/>
      <c r="GE21" s="76"/>
      <c r="GF21" s="76"/>
      <c r="GG21" s="76"/>
      <c r="GH21" s="76"/>
      <c r="GI21" s="76"/>
      <c r="GJ21" s="76">
        <f t="shared" si="1"/>
        <v>20</v>
      </c>
      <c r="GK21" s="76">
        <f t="shared" si="2"/>
        <v>0</v>
      </c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</row>
    <row r="22" spans="1:212" ht="15">
      <c r="A22" s="55"/>
      <c r="B22" s="74" t="s">
        <v>136</v>
      </c>
      <c r="C22" s="70">
        <f>IF(D17=$C$4,$C$7,IF(C20=0,0,$C$7-C20))</f>
        <v>0</v>
      </c>
      <c r="D22" s="70">
        <f aca="true" t="shared" si="9" ref="D22:AM22">IF(E17=$C$4,$C$7,IF(D20=0,0,$C$7-D20))</f>
        <v>85000</v>
      </c>
      <c r="E22" s="70">
        <f t="shared" si="9"/>
        <v>78847.912268174</v>
      </c>
      <c r="F22" s="70">
        <f t="shared" si="9"/>
        <v>72265.17839512017</v>
      </c>
      <c r="G22" s="70">
        <f t="shared" si="9"/>
        <v>65221.65315095258</v>
      </c>
      <c r="H22" s="70">
        <f t="shared" si="9"/>
        <v>57685.081139693255</v>
      </c>
      <c r="I22" s="70">
        <f t="shared" si="9"/>
        <v>49620.94908764577</v>
      </c>
      <c r="J22" s="70">
        <f t="shared" si="9"/>
        <v>40992.32779195497</v>
      </c>
      <c r="K22" s="70">
        <f t="shared" si="9"/>
        <v>31759.70300556581</v>
      </c>
      <c r="L22" s="70">
        <f t="shared" si="9"/>
        <v>21880.79448412941</v>
      </c>
      <c r="M22" s="70">
        <f t="shared" si="9"/>
        <v>11310.36236619245</v>
      </c>
      <c r="N22" s="70">
        <f t="shared" si="9"/>
        <v>-8.731149137020111E-11</v>
      </c>
      <c r="O22" s="70">
        <f t="shared" si="9"/>
        <v>0</v>
      </c>
      <c r="P22" s="70">
        <f t="shared" si="9"/>
        <v>0</v>
      </c>
      <c r="Q22" s="70">
        <f t="shared" si="9"/>
        <v>0</v>
      </c>
      <c r="R22" s="70">
        <f t="shared" si="9"/>
        <v>0</v>
      </c>
      <c r="S22" s="70">
        <f t="shared" si="9"/>
        <v>0</v>
      </c>
      <c r="T22" s="70">
        <f t="shared" si="9"/>
        <v>0</v>
      </c>
      <c r="U22" s="70">
        <f t="shared" si="9"/>
        <v>0</v>
      </c>
      <c r="V22" s="70">
        <f t="shared" si="9"/>
        <v>0</v>
      </c>
      <c r="W22" s="70">
        <f t="shared" si="9"/>
        <v>0</v>
      </c>
      <c r="X22" s="70">
        <f t="shared" si="9"/>
        <v>0</v>
      </c>
      <c r="Y22" s="70">
        <f t="shared" si="9"/>
        <v>0</v>
      </c>
      <c r="Z22" s="70">
        <f t="shared" si="9"/>
        <v>0</v>
      </c>
      <c r="AA22" s="70">
        <f t="shared" si="9"/>
        <v>0</v>
      </c>
      <c r="AB22" s="70">
        <f t="shared" si="9"/>
        <v>0</v>
      </c>
      <c r="AC22" s="70">
        <f t="shared" si="9"/>
        <v>0</v>
      </c>
      <c r="AD22" s="70">
        <f t="shared" si="9"/>
        <v>0</v>
      </c>
      <c r="AE22" s="70">
        <f t="shared" si="9"/>
        <v>0</v>
      </c>
      <c r="AF22" s="70">
        <f t="shared" si="9"/>
        <v>0</v>
      </c>
      <c r="AG22" s="70">
        <f t="shared" si="9"/>
        <v>0</v>
      </c>
      <c r="AH22" s="70">
        <f t="shared" si="9"/>
        <v>0</v>
      </c>
      <c r="AI22" s="70">
        <f t="shared" si="9"/>
        <v>0</v>
      </c>
      <c r="AJ22" s="70">
        <f t="shared" si="9"/>
        <v>0</v>
      </c>
      <c r="AK22" s="70">
        <f t="shared" si="9"/>
        <v>0</v>
      </c>
      <c r="AL22" s="70">
        <f t="shared" si="9"/>
        <v>0</v>
      </c>
      <c r="AM22" s="70">
        <f t="shared" si="9"/>
        <v>0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Y22" s="77" t="s">
        <v>117</v>
      </c>
      <c r="FZ22" s="76">
        <f t="shared" si="0"/>
        <v>21</v>
      </c>
      <c r="GA22" s="76"/>
      <c r="GB22" s="76"/>
      <c r="GC22" s="76"/>
      <c r="GD22" s="76"/>
      <c r="GE22" s="76"/>
      <c r="GF22" s="76"/>
      <c r="GG22" s="76"/>
      <c r="GH22" s="76"/>
      <c r="GI22" s="76"/>
      <c r="GJ22" s="76">
        <f t="shared" si="1"/>
        <v>21</v>
      </c>
      <c r="GK22" s="76">
        <f t="shared" si="2"/>
        <v>0</v>
      </c>
      <c r="GL22" s="76"/>
      <c r="GM22" s="76"/>
      <c r="GN22" s="76"/>
      <c r="GO22" s="76">
        <v>1</v>
      </c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</row>
    <row r="23" spans="1:212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FY23" s="77" t="s">
        <v>118</v>
      </c>
      <c r="FZ23" s="76">
        <f t="shared" si="0"/>
        <v>22</v>
      </c>
      <c r="GA23" s="76"/>
      <c r="GB23" s="76"/>
      <c r="GC23" s="76"/>
      <c r="GD23" s="76"/>
      <c r="GE23" s="76"/>
      <c r="GF23" s="76"/>
      <c r="GG23" s="76"/>
      <c r="GH23" s="76"/>
      <c r="GI23" s="76"/>
      <c r="GJ23" s="76">
        <f t="shared" si="1"/>
        <v>22</v>
      </c>
      <c r="GK23" s="76">
        <f t="shared" si="2"/>
        <v>0</v>
      </c>
      <c r="GL23" s="76"/>
      <c r="GM23" s="76"/>
      <c r="GN23" s="76"/>
      <c r="GO23" s="76"/>
      <c r="GP23" s="76">
        <v>1</v>
      </c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</row>
    <row r="24" spans="1:212" ht="15">
      <c r="A24" s="55"/>
      <c r="B24" s="55"/>
      <c r="C24" s="55"/>
      <c r="D24" s="55"/>
      <c r="E24" s="55"/>
      <c r="F24" s="8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FY24" s="77" t="s">
        <v>119</v>
      </c>
      <c r="FZ24" s="76">
        <f t="shared" si="0"/>
        <v>23</v>
      </c>
      <c r="GA24" s="76"/>
      <c r="GB24" s="76"/>
      <c r="GC24" s="76"/>
      <c r="GD24" s="76"/>
      <c r="GE24" s="76"/>
      <c r="GF24" s="76"/>
      <c r="GG24" s="76"/>
      <c r="GH24" s="76"/>
      <c r="GI24" s="76"/>
      <c r="GJ24" s="76">
        <f t="shared" si="1"/>
        <v>23</v>
      </c>
      <c r="GK24" s="76">
        <f t="shared" si="2"/>
        <v>0</v>
      </c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</row>
    <row r="25" spans="1:212" ht="15">
      <c r="A25" s="55"/>
      <c r="C25" s="55"/>
      <c r="D25" s="75">
        <f>+D17</f>
        <v>0</v>
      </c>
      <c r="E25" s="75" t="str">
        <f aca="true" t="shared" si="10" ref="E25:AM25">+E17</f>
        <v>A1</v>
      </c>
      <c r="F25" s="75" t="str">
        <f t="shared" si="10"/>
        <v>A2</v>
      </c>
      <c r="G25" s="75" t="str">
        <f t="shared" si="10"/>
        <v>A3</v>
      </c>
      <c r="H25" s="75" t="str">
        <f t="shared" si="10"/>
        <v>A4</v>
      </c>
      <c r="I25" s="75" t="str">
        <f t="shared" si="10"/>
        <v>A5</v>
      </c>
      <c r="J25" s="75" t="str">
        <f t="shared" si="10"/>
        <v>A6</v>
      </c>
      <c r="K25" s="75" t="str">
        <f t="shared" si="10"/>
        <v>A7</v>
      </c>
      <c r="L25" s="75" t="str">
        <f t="shared" si="10"/>
        <v>A8</v>
      </c>
      <c r="M25" s="75" t="str">
        <f t="shared" si="10"/>
        <v>A9</v>
      </c>
      <c r="N25" s="75" t="str">
        <f t="shared" si="10"/>
        <v>A10</v>
      </c>
      <c r="O25" s="75" t="str">
        <f t="shared" si="10"/>
        <v>A11</v>
      </c>
      <c r="P25" s="75" t="str">
        <f t="shared" si="10"/>
        <v>A12</v>
      </c>
      <c r="Q25" s="75" t="str">
        <f t="shared" si="10"/>
        <v>A13</v>
      </c>
      <c r="R25" s="75" t="str">
        <f t="shared" si="10"/>
        <v>A14</v>
      </c>
      <c r="S25" s="75" t="str">
        <f t="shared" si="10"/>
        <v>A15</v>
      </c>
      <c r="T25" s="75" t="str">
        <f t="shared" si="10"/>
        <v>A16</v>
      </c>
      <c r="U25" s="75" t="str">
        <f t="shared" si="10"/>
        <v>A17</v>
      </c>
      <c r="V25" s="75" t="str">
        <f t="shared" si="10"/>
        <v>A18</v>
      </c>
      <c r="W25" s="75" t="str">
        <f t="shared" si="10"/>
        <v>A19</v>
      </c>
      <c r="X25" s="75" t="str">
        <f t="shared" si="10"/>
        <v>A20</v>
      </c>
      <c r="Y25" s="75" t="str">
        <f t="shared" si="10"/>
        <v>A21</v>
      </c>
      <c r="Z25" s="75" t="str">
        <f t="shared" si="10"/>
        <v>A22</v>
      </c>
      <c r="AA25" s="75" t="str">
        <f t="shared" si="10"/>
        <v>A23</v>
      </c>
      <c r="AB25" s="75" t="str">
        <f t="shared" si="10"/>
        <v>A24</v>
      </c>
      <c r="AC25" s="75" t="str">
        <f t="shared" si="10"/>
        <v>A25</v>
      </c>
      <c r="AD25" s="75" t="str">
        <f t="shared" si="10"/>
        <v>A26</v>
      </c>
      <c r="AE25" s="75" t="str">
        <f t="shared" si="10"/>
        <v>A27</v>
      </c>
      <c r="AF25" s="75" t="str">
        <f t="shared" si="10"/>
        <v>A28</v>
      </c>
      <c r="AG25" s="75" t="str">
        <f t="shared" si="10"/>
        <v>A29</v>
      </c>
      <c r="AH25" s="75" t="str">
        <f t="shared" si="10"/>
        <v>A30</v>
      </c>
      <c r="AI25" s="75" t="str">
        <f t="shared" si="10"/>
        <v>A31</v>
      </c>
      <c r="AJ25" s="75" t="str">
        <f t="shared" si="10"/>
        <v>A32</v>
      </c>
      <c r="AK25" s="75" t="str">
        <f t="shared" si="10"/>
        <v>A33</v>
      </c>
      <c r="AL25" s="75" t="str">
        <f t="shared" si="10"/>
        <v>A34</v>
      </c>
      <c r="AM25" s="75" t="str">
        <f t="shared" si="10"/>
        <v>A35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FY25" s="77" t="s">
        <v>120</v>
      </c>
      <c r="FZ25" s="76">
        <f t="shared" si="0"/>
        <v>24</v>
      </c>
      <c r="GA25" s="76"/>
      <c r="GB25" s="76"/>
      <c r="GC25" s="76"/>
      <c r="GD25" s="76"/>
      <c r="GE25" s="76"/>
      <c r="GF25" s="76"/>
      <c r="GG25" s="76"/>
      <c r="GH25" s="76"/>
      <c r="GI25" s="76"/>
      <c r="GJ25" s="76">
        <f t="shared" si="1"/>
        <v>24</v>
      </c>
      <c r="GK25" s="76">
        <f t="shared" si="2"/>
        <v>0</v>
      </c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</row>
    <row r="26" spans="1:212" ht="15">
      <c r="A26" s="55" t="s">
        <v>137</v>
      </c>
      <c r="B26" s="72" t="s">
        <v>138</v>
      </c>
      <c r="C26" s="55"/>
      <c r="D26" s="70">
        <f aca="true" t="shared" si="11" ref="D26:I26">+D22-D28</f>
        <v>85000</v>
      </c>
      <c r="E26" s="70">
        <f t="shared" si="11"/>
        <v>72897.912268174</v>
      </c>
      <c r="F26" s="70">
        <f>+F22-F28</f>
        <v>66745.82453634798</v>
      </c>
      <c r="G26" s="70">
        <f t="shared" si="11"/>
        <v>60163.09066329416</v>
      </c>
      <c r="H26" s="70">
        <f t="shared" si="11"/>
        <v>53119.56541912657</v>
      </c>
      <c r="I26" s="70">
        <f t="shared" si="11"/>
        <v>45582.99340786724</v>
      </c>
      <c r="J26" s="70">
        <f>+J22-SUM($I$28:J28)</f>
        <v>33480.905676041235</v>
      </c>
      <c r="K26" s="70">
        <f>+K22-SUM($I$28:K28)</f>
        <v>21378.81794421522</v>
      </c>
      <c r="L26" s="70">
        <f>+L22-SUM($I$28:L28)</f>
        <v>9276.730212389211</v>
      </c>
      <c r="M26" s="70">
        <f>+M22-SUM($I$28:M28)</f>
        <v>-2825.357519436806</v>
      </c>
      <c r="N26" s="70">
        <f>+N22-SUM($I$28:N28)</f>
        <v>-14927.445251262816</v>
      </c>
      <c r="O26" s="70">
        <f>+O22-SUM($I$28:O28)</f>
        <v>-14927.445251262729</v>
      </c>
      <c r="P26" s="70">
        <f>+P22-SUM($I$28:P28)</f>
        <v>-14927.445251262729</v>
      </c>
      <c r="Q26" s="70">
        <f>+Q22-SUM($I$28:Q28)</f>
        <v>-14927.445251262729</v>
      </c>
      <c r="R26" s="70">
        <f>+R22-SUM($I$28:R28)</f>
        <v>-14927.445251262729</v>
      </c>
      <c r="S26" s="70">
        <f>+S22-SUM($I$28:S28)</f>
        <v>-14927.445251262729</v>
      </c>
      <c r="T26" s="70">
        <f>+T22-SUM($I$28:T28)</f>
        <v>-14927.445251262729</v>
      </c>
      <c r="U26" s="70">
        <f>+U22-SUM($I$28:U28)</f>
        <v>-14927.445251262729</v>
      </c>
      <c r="V26" s="70">
        <f>+V22-SUM($I$28:V28)</f>
        <v>-14927.445251262729</v>
      </c>
      <c r="W26" s="70">
        <f>+W22-SUM($I$28:W28)</f>
        <v>-14927.445251262729</v>
      </c>
      <c r="X26" s="70">
        <f>+X22-SUM($I$28:X28)</f>
        <v>-14927.445251262729</v>
      </c>
      <c r="Y26" s="70">
        <f>+Y22-SUM($I$28:Y28)</f>
        <v>-14927.445251262729</v>
      </c>
      <c r="Z26" s="70">
        <f>+Z22-SUM($I$28:Z28)</f>
        <v>-14927.445251262729</v>
      </c>
      <c r="AA26" s="70">
        <f>+AA22-SUM($I$28:AA28)</f>
        <v>-14927.445251262729</v>
      </c>
      <c r="AB26" s="70">
        <f>+AB22-SUM($I$28:AB28)</f>
        <v>-14927.445251262729</v>
      </c>
      <c r="AC26" s="70">
        <f>+AC22-SUM($I$28:AC28)</f>
        <v>-14927.445251262729</v>
      </c>
      <c r="AD26" s="70">
        <f>+AD22-SUM($I$28:AD28)</f>
        <v>-14927.445251262729</v>
      </c>
      <c r="AE26" s="70">
        <f>+AE22-SUM($I$28:AE28)</f>
        <v>-14927.445251262729</v>
      </c>
      <c r="AF26" s="70">
        <f>+AF22-SUM($I$28:AF28)</f>
        <v>-14927.445251262729</v>
      </c>
      <c r="AG26" s="70">
        <f>+AG22-SUM($I$28:AG28)</f>
        <v>-14927.445251262729</v>
      </c>
      <c r="AH26" s="70">
        <f>+AH22-SUM($I$28:AH28)</f>
        <v>-14927.445251262729</v>
      </c>
      <c r="AI26" s="70">
        <f>+AI22-SUM($I$28:AI28)</f>
        <v>-14927.445251262729</v>
      </c>
      <c r="AJ26" s="70">
        <f>+AJ22-SUM($I$28:AJ28)</f>
        <v>-14927.445251262729</v>
      </c>
      <c r="AK26" s="70">
        <f>+AK22-SUM($I$28:AK28)</f>
        <v>-14927.445251262729</v>
      </c>
      <c r="AL26" s="70">
        <f>+AL22-SUM($I$28:AL28)</f>
        <v>-14927.445251262729</v>
      </c>
      <c r="AM26" s="70">
        <f>+AM22-SUM($I$28:AM28)</f>
        <v>-14927.445251262729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FY26" s="77" t="s">
        <v>121</v>
      </c>
      <c r="FZ26" s="76">
        <f t="shared" si="0"/>
        <v>25</v>
      </c>
      <c r="GA26" s="76"/>
      <c r="GB26" s="76"/>
      <c r="GC26" s="76"/>
      <c r="GD26" s="76"/>
      <c r="GE26" s="76"/>
      <c r="GF26" s="76"/>
      <c r="GG26" s="76"/>
      <c r="GH26" s="76"/>
      <c r="GI26" s="76"/>
      <c r="GJ26" s="76">
        <f t="shared" si="1"/>
        <v>25</v>
      </c>
      <c r="GK26" s="76">
        <f t="shared" si="2"/>
        <v>1</v>
      </c>
      <c r="GL26" s="76"/>
      <c r="GM26" s="76">
        <v>1</v>
      </c>
      <c r="GN26" s="76">
        <v>1</v>
      </c>
      <c r="GO26" s="76">
        <v>1</v>
      </c>
      <c r="GP26" s="76">
        <v>1</v>
      </c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</row>
    <row r="27" spans="1:212" ht="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FY27" s="77" t="s">
        <v>122</v>
      </c>
      <c r="FZ27" s="76">
        <f t="shared" si="0"/>
        <v>26</v>
      </c>
      <c r="GA27" s="76"/>
      <c r="GB27" s="76"/>
      <c r="GC27" s="76"/>
      <c r="GD27" s="76"/>
      <c r="GE27" s="76"/>
      <c r="GF27" s="76"/>
      <c r="GG27" s="76"/>
      <c r="GH27" s="76"/>
      <c r="GI27" s="76"/>
      <c r="GJ27" s="76">
        <f t="shared" si="1"/>
        <v>26</v>
      </c>
      <c r="GK27" s="76">
        <f t="shared" si="2"/>
        <v>0</v>
      </c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</row>
    <row r="28" spans="1:212" ht="15">
      <c r="A28" s="55" t="s">
        <v>139</v>
      </c>
      <c r="B28" s="72" t="s">
        <v>140</v>
      </c>
      <c r="C28" s="55"/>
      <c r="D28" s="70">
        <f>+D21</f>
        <v>0</v>
      </c>
      <c r="E28" s="70">
        <f aca="true" t="shared" si="12" ref="E28:AM28">+E21</f>
        <v>5950.0000000000055</v>
      </c>
      <c r="F28" s="70">
        <f t="shared" si="12"/>
        <v>5519.353858772185</v>
      </c>
      <c r="G28" s="70">
        <f t="shared" si="12"/>
        <v>5058.562487658416</v>
      </c>
      <c r="H28" s="70">
        <f t="shared" si="12"/>
        <v>4565.515720566685</v>
      </c>
      <c r="I28" s="70">
        <f t="shared" si="12"/>
        <v>4037.9556797785312</v>
      </c>
      <c r="J28" s="70">
        <f t="shared" si="12"/>
        <v>3473.466436135207</v>
      </c>
      <c r="K28" s="70">
        <f t="shared" si="12"/>
        <v>2869.4629454368505</v>
      </c>
      <c r="L28" s="70">
        <f t="shared" si="12"/>
        <v>2223.1792103896087</v>
      </c>
      <c r="M28" s="70">
        <f t="shared" si="12"/>
        <v>1531.6556138890599</v>
      </c>
      <c r="N28" s="70">
        <f t="shared" si="12"/>
        <v>791.7253656334723</v>
      </c>
      <c r="O28" s="70">
        <f t="shared" si="12"/>
        <v>0</v>
      </c>
      <c r="P28" s="70">
        <f t="shared" si="12"/>
        <v>0</v>
      </c>
      <c r="Q28" s="70">
        <f t="shared" si="12"/>
        <v>0</v>
      </c>
      <c r="R28" s="70">
        <f t="shared" si="12"/>
        <v>0</v>
      </c>
      <c r="S28" s="70">
        <f t="shared" si="12"/>
        <v>0</v>
      </c>
      <c r="T28" s="70">
        <f t="shared" si="12"/>
        <v>0</v>
      </c>
      <c r="U28" s="70">
        <f t="shared" si="12"/>
        <v>0</v>
      </c>
      <c r="V28" s="70">
        <f t="shared" si="12"/>
        <v>0</v>
      </c>
      <c r="W28" s="70">
        <f t="shared" si="12"/>
        <v>0</v>
      </c>
      <c r="X28" s="70">
        <f t="shared" si="12"/>
        <v>0</v>
      </c>
      <c r="Y28" s="70">
        <f t="shared" si="12"/>
        <v>0</v>
      </c>
      <c r="Z28" s="70">
        <f t="shared" si="12"/>
        <v>0</v>
      </c>
      <c r="AA28" s="70">
        <f t="shared" si="12"/>
        <v>0</v>
      </c>
      <c r="AB28" s="70">
        <f t="shared" si="12"/>
        <v>0</v>
      </c>
      <c r="AC28" s="70">
        <f t="shared" si="12"/>
        <v>0</v>
      </c>
      <c r="AD28" s="70">
        <f t="shared" si="12"/>
        <v>0</v>
      </c>
      <c r="AE28" s="70">
        <f t="shared" si="12"/>
        <v>0</v>
      </c>
      <c r="AF28" s="70">
        <f t="shared" si="12"/>
        <v>0</v>
      </c>
      <c r="AG28" s="70">
        <f t="shared" si="12"/>
        <v>0</v>
      </c>
      <c r="AH28" s="70">
        <f t="shared" si="12"/>
        <v>0</v>
      </c>
      <c r="AI28" s="70">
        <f t="shared" si="12"/>
        <v>0</v>
      </c>
      <c r="AJ28" s="70">
        <f t="shared" si="12"/>
        <v>0</v>
      </c>
      <c r="AK28" s="70">
        <f t="shared" si="12"/>
        <v>0</v>
      </c>
      <c r="AL28" s="70">
        <f t="shared" si="12"/>
        <v>0</v>
      </c>
      <c r="AM28" s="70">
        <f t="shared" si="12"/>
        <v>0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FY28" s="77" t="s">
        <v>123</v>
      </c>
      <c r="FZ28" s="76">
        <f t="shared" si="0"/>
        <v>27</v>
      </c>
      <c r="GA28" s="76"/>
      <c r="GB28" s="76"/>
      <c r="GC28" s="76"/>
      <c r="GD28" s="76"/>
      <c r="GE28" s="76"/>
      <c r="GF28" s="76"/>
      <c r="GG28" s="76"/>
      <c r="GH28" s="76"/>
      <c r="GI28" s="76"/>
      <c r="GJ28" s="76">
        <f t="shared" si="1"/>
        <v>27</v>
      </c>
      <c r="GK28" s="76">
        <f t="shared" si="2"/>
        <v>0</v>
      </c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</row>
    <row r="29" spans="1:212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FY29" s="77" t="s">
        <v>124</v>
      </c>
      <c r="FZ29" s="76">
        <f t="shared" si="0"/>
        <v>28</v>
      </c>
      <c r="GA29" s="76"/>
      <c r="GB29" s="76"/>
      <c r="GC29" s="76"/>
      <c r="GD29" s="76"/>
      <c r="GE29" s="76"/>
      <c r="GF29" s="76"/>
      <c r="GG29" s="76"/>
      <c r="GH29" s="76"/>
      <c r="GI29" s="76"/>
      <c r="GJ29" s="76">
        <f t="shared" si="1"/>
        <v>28</v>
      </c>
      <c r="GK29" s="76">
        <f t="shared" si="2"/>
        <v>0</v>
      </c>
      <c r="GL29" s="76"/>
      <c r="GM29" s="76"/>
      <c r="GN29" s="76"/>
      <c r="GO29" s="76"/>
      <c r="GP29" s="76">
        <v>1</v>
      </c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</row>
    <row r="30" spans="1:212" ht="15">
      <c r="A30" s="55"/>
      <c r="B30" s="55"/>
      <c r="C30" s="55"/>
      <c r="D30" s="55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FY30" s="77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</row>
    <row r="31" spans="1:212" ht="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FY31" s="77" t="s">
        <v>126</v>
      </c>
      <c r="FZ31" s="76">
        <f t="shared" si="0"/>
        <v>1</v>
      </c>
      <c r="GA31" s="76"/>
      <c r="GB31" s="76"/>
      <c r="GC31" s="76"/>
      <c r="GD31" s="76"/>
      <c r="GE31" s="76"/>
      <c r="GF31" s="76"/>
      <c r="GG31" s="76"/>
      <c r="GH31" s="76"/>
      <c r="GI31" s="76"/>
      <c r="GJ31" s="76">
        <f t="shared" si="1"/>
        <v>1</v>
      </c>
      <c r="GK31" s="76">
        <f t="shared" si="2"/>
        <v>0</v>
      </c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</row>
    <row r="32" spans="1:212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FY32" s="77" t="s">
        <v>127</v>
      </c>
      <c r="FZ32" s="76">
        <f t="shared" si="0"/>
        <v>2</v>
      </c>
      <c r="GA32" s="76"/>
      <c r="GB32" s="76"/>
      <c r="GC32" s="76"/>
      <c r="GD32" s="76"/>
      <c r="GE32" s="76"/>
      <c r="GF32" s="76"/>
      <c r="GG32" s="76"/>
      <c r="GH32" s="76"/>
      <c r="GI32" s="76"/>
      <c r="GJ32" s="76">
        <f t="shared" si="1"/>
        <v>2</v>
      </c>
      <c r="GK32" s="76">
        <f t="shared" si="2"/>
        <v>0</v>
      </c>
      <c r="GL32" s="76"/>
      <c r="GM32" s="76"/>
      <c r="GN32" s="76">
        <v>1</v>
      </c>
      <c r="GO32" s="76"/>
      <c r="GP32" s="76">
        <v>1</v>
      </c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</row>
    <row r="33" spans="1:212" ht="15">
      <c r="A33" s="55"/>
      <c r="B33" s="55" t="s">
        <v>40</v>
      </c>
      <c r="C33" s="55"/>
      <c r="D33" s="55"/>
      <c r="E33" s="83">
        <f>+IF(E22-E21&gt;0,E22-E21,0)</f>
        <v>72897.912268174</v>
      </c>
      <c r="F33" s="83">
        <f>+IF(F22-F21-E22&gt;0,F22-F21-E22,0)</f>
        <v>0</v>
      </c>
      <c r="G33" s="83">
        <f aca="true" t="shared" si="13" ref="G33:L33">+IF(G22-G21-F22&gt;0,G22-G21-G19,0)</f>
        <v>0</v>
      </c>
      <c r="H33" s="83">
        <f t="shared" si="13"/>
        <v>0</v>
      </c>
      <c r="I33" s="83">
        <f t="shared" si="13"/>
        <v>0</v>
      </c>
      <c r="J33" s="83">
        <f t="shared" si="13"/>
        <v>0</v>
      </c>
      <c r="K33" s="83">
        <f t="shared" si="13"/>
        <v>0</v>
      </c>
      <c r="L33" s="83">
        <f t="shared" si="13"/>
        <v>0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FY33" s="77" t="s">
        <v>128</v>
      </c>
      <c r="FZ33" s="76">
        <f t="shared" si="0"/>
        <v>3</v>
      </c>
      <c r="GA33" s="76"/>
      <c r="GB33" s="76"/>
      <c r="GC33" s="76"/>
      <c r="GD33" s="76"/>
      <c r="GE33" s="76"/>
      <c r="GF33" s="76"/>
      <c r="GG33" s="76"/>
      <c r="GH33" s="76"/>
      <c r="GI33" s="76"/>
      <c r="GJ33" s="76">
        <f t="shared" si="1"/>
        <v>3</v>
      </c>
      <c r="GK33" s="76">
        <f t="shared" si="2"/>
        <v>0</v>
      </c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</row>
    <row r="34" spans="1:212" ht="15">
      <c r="A34" s="55"/>
      <c r="B34" s="55" t="s">
        <v>43</v>
      </c>
      <c r="C34" s="55"/>
      <c r="D34" s="55"/>
      <c r="E34" s="83">
        <f>+IF(E22-E21-E19&lt;0,E22-E21-E19,0)</f>
        <v>0</v>
      </c>
      <c r="F34" s="83">
        <f>+IF(F22-F21-E22&lt;0,-(F22-F21-E22),0)</f>
        <v>12102.087731826017</v>
      </c>
      <c r="G34" s="83">
        <f aca="true" t="shared" si="14" ref="G34:L34">+IF(G22-G21-F22&lt;0,-(G22-G21-F22),0)</f>
        <v>12102.087731826003</v>
      </c>
      <c r="H34" s="83">
        <f t="shared" si="14"/>
        <v>12102.08773182601</v>
      </c>
      <c r="I34" s="83">
        <f t="shared" si="14"/>
        <v>12102.087731826017</v>
      </c>
      <c r="J34" s="83">
        <f t="shared" si="14"/>
        <v>12102.087731826003</v>
      </c>
      <c r="K34" s="83">
        <f t="shared" si="14"/>
        <v>12102.087731826014</v>
      </c>
      <c r="L34" s="83">
        <f t="shared" si="14"/>
        <v>12102.08773182601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FY34" s="77" t="s">
        <v>129</v>
      </c>
      <c r="FZ34" s="76">
        <f t="shared" si="0"/>
        <v>4</v>
      </c>
      <c r="GA34" s="76"/>
      <c r="GB34" s="76"/>
      <c r="GC34" s="76"/>
      <c r="GD34" s="76"/>
      <c r="GE34" s="76"/>
      <c r="GF34" s="76"/>
      <c r="GG34" s="76"/>
      <c r="GH34" s="76"/>
      <c r="GI34" s="76"/>
      <c r="GJ34" s="76">
        <f t="shared" si="1"/>
        <v>4</v>
      </c>
      <c r="GK34" s="76">
        <f t="shared" si="2"/>
        <v>0</v>
      </c>
      <c r="GL34" s="76"/>
      <c r="GM34" s="76"/>
      <c r="GN34" s="76"/>
      <c r="GO34" s="76">
        <v>1</v>
      </c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</row>
    <row r="35" spans="1:212" ht="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FY35" s="77" t="s">
        <v>130</v>
      </c>
      <c r="FZ35" s="76">
        <f t="shared" si="0"/>
        <v>5</v>
      </c>
      <c r="GA35" s="76"/>
      <c r="GB35" s="76"/>
      <c r="GC35" s="76"/>
      <c r="GD35" s="76"/>
      <c r="GE35" s="76"/>
      <c r="GF35" s="76"/>
      <c r="GG35" s="76"/>
      <c r="GH35" s="76"/>
      <c r="GI35" s="76"/>
      <c r="GJ35" s="76">
        <f t="shared" si="1"/>
        <v>5</v>
      </c>
      <c r="GK35" s="76">
        <f t="shared" si="2"/>
        <v>0</v>
      </c>
      <c r="GL35" s="76"/>
      <c r="GM35" s="76"/>
      <c r="GN35" s="76"/>
      <c r="GO35" s="76"/>
      <c r="GP35" s="76">
        <v>1</v>
      </c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</row>
    <row r="36" spans="1:212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FY36" s="77" t="s">
        <v>131</v>
      </c>
      <c r="FZ36" s="76">
        <f t="shared" si="0"/>
        <v>6</v>
      </c>
      <c r="GA36" s="76"/>
      <c r="GB36" s="76"/>
      <c r="GC36" s="76"/>
      <c r="GD36" s="76"/>
      <c r="GE36" s="76"/>
      <c r="GF36" s="76"/>
      <c r="GG36" s="76"/>
      <c r="GH36" s="76"/>
      <c r="GI36" s="76"/>
      <c r="GJ36" s="76">
        <f t="shared" si="1"/>
        <v>6</v>
      </c>
      <c r="GK36" s="76">
        <f t="shared" si="2"/>
        <v>0</v>
      </c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</row>
    <row r="37" spans="1:212" ht="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FY37" s="77" t="s">
        <v>144</v>
      </c>
      <c r="FZ37" s="76">
        <f t="shared" si="0"/>
        <v>7</v>
      </c>
      <c r="GA37" s="76"/>
      <c r="GB37" s="76"/>
      <c r="GC37" s="76"/>
      <c r="GD37" s="76"/>
      <c r="GE37" s="76"/>
      <c r="GF37" s="76"/>
      <c r="GG37" s="76"/>
      <c r="GH37" s="76"/>
      <c r="GI37" s="76"/>
      <c r="GJ37" s="76">
        <f t="shared" si="1"/>
        <v>7</v>
      </c>
      <c r="GK37" s="76">
        <f t="shared" si="2"/>
        <v>0</v>
      </c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</row>
    <row r="38" spans="1:212" ht="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FY38" s="77" t="s">
        <v>145</v>
      </c>
      <c r="FZ38" s="76">
        <f t="shared" si="0"/>
        <v>8</v>
      </c>
      <c r="GA38" s="76"/>
      <c r="GB38" s="76"/>
      <c r="GC38" s="76"/>
      <c r="GD38" s="76"/>
      <c r="GE38" s="76"/>
      <c r="GF38" s="76"/>
      <c r="GG38" s="76"/>
      <c r="GH38" s="76"/>
      <c r="GI38" s="76"/>
      <c r="GJ38" s="76">
        <f t="shared" si="1"/>
        <v>8</v>
      </c>
      <c r="GK38" s="76">
        <f t="shared" si="2"/>
        <v>1</v>
      </c>
      <c r="GL38" s="76"/>
      <c r="GM38" s="76">
        <v>1</v>
      </c>
      <c r="GN38" s="76">
        <v>1</v>
      </c>
      <c r="GO38" s="76">
        <v>1</v>
      </c>
      <c r="GP38" s="76">
        <v>1</v>
      </c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</row>
    <row r="39" spans="1:212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FY39" s="77" t="s">
        <v>146</v>
      </c>
      <c r="FZ39" s="76">
        <f t="shared" si="0"/>
        <v>9</v>
      </c>
      <c r="GA39" s="76"/>
      <c r="GB39" s="76"/>
      <c r="GC39" s="76"/>
      <c r="GD39" s="76"/>
      <c r="GE39" s="76"/>
      <c r="GF39" s="76"/>
      <c r="GG39" s="76"/>
      <c r="GH39" s="76"/>
      <c r="GI39" s="76"/>
      <c r="GJ39" s="76">
        <f t="shared" si="1"/>
        <v>9</v>
      </c>
      <c r="GK39" s="76">
        <f t="shared" si="2"/>
        <v>0</v>
      </c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</row>
    <row r="40" spans="1:212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FY40" s="77" t="s">
        <v>147</v>
      </c>
      <c r="FZ40" s="76">
        <f t="shared" si="0"/>
        <v>10</v>
      </c>
      <c r="GA40" s="76"/>
      <c r="GB40" s="76"/>
      <c r="GC40" s="76"/>
      <c r="GD40" s="76"/>
      <c r="GE40" s="76"/>
      <c r="GF40" s="76"/>
      <c r="GG40" s="76"/>
      <c r="GH40" s="76"/>
      <c r="GI40" s="76"/>
      <c r="GJ40" s="76">
        <f t="shared" si="1"/>
        <v>10</v>
      </c>
      <c r="GK40" s="76">
        <f t="shared" si="2"/>
        <v>0</v>
      </c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</row>
    <row r="41" spans="1:212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FY41" s="77" t="s">
        <v>148</v>
      </c>
      <c r="FZ41" s="76">
        <f t="shared" si="0"/>
        <v>11</v>
      </c>
      <c r="GA41" s="76"/>
      <c r="GB41" s="76"/>
      <c r="GC41" s="76"/>
      <c r="GD41" s="76"/>
      <c r="GE41" s="76"/>
      <c r="GF41" s="76"/>
      <c r="GG41" s="76"/>
      <c r="GH41" s="76"/>
      <c r="GI41" s="76"/>
      <c r="GJ41" s="76">
        <f t="shared" si="1"/>
        <v>11</v>
      </c>
      <c r="GK41" s="76">
        <f t="shared" si="2"/>
        <v>0</v>
      </c>
      <c r="GL41" s="76"/>
      <c r="GM41" s="76"/>
      <c r="GN41" s="76"/>
      <c r="GO41" s="76"/>
      <c r="GP41" s="76">
        <v>1</v>
      </c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</row>
    <row r="42" spans="1:212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FY42" s="77" t="s">
        <v>149</v>
      </c>
      <c r="FZ42" s="76">
        <f t="shared" si="0"/>
        <v>12</v>
      </c>
      <c r="GA42" s="76"/>
      <c r="GB42" s="76"/>
      <c r="GC42" s="76"/>
      <c r="GD42" s="76"/>
      <c r="GE42" s="76"/>
      <c r="GF42" s="76"/>
      <c r="GG42" s="76"/>
      <c r="GH42" s="76"/>
      <c r="GI42" s="76"/>
      <c r="GJ42" s="76">
        <f t="shared" si="1"/>
        <v>12</v>
      </c>
      <c r="GK42" s="76">
        <f t="shared" si="2"/>
        <v>0</v>
      </c>
      <c r="GL42" s="76"/>
      <c r="GM42" s="76"/>
      <c r="GN42" s="76"/>
      <c r="GO42" s="76">
        <v>1</v>
      </c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</row>
    <row r="43" spans="1:212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FY43" s="77" t="s">
        <v>150</v>
      </c>
      <c r="FZ43" s="76">
        <f t="shared" si="0"/>
        <v>13</v>
      </c>
      <c r="GA43" s="76"/>
      <c r="GB43" s="76"/>
      <c r="GC43" s="76"/>
      <c r="GD43" s="76"/>
      <c r="GE43" s="76"/>
      <c r="GF43" s="76"/>
      <c r="GG43" s="76"/>
      <c r="GH43" s="76"/>
      <c r="GI43" s="76"/>
      <c r="GJ43" s="76">
        <f t="shared" si="1"/>
        <v>13</v>
      </c>
      <c r="GK43" s="76">
        <f t="shared" si="2"/>
        <v>0</v>
      </c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</row>
    <row r="44" spans="1:212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FY44" s="77" t="s">
        <v>151</v>
      </c>
      <c r="FZ44" s="76">
        <f t="shared" si="0"/>
        <v>14</v>
      </c>
      <c r="GA44" s="76"/>
      <c r="GB44" s="76"/>
      <c r="GC44" s="76"/>
      <c r="GD44" s="76"/>
      <c r="GE44" s="76"/>
      <c r="GF44" s="76"/>
      <c r="GG44" s="76"/>
      <c r="GH44" s="76"/>
      <c r="GI44" s="76"/>
      <c r="GJ44" s="76">
        <f t="shared" si="1"/>
        <v>14</v>
      </c>
      <c r="GK44" s="76">
        <f t="shared" si="2"/>
        <v>0</v>
      </c>
      <c r="GL44" s="76"/>
      <c r="GM44" s="76"/>
      <c r="GN44" s="76">
        <v>1</v>
      </c>
      <c r="GO44" s="76"/>
      <c r="GP44" s="76">
        <v>1</v>
      </c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</row>
    <row r="45" spans="1:212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FY45" s="77" t="s">
        <v>152</v>
      </c>
      <c r="FZ45" s="76">
        <f t="shared" si="0"/>
        <v>15</v>
      </c>
      <c r="GA45" s="76"/>
      <c r="GB45" s="76"/>
      <c r="GC45" s="76"/>
      <c r="GD45" s="76"/>
      <c r="GE45" s="76"/>
      <c r="GF45" s="76"/>
      <c r="GG45" s="76"/>
      <c r="GH45" s="76"/>
      <c r="GI45" s="76"/>
      <c r="GJ45" s="76">
        <f t="shared" si="1"/>
        <v>15</v>
      </c>
      <c r="GK45" s="76">
        <f t="shared" si="2"/>
        <v>0</v>
      </c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</row>
    <row r="46" spans="1:212" ht="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FY46" s="77" t="s">
        <v>153</v>
      </c>
      <c r="FZ46" s="76">
        <f t="shared" si="0"/>
        <v>16</v>
      </c>
      <c r="GA46" s="76"/>
      <c r="GB46" s="76"/>
      <c r="GC46" s="76"/>
      <c r="GD46" s="76"/>
      <c r="GE46" s="76"/>
      <c r="GF46" s="76"/>
      <c r="GG46" s="76"/>
      <c r="GH46" s="76"/>
      <c r="GI46" s="76"/>
      <c r="GJ46" s="76">
        <f t="shared" si="1"/>
        <v>16</v>
      </c>
      <c r="GK46" s="76">
        <f t="shared" si="2"/>
        <v>0</v>
      </c>
      <c r="GL46" s="76"/>
      <c r="GM46" s="76"/>
      <c r="GN46" s="76"/>
      <c r="GO46" s="76">
        <v>1</v>
      </c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</row>
    <row r="47" spans="1:212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FY47" s="77" t="s">
        <v>154</v>
      </c>
      <c r="FZ47" s="76">
        <f t="shared" si="0"/>
        <v>17</v>
      </c>
      <c r="GA47" s="76"/>
      <c r="GB47" s="76"/>
      <c r="GC47" s="76"/>
      <c r="GD47" s="76"/>
      <c r="GE47" s="76"/>
      <c r="GF47" s="76"/>
      <c r="GG47" s="76"/>
      <c r="GH47" s="76"/>
      <c r="GI47" s="76"/>
      <c r="GJ47" s="76">
        <f t="shared" si="1"/>
        <v>17</v>
      </c>
      <c r="GK47" s="76">
        <f t="shared" si="2"/>
        <v>0</v>
      </c>
      <c r="GL47" s="76"/>
      <c r="GM47" s="76"/>
      <c r="GN47" s="76"/>
      <c r="GO47" s="76"/>
      <c r="GP47" s="76">
        <v>1</v>
      </c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</row>
    <row r="48" spans="1:212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FY48" s="77" t="s">
        <v>155</v>
      </c>
      <c r="FZ48" s="76">
        <f t="shared" si="0"/>
        <v>18</v>
      </c>
      <c r="GA48" s="76"/>
      <c r="GB48" s="76"/>
      <c r="GC48" s="76"/>
      <c r="GD48" s="76"/>
      <c r="GE48" s="76"/>
      <c r="GF48" s="76"/>
      <c r="GG48" s="76"/>
      <c r="GH48" s="76"/>
      <c r="GI48" s="76"/>
      <c r="GJ48" s="76">
        <f t="shared" si="1"/>
        <v>18</v>
      </c>
      <c r="GK48" s="76">
        <f t="shared" si="2"/>
        <v>0</v>
      </c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</row>
    <row r="49" spans="1:212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FY49" s="77" t="s">
        <v>156</v>
      </c>
      <c r="FZ49" s="76">
        <f t="shared" si="0"/>
        <v>19</v>
      </c>
      <c r="GA49" s="76"/>
      <c r="GB49" s="76"/>
      <c r="GC49" s="76"/>
      <c r="GD49" s="76"/>
      <c r="GE49" s="76"/>
      <c r="GF49" s="76"/>
      <c r="GG49" s="76"/>
      <c r="GH49" s="76"/>
      <c r="GI49" s="76"/>
      <c r="GJ49" s="76">
        <f t="shared" si="1"/>
        <v>19</v>
      </c>
      <c r="GK49" s="76">
        <f t="shared" si="2"/>
        <v>0</v>
      </c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</row>
    <row r="50" spans="1:212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FY50" s="77" t="s">
        <v>157</v>
      </c>
      <c r="FZ50" s="76">
        <f t="shared" si="0"/>
        <v>20</v>
      </c>
      <c r="GA50" s="76"/>
      <c r="GB50" s="76"/>
      <c r="GC50" s="76"/>
      <c r="GD50" s="76"/>
      <c r="GE50" s="76"/>
      <c r="GF50" s="76"/>
      <c r="GG50" s="76"/>
      <c r="GH50" s="76"/>
      <c r="GI50" s="76"/>
      <c r="GJ50" s="76">
        <f t="shared" si="1"/>
        <v>20</v>
      </c>
      <c r="GK50" s="76">
        <f t="shared" si="2"/>
        <v>1</v>
      </c>
      <c r="GL50" s="76"/>
      <c r="GM50" s="76">
        <v>1</v>
      </c>
      <c r="GN50" s="76">
        <v>1</v>
      </c>
      <c r="GO50" s="76">
        <v>1</v>
      </c>
      <c r="GP50" s="76">
        <v>1</v>
      </c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</row>
    <row r="51" spans="1:212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FY51" s="77" t="s">
        <v>158</v>
      </c>
      <c r="FZ51" s="76">
        <f t="shared" si="0"/>
        <v>21</v>
      </c>
      <c r="GA51" s="76"/>
      <c r="GB51" s="76"/>
      <c r="GC51" s="76"/>
      <c r="GD51" s="76"/>
      <c r="GE51" s="76"/>
      <c r="GF51" s="76"/>
      <c r="GG51" s="76"/>
      <c r="GH51" s="76"/>
      <c r="GI51" s="76"/>
      <c r="GJ51" s="76">
        <f t="shared" si="1"/>
        <v>21</v>
      </c>
      <c r="GK51" s="76">
        <f t="shared" si="2"/>
        <v>0</v>
      </c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</row>
    <row r="52" spans="1:212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FY52" s="77" t="s">
        <v>159</v>
      </c>
      <c r="FZ52" s="76">
        <f t="shared" si="0"/>
        <v>22</v>
      </c>
      <c r="GA52" s="76"/>
      <c r="GB52" s="76"/>
      <c r="GC52" s="76"/>
      <c r="GD52" s="76"/>
      <c r="GE52" s="76"/>
      <c r="GF52" s="76"/>
      <c r="GG52" s="76"/>
      <c r="GH52" s="76"/>
      <c r="GI52" s="76"/>
      <c r="GJ52" s="76">
        <f t="shared" si="1"/>
        <v>22</v>
      </c>
      <c r="GK52" s="76">
        <f t="shared" si="2"/>
        <v>0</v>
      </c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</row>
    <row r="53" spans="1:212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FY53" s="77" t="s">
        <v>160</v>
      </c>
      <c r="FZ53" s="76">
        <f t="shared" si="0"/>
        <v>23</v>
      </c>
      <c r="GA53" s="76"/>
      <c r="GB53" s="76"/>
      <c r="GC53" s="76"/>
      <c r="GD53" s="76"/>
      <c r="GE53" s="76"/>
      <c r="GF53" s="76"/>
      <c r="GG53" s="76"/>
      <c r="GH53" s="76"/>
      <c r="GI53" s="76"/>
      <c r="GJ53" s="76">
        <f t="shared" si="1"/>
        <v>23</v>
      </c>
      <c r="GK53" s="76">
        <f t="shared" si="2"/>
        <v>0</v>
      </c>
      <c r="GL53" s="76"/>
      <c r="GM53" s="76"/>
      <c r="GN53" s="76"/>
      <c r="GO53" s="76"/>
      <c r="GP53" s="76">
        <v>1</v>
      </c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</row>
    <row r="54" spans="1:212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FY54" s="77" t="s">
        <v>161</v>
      </c>
      <c r="FZ54" s="76">
        <f t="shared" si="0"/>
        <v>24</v>
      </c>
      <c r="GA54" s="76"/>
      <c r="GB54" s="76"/>
      <c r="GC54" s="76"/>
      <c r="GD54" s="76"/>
      <c r="GE54" s="76"/>
      <c r="GF54" s="76"/>
      <c r="GG54" s="76"/>
      <c r="GH54" s="76"/>
      <c r="GI54" s="76"/>
      <c r="GJ54" s="76">
        <f t="shared" si="1"/>
        <v>24</v>
      </c>
      <c r="GK54" s="76">
        <f t="shared" si="2"/>
        <v>0</v>
      </c>
      <c r="GL54" s="76"/>
      <c r="GM54" s="76"/>
      <c r="GN54" s="76"/>
      <c r="GO54" s="76">
        <v>1</v>
      </c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</row>
    <row r="55" spans="1:212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FY55" s="77" t="s">
        <v>162</v>
      </c>
      <c r="FZ55" s="76">
        <f t="shared" si="0"/>
        <v>25</v>
      </c>
      <c r="GA55" s="76"/>
      <c r="GB55" s="76"/>
      <c r="GC55" s="76"/>
      <c r="GD55" s="76"/>
      <c r="GE55" s="76"/>
      <c r="GF55" s="76"/>
      <c r="GG55" s="76"/>
      <c r="GH55" s="76"/>
      <c r="GI55" s="76"/>
      <c r="GJ55" s="76">
        <f t="shared" si="1"/>
        <v>25</v>
      </c>
      <c r="GK55" s="76">
        <f t="shared" si="2"/>
        <v>0</v>
      </c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</row>
    <row r="56" spans="1:212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FY56" s="77" t="s">
        <v>163</v>
      </c>
      <c r="FZ56" s="76">
        <f t="shared" si="0"/>
        <v>26</v>
      </c>
      <c r="GA56" s="76"/>
      <c r="GB56" s="76"/>
      <c r="GC56" s="76"/>
      <c r="GD56" s="76"/>
      <c r="GE56" s="76"/>
      <c r="GF56" s="76"/>
      <c r="GG56" s="76"/>
      <c r="GH56" s="76"/>
      <c r="GI56" s="76"/>
      <c r="GJ56" s="76">
        <f t="shared" si="1"/>
        <v>26</v>
      </c>
      <c r="GK56" s="76">
        <f t="shared" si="2"/>
        <v>0</v>
      </c>
      <c r="GL56" s="76"/>
      <c r="GM56" s="76"/>
      <c r="GN56" s="76">
        <v>1</v>
      </c>
      <c r="GO56" s="76"/>
      <c r="GP56" s="76">
        <v>1</v>
      </c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</row>
    <row r="57" spans="1:212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FY57" s="77" t="s">
        <v>164</v>
      </c>
      <c r="FZ57" s="76">
        <f t="shared" si="0"/>
        <v>27</v>
      </c>
      <c r="GA57" s="76"/>
      <c r="GB57" s="76"/>
      <c r="GC57" s="76"/>
      <c r="GD57" s="76"/>
      <c r="GE57" s="76"/>
      <c r="GF57" s="76"/>
      <c r="GG57" s="76"/>
      <c r="GH57" s="76"/>
      <c r="GI57" s="76"/>
      <c r="GJ57" s="76">
        <f t="shared" si="1"/>
        <v>27</v>
      </c>
      <c r="GK57" s="76">
        <f t="shared" si="2"/>
        <v>0</v>
      </c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</row>
    <row r="58" spans="1:212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FY58" s="77" t="s">
        <v>165</v>
      </c>
      <c r="FZ58" s="76">
        <f t="shared" si="0"/>
        <v>28</v>
      </c>
      <c r="GA58" s="76"/>
      <c r="GB58" s="76"/>
      <c r="GC58" s="76"/>
      <c r="GD58" s="76"/>
      <c r="GE58" s="76"/>
      <c r="GF58" s="76"/>
      <c r="GG58" s="76"/>
      <c r="GH58" s="76"/>
      <c r="GI58" s="76"/>
      <c r="GJ58" s="76">
        <f t="shared" si="1"/>
        <v>28</v>
      </c>
      <c r="GK58" s="76">
        <f t="shared" si="2"/>
        <v>0</v>
      </c>
      <c r="GL58" s="76"/>
      <c r="GM58" s="76"/>
      <c r="GN58" s="76"/>
      <c r="GO58" s="76">
        <v>1</v>
      </c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</row>
    <row r="59" spans="1:212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FY59" s="77" t="s">
        <v>166</v>
      </c>
      <c r="FZ59" s="76">
        <f t="shared" si="0"/>
        <v>29</v>
      </c>
      <c r="GA59" s="76"/>
      <c r="GB59" s="76"/>
      <c r="GC59" s="76"/>
      <c r="GD59" s="76"/>
      <c r="GE59" s="76"/>
      <c r="GF59" s="76"/>
      <c r="GG59" s="76"/>
      <c r="GH59" s="76"/>
      <c r="GI59" s="76"/>
      <c r="GJ59" s="76">
        <f t="shared" si="1"/>
        <v>29</v>
      </c>
      <c r="GK59" s="76">
        <f t="shared" si="2"/>
        <v>0</v>
      </c>
      <c r="GL59" s="76"/>
      <c r="GM59" s="76"/>
      <c r="GN59" s="76"/>
      <c r="GO59" s="76"/>
      <c r="GP59" s="76">
        <v>1</v>
      </c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</row>
    <row r="60" spans="1:212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FY60" s="77" t="s">
        <v>167</v>
      </c>
      <c r="FZ60" s="76">
        <f t="shared" si="0"/>
        <v>30</v>
      </c>
      <c r="GA60" s="76"/>
      <c r="GB60" s="76"/>
      <c r="GC60" s="76"/>
      <c r="GD60" s="76"/>
      <c r="GE60" s="76"/>
      <c r="GF60" s="76"/>
      <c r="GG60" s="76"/>
      <c r="GH60" s="76"/>
      <c r="GI60" s="76"/>
      <c r="GJ60" s="76">
        <f t="shared" si="1"/>
        <v>30</v>
      </c>
      <c r="GK60" s="76">
        <f t="shared" si="2"/>
        <v>0</v>
      </c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</row>
    <row r="61" spans="1:212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FY61" s="77" t="s">
        <v>168</v>
      </c>
      <c r="FZ61" s="76">
        <f t="shared" si="0"/>
        <v>31</v>
      </c>
      <c r="GA61" s="76"/>
      <c r="GB61" s="76"/>
      <c r="GC61" s="76"/>
      <c r="GD61" s="76"/>
      <c r="GE61" s="76"/>
      <c r="GF61" s="76"/>
      <c r="GG61" s="76"/>
      <c r="GH61" s="76"/>
      <c r="GI61" s="76"/>
      <c r="GJ61" s="76">
        <f t="shared" si="1"/>
        <v>31</v>
      </c>
      <c r="GK61" s="76">
        <f t="shared" si="2"/>
        <v>0</v>
      </c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</row>
    <row r="62" spans="1:212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FY62" s="77" t="s">
        <v>169</v>
      </c>
      <c r="FZ62" s="76">
        <f t="shared" si="0"/>
        <v>32</v>
      </c>
      <c r="GA62" s="76"/>
      <c r="GB62" s="76"/>
      <c r="GC62" s="76"/>
      <c r="GD62" s="76"/>
      <c r="GE62" s="76"/>
      <c r="GF62" s="76"/>
      <c r="GG62" s="76"/>
      <c r="GH62" s="76"/>
      <c r="GI62" s="76"/>
      <c r="GJ62" s="76">
        <f t="shared" si="1"/>
        <v>32</v>
      </c>
      <c r="GK62" s="76">
        <f t="shared" si="2"/>
        <v>1</v>
      </c>
      <c r="GL62" s="76"/>
      <c r="GM62" s="76">
        <v>1</v>
      </c>
      <c r="GN62" s="76">
        <v>1</v>
      </c>
      <c r="GO62" s="76">
        <v>1</v>
      </c>
      <c r="GP62" s="76">
        <v>1</v>
      </c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</row>
    <row r="63" spans="1:212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FY63" s="77" t="s">
        <v>170</v>
      </c>
      <c r="FZ63" s="76">
        <f t="shared" si="0"/>
        <v>33</v>
      </c>
      <c r="GA63" s="76"/>
      <c r="GB63" s="76"/>
      <c r="GC63" s="76"/>
      <c r="GD63" s="76"/>
      <c r="GE63" s="76"/>
      <c r="GF63" s="76"/>
      <c r="GG63" s="76"/>
      <c r="GH63" s="76"/>
      <c r="GI63" s="76"/>
      <c r="GJ63" s="76">
        <f t="shared" si="1"/>
        <v>33</v>
      </c>
      <c r="GK63" s="76">
        <f t="shared" si="2"/>
        <v>0</v>
      </c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</row>
    <row r="64" spans="1:212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FY64" s="77" t="s">
        <v>171</v>
      </c>
      <c r="FZ64" s="76">
        <f t="shared" si="0"/>
        <v>34</v>
      </c>
      <c r="GA64" s="76"/>
      <c r="GB64" s="76"/>
      <c r="GC64" s="76"/>
      <c r="GD64" s="76"/>
      <c r="GE64" s="76"/>
      <c r="GF64" s="76"/>
      <c r="GG64" s="76"/>
      <c r="GH64" s="76"/>
      <c r="GI64" s="76"/>
      <c r="GJ64" s="76">
        <f t="shared" si="1"/>
        <v>34</v>
      </c>
      <c r="GK64" s="76">
        <f t="shared" si="2"/>
        <v>0</v>
      </c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</row>
    <row r="65" spans="1:212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FY65" s="77" t="s">
        <v>172</v>
      </c>
      <c r="FZ65" s="76">
        <f t="shared" si="0"/>
        <v>35</v>
      </c>
      <c r="GA65" s="76"/>
      <c r="GB65" s="76"/>
      <c r="GC65" s="76"/>
      <c r="GD65" s="76"/>
      <c r="GE65" s="76"/>
      <c r="GF65" s="76"/>
      <c r="GG65" s="76"/>
      <c r="GH65" s="76"/>
      <c r="GI65" s="76"/>
      <c r="GJ65" s="76">
        <f t="shared" si="1"/>
        <v>35</v>
      </c>
      <c r="GK65" s="76">
        <f t="shared" si="2"/>
        <v>0</v>
      </c>
      <c r="GL65" s="76"/>
      <c r="GM65" s="76"/>
      <c r="GN65" s="76"/>
      <c r="GO65" s="76"/>
      <c r="GP65" s="76">
        <v>1</v>
      </c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</row>
    <row r="66" spans="1:212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FY66" s="77" t="s">
        <v>173</v>
      </c>
      <c r="FZ66" s="76">
        <f t="shared" si="0"/>
        <v>36</v>
      </c>
      <c r="GA66" s="76"/>
      <c r="GB66" s="76"/>
      <c r="GC66" s="76"/>
      <c r="GD66" s="76"/>
      <c r="GE66" s="76"/>
      <c r="GF66" s="76"/>
      <c r="GG66" s="76"/>
      <c r="GH66" s="76"/>
      <c r="GI66" s="76"/>
      <c r="GJ66" s="76">
        <f t="shared" si="1"/>
        <v>36</v>
      </c>
      <c r="GK66" s="76">
        <f t="shared" si="2"/>
        <v>0</v>
      </c>
      <c r="GL66" s="76"/>
      <c r="GM66" s="76"/>
      <c r="GN66" s="76"/>
      <c r="GO66" s="76">
        <v>1</v>
      </c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</row>
    <row r="67" spans="1:212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FY67" s="77" t="s">
        <v>174</v>
      </c>
      <c r="FZ67" s="76">
        <f t="shared" si="0"/>
        <v>37</v>
      </c>
      <c r="GA67" s="76"/>
      <c r="GB67" s="76"/>
      <c r="GC67" s="76"/>
      <c r="GD67" s="76"/>
      <c r="GE67" s="76"/>
      <c r="GF67" s="76"/>
      <c r="GG67" s="76"/>
      <c r="GH67" s="76"/>
      <c r="GI67" s="76"/>
      <c r="GJ67" s="76">
        <f t="shared" si="1"/>
        <v>37</v>
      </c>
      <c r="GK67" s="76">
        <f t="shared" si="2"/>
        <v>0</v>
      </c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</row>
    <row r="68" spans="1:212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FY68" s="77" t="s">
        <v>175</v>
      </c>
      <c r="FZ68" s="76">
        <f aca="true" t="shared" si="15" ref="FZ68:FZ121">1+FZ67</f>
        <v>38</v>
      </c>
      <c r="GA68" s="76"/>
      <c r="GB68" s="76"/>
      <c r="GC68" s="76"/>
      <c r="GD68" s="76"/>
      <c r="GE68" s="76"/>
      <c r="GF68" s="76"/>
      <c r="GG68" s="76"/>
      <c r="GH68" s="76"/>
      <c r="GI68" s="76"/>
      <c r="GJ68" s="76">
        <f aca="true" t="shared" si="16" ref="GJ68:GJ131">+GJ67+1</f>
        <v>38</v>
      </c>
      <c r="GK68" s="76">
        <f t="shared" si="2"/>
        <v>0</v>
      </c>
      <c r="GL68" s="76"/>
      <c r="GM68" s="76"/>
      <c r="GN68" s="76">
        <v>1</v>
      </c>
      <c r="GO68" s="76"/>
      <c r="GP68" s="76">
        <v>1</v>
      </c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</row>
    <row r="69" spans="1:212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FY69" s="77" t="s">
        <v>176</v>
      </c>
      <c r="FZ69" s="76">
        <f t="shared" si="15"/>
        <v>39</v>
      </c>
      <c r="GA69" s="76"/>
      <c r="GB69" s="76"/>
      <c r="GC69" s="76"/>
      <c r="GD69" s="76"/>
      <c r="GE69" s="76"/>
      <c r="GF69" s="76"/>
      <c r="GG69" s="76"/>
      <c r="GH69" s="76"/>
      <c r="GI69" s="76"/>
      <c r="GJ69" s="76">
        <f t="shared" si="16"/>
        <v>39</v>
      </c>
      <c r="GK69" s="76">
        <f aca="true" t="shared" si="17" ref="GK69:GK132">+IF($C$8=$GM$1,GM69,IF($C$8=$GN$1,GN69,IF($C$8=$GO$1,GO69,IF($C$8=$GP$1,GP69,0))))</f>
        <v>0</v>
      </c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</row>
    <row r="70" spans="1:212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FY70" s="77" t="s">
        <v>177</v>
      </c>
      <c r="FZ70" s="76">
        <f t="shared" si="15"/>
        <v>40</v>
      </c>
      <c r="GA70" s="76"/>
      <c r="GB70" s="76"/>
      <c r="GC70" s="76"/>
      <c r="GD70" s="76"/>
      <c r="GE70" s="76"/>
      <c r="GF70" s="76"/>
      <c r="GG70" s="76"/>
      <c r="GH70" s="76"/>
      <c r="GI70" s="76"/>
      <c r="GJ70" s="76">
        <f t="shared" si="16"/>
        <v>40</v>
      </c>
      <c r="GK70" s="76">
        <f t="shared" si="17"/>
        <v>0</v>
      </c>
      <c r="GL70" s="76"/>
      <c r="GM70" s="76"/>
      <c r="GN70" s="76"/>
      <c r="GO70" s="76">
        <v>1</v>
      </c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</row>
    <row r="71" spans="1:212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FY71" s="77" t="s">
        <v>178</v>
      </c>
      <c r="FZ71" s="76">
        <f t="shared" si="15"/>
        <v>41</v>
      </c>
      <c r="GA71" s="76"/>
      <c r="GB71" s="76"/>
      <c r="GC71" s="76"/>
      <c r="GD71" s="76"/>
      <c r="GE71" s="76"/>
      <c r="GF71" s="76"/>
      <c r="GG71" s="76"/>
      <c r="GH71" s="76"/>
      <c r="GI71" s="76"/>
      <c r="GJ71" s="76">
        <f t="shared" si="16"/>
        <v>41</v>
      </c>
      <c r="GK71" s="76">
        <f t="shared" si="17"/>
        <v>0</v>
      </c>
      <c r="GL71" s="76"/>
      <c r="GM71" s="76"/>
      <c r="GN71" s="76"/>
      <c r="GO71" s="76"/>
      <c r="GP71" s="76">
        <v>1</v>
      </c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</row>
    <row r="72" spans="1:212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FY72" s="77" t="s">
        <v>179</v>
      </c>
      <c r="FZ72" s="76">
        <f t="shared" si="15"/>
        <v>42</v>
      </c>
      <c r="GA72" s="76"/>
      <c r="GB72" s="76"/>
      <c r="GC72" s="76"/>
      <c r="GD72" s="76"/>
      <c r="GE72" s="76"/>
      <c r="GF72" s="76"/>
      <c r="GG72" s="76"/>
      <c r="GH72" s="76"/>
      <c r="GI72" s="76"/>
      <c r="GJ72" s="76">
        <f t="shared" si="16"/>
        <v>42</v>
      </c>
      <c r="GK72" s="76">
        <f t="shared" si="17"/>
        <v>0</v>
      </c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</row>
    <row r="73" spans="1:212" ht="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FY73" s="77" t="s">
        <v>180</v>
      </c>
      <c r="FZ73" s="76">
        <f t="shared" si="15"/>
        <v>43</v>
      </c>
      <c r="GA73" s="76"/>
      <c r="GB73" s="76"/>
      <c r="GC73" s="76"/>
      <c r="GD73" s="76"/>
      <c r="GE73" s="76"/>
      <c r="GF73" s="76"/>
      <c r="GG73" s="76"/>
      <c r="GH73" s="76"/>
      <c r="GI73" s="76"/>
      <c r="GJ73" s="76">
        <f t="shared" si="16"/>
        <v>43</v>
      </c>
      <c r="GK73" s="76">
        <f t="shared" si="17"/>
        <v>0</v>
      </c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</row>
    <row r="74" spans="1:212" ht="1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FY74" s="77" t="s">
        <v>181</v>
      </c>
      <c r="FZ74" s="76">
        <f t="shared" si="15"/>
        <v>44</v>
      </c>
      <c r="GA74" s="76"/>
      <c r="GB74" s="76"/>
      <c r="GC74" s="76"/>
      <c r="GD74" s="76"/>
      <c r="GE74" s="76"/>
      <c r="GF74" s="76"/>
      <c r="GG74" s="76"/>
      <c r="GH74" s="76"/>
      <c r="GI74" s="76"/>
      <c r="GJ74" s="76">
        <f t="shared" si="16"/>
        <v>44</v>
      </c>
      <c r="GK74" s="76">
        <f t="shared" si="17"/>
        <v>1</v>
      </c>
      <c r="GL74" s="76"/>
      <c r="GM74" s="76">
        <v>1</v>
      </c>
      <c r="GN74" s="76">
        <v>1</v>
      </c>
      <c r="GO74" s="76">
        <v>1</v>
      </c>
      <c r="GP74" s="76">
        <v>1</v>
      </c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</row>
    <row r="75" spans="1:212" ht="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FY75" s="77" t="s">
        <v>182</v>
      </c>
      <c r="FZ75" s="76">
        <f t="shared" si="15"/>
        <v>45</v>
      </c>
      <c r="GA75" s="76"/>
      <c r="GB75" s="76"/>
      <c r="GC75" s="76"/>
      <c r="GD75" s="76"/>
      <c r="GE75" s="76"/>
      <c r="GF75" s="76"/>
      <c r="GG75" s="76"/>
      <c r="GH75" s="76"/>
      <c r="GI75" s="76"/>
      <c r="GJ75" s="76">
        <f t="shared" si="16"/>
        <v>45</v>
      </c>
      <c r="GK75" s="76">
        <f t="shared" si="17"/>
        <v>0</v>
      </c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</row>
    <row r="76" spans="1:212" ht="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FY76" s="77" t="s">
        <v>183</v>
      </c>
      <c r="FZ76" s="76">
        <f t="shared" si="15"/>
        <v>46</v>
      </c>
      <c r="GA76" s="76"/>
      <c r="GB76" s="76"/>
      <c r="GC76" s="76"/>
      <c r="GD76" s="76"/>
      <c r="GE76" s="76"/>
      <c r="GF76" s="76"/>
      <c r="GG76" s="76"/>
      <c r="GH76" s="76"/>
      <c r="GI76" s="76"/>
      <c r="GJ76" s="76">
        <f t="shared" si="16"/>
        <v>46</v>
      </c>
      <c r="GK76" s="76">
        <f t="shared" si="17"/>
        <v>0</v>
      </c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</row>
    <row r="77" spans="1:212" ht="1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FY77" s="77" t="s">
        <v>184</v>
      </c>
      <c r="FZ77" s="76">
        <f t="shared" si="15"/>
        <v>47</v>
      </c>
      <c r="GA77" s="76"/>
      <c r="GB77" s="76"/>
      <c r="GC77" s="76"/>
      <c r="GD77" s="76"/>
      <c r="GE77" s="76"/>
      <c r="GF77" s="76"/>
      <c r="GG77" s="76"/>
      <c r="GH77" s="76"/>
      <c r="GI77" s="76"/>
      <c r="GJ77" s="76">
        <f t="shared" si="16"/>
        <v>47</v>
      </c>
      <c r="GK77" s="76">
        <f t="shared" si="17"/>
        <v>0</v>
      </c>
      <c r="GL77" s="76"/>
      <c r="GM77" s="76"/>
      <c r="GN77" s="76"/>
      <c r="GO77" s="76"/>
      <c r="GP77" s="76">
        <v>1</v>
      </c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</row>
    <row r="78" spans="1:212" ht="1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FY78" s="77" t="s">
        <v>185</v>
      </c>
      <c r="FZ78" s="76">
        <f t="shared" si="15"/>
        <v>48</v>
      </c>
      <c r="GA78" s="76"/>
      <c r="GB78" s="76"/>
      <c r="GC78" s="76"/>
      <c r="GD78" s="76"/>
      <c r="GE78" s="76"/>
      <c r="GF78" s="76"/>
      <c r="GG78" s="76"/>
      <c r="GH78" s="76"/>
      <c r="GI78" s="76"/>
      <c r="GJ78" s="76">
        <f t="shared" si="16"/>
        <v>48</v>
      </c>
      <c r="GK78" s="76">
        <f t="shared" si="17"/>
        <v>0</v>
      </c>
      <c r="GL78" s="76"/>
      <c r="GM78" s="76"/>
      <c r="GN78" s="76"/>
      <c r="GO78" s="76">
        <v>1</v>
      </c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</row>
    <row r="79" spans="1:212" ht="1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FY79" s="77" t="s">
        <v>186</v>
      </c>
      <c r="FZ79" s="76">
        <f t="shared" si="15"/>
        <v>49</v>
      </c>
      <c r="GA79" s="76"/>
      <c r="GB79" s="76"/>
      <c r="GC79" s="76"/>
      <c r="GD79" s="76"/>
      <c r="GE79" s="76"/>
      <c r="GF79" s="76"/>
      <c r="GG79" s="76"/>
      <c r="GH79" s="76"/>
      <c r="GI79" s="76"/>
      <c r="GJ79" s="76">
        <f t="shared" si="16"/>
        <v>49</v>
      </c>
      <c r="GK79" s="76">
        <f t="shared" si="17"/>
        <v>0</v>
      </c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</row>
    <row r="80" spans="1:212" ht="1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FY80" s="77" t="s">
        <v>187</v>
      </c>
      <c r="FZ80" s="76">
        <f t="shared" si="15"/>
        <v>50</v>
      </c>
      <c r="GA80" s="76"/>
      <c r="GB80" s="76"/>
      <c r="GC80" s="76"/>
      <c r="GD80" s="76"/>
      <c r="GE80" s="76"/>
      <c r="GF80" s="76"/>
      <c r="GG80" s="76"/>
      <c r="GH80" s="76"/>
      <c r="GI80" s="76"/>
      <c r="GJ80" s="76">
        <f t="shared" si="16"/>
        <v>50</v>
      </c>
      <c r="GK80" s="76">
        <f t="shared" si="17"/>
        <v>0</v>
      </c>
      <c r="GL80" s="76"/>
      <c r="GM80" s="76"/>
      <c r="GN80" s="76">
        <v>1</v>
      </c>
      <c r="GO80" s="76"/>
      <c r="GP80" s="76">
        <v>1</v>
      </c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</row>
    <row r="81" spans="1:212" ht="1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FY81" s="77" t="s">
        <v>188</v>
      </c>
      <c r="FZ81" s="76">
        <f t="shared" si="15"/>
        <v>51</v>
      </c>
      <c r="GA81" s="76"/>
      <c r="GB81" s="76"/>
      <c r="GC81" s="76"/>
      <c r="GD81" s="76"/>
      <c r="GE81" s="76"/>
      <c r="GF81" s="76"/>
      <c r="GG81" s="76"/>
      <c r="GH81" s="76"/>
      <c r="GI81" s="76"/>
      <c r="GJ81" s="76">
        <f t="shared" si="16"/>
        <v>51</v>
      </c>
      <c r="GK81" s="76">
        <f t="shared" si="17"/>
        <v>0</v>
      </c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</row>
    <row r="82" spans="1:212" ht="1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FY82" s="77" t="s">
        <v>189</v>
      </c>
      <c r="FZ82" s="76">
        <f t="shared" si="15"/>
        <v>52</v>
      </c>
      <c r="GA82" s="76"/>
      <c r="GB82" s="76"/>
      <c r="GC82" s="76"/>
      <c r="GD82" s="76"/>
      <c r="GE82" s="76"/>
      <c r="GF82" s="76"/>
      <c r="GG82" s="76"/>
      <c r="GH82" s="76"/>
      <c r="GI82" s="76"/>
      <c r="GJ82" s="76">
        <f t="shared" si="16"/>
        <v>52</v>
      </c>
      <c r="GK82" s="76">
        <f t="shared" si="17"/>
        <v>0</v>
      </c>
      <c r="GL82" s="76"/>
      <c r="GM82" s="76"/>
      <c r="GN82" s="76"/>
      <c r="GO82" s="76">
        <v>1</v>
      </c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</row>
    <row r="83" spans="1:212" ht="1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FY83" s="77" t="s">
        <v>190</v>
      </c>
      <c r="FZ83" s="76">
        <f t="shared" si="15"/>
        <v>53</v>
      </c>
      <c r="GA83" s="76"/>
      <c r="GB83" s="76"/>
      <c r="GC83" s="76"/>
      <c r="GD83" s="76"/>
      <c r="GE83" s="76"/>
      <c r="GF83" s="76"/>
      <c r="GG83" s="76"/>
      <c r="GH83" s="76"/>
      <c r="GI83" s="76"/>
      <c r="GJ83" s="76">
        <f t="shared" si="16"/>
        <v>53</v>
      </c>
      <c r="GK83" s="76">
        <f t="shared" si="17"/>
        <v>0</v>
      </c>
      <c r="GL83" s="76"/>
      <c r="GM83" s="76"/>
      <c r="GN83" s="76"/>
      <c r="GO83" s="76"/>
      <c r="GP83" s="76">
        <v>1</v>
      </c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</row>
    <row r="84" spans="1:212" ht="1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FY84" s="77" t="s">
        <v>191</v>
      </c>
      <c r="FZ84" s="76">
        <f t="shared" si="15"/>
        <v>54</v>
      </c>
      <c r="GA84" s="76"/>
      <c r="GB84" s="76"/>
      <c r="GC84" s="76"/>
      <c r="GD84" s="76"/>
      <c r="GE84" s="76"/>
      <c r="GF84" s="76"/>
      <c r="GG84" s="76"/>
      <c r="GH84" s="76"/>
      <c r="GI84" s="76"/>
      <c r="GJ84" s="76">
        <f t="shared" si="16"/>
        <v>54</v>
      </c>
      <c r="GK84" s="76">
        <f t="shared" si="17"/>
        <v>0</v>
      </c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</row>
    <row r="85" spans="1:212" ht="1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FY85" s="77" t="s">
        <v>192</v>
      </c>
      <c r="FZ85" s="76">
        <f t="shared" si="15"/>
        <v>55</v>
      </c>
      <c r="GA85" s="76"/>
      <c r="GB85" s="76"/>
      <c r="GC85" s="76"/>
      <c r="GD85" s="76"/>
      <c r="GE85" s="76"/>
      <c r="GF85" s="76"/>
      <c r="GG85" s="76"/>
      <c r="GH85" s="76"/>
      <c r="GI85" s="76"/>
      <c r="GJ85" s="76">
        <f t="shared" si="16"/>
        <v>55</v>
      </c>
      <c r="GK85" s="76">
        <f t="shared" si="17"/>
        <v>0</v>
      </c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</row>
    <row r="86" spans="1:212" ht="1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FY86" s="77" t="s">
        <v>193</v>
      </c>
      <c r="FZ86" s="76">
        <f t="shared" si="15"/>
        <v>56</v>
      </c>
      <c r="GA86" s="76"/>
      <c r="GB86" s="76"/>
      <c r="GC86" s="76"/>
      <c r="GD86" s="76"/>
      <c r="GE86" s="76"/>
      <c r="GF86" s="76"/>
      <c r="GG86" s="76"/>
      <c r="GH86" s="76"/>
      <c r="GI86" s="76"/>
      <c r="GJ86" s="76">
        <f t="shared" si="16"/>
        <v>56</v>
      </c>
      <c r="GK86" s="76">
        <f t="shared" si="17"/>
        <v>1</v>
      </c>
      <c r="GL86" s="76"/>
      <c r="GM86" s="76">
        <v>1</v>
      </c>
      <c r="GN86" s="76">
        <v>1</v>
      </c>
      <c r="GO86" s="76">
        <v>1</v>
      </c>
      <c r="GP86" s="76">
        <v>1</v>
      </c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</row>
    <row r="87" spans="1:212" ht="1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FY87" s="77" t="s">
        <v>194</v>
      </c>
      <c r="FZ87" s="76">
        <f t="shared" si="15"/>
        <v>57</v>
      </c>
      <c r="GA87" s="76"/>
      <c r="GB87" s="76"/>
      <c r="GC87" s="76"/>
      <c r="GD87" s="76"/>
      <c r="GE87" s="76"/>
      <c r="GF87" s="76"/>
      <c r="GG87" s="76"/>
      <c r="GH87" s="76"/>
      <c r="GI87" s="76"/>
      <c r="GJ87" s="76">
        <f t="shared" si="16"/>
        <v>57</v>
      </c>
      <c r="GK87" s="76">
        <f t="shared" si="17"/>
        <v>0</v>
      </c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</row>
    <row r="88" spans="1:212" ht="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FY88" s="77" t="s">
        <v>195</v>
      </c>
      <c r="FZ88" s="76">
        <f t="shared" si="15"/>
        <v>58</v>
      </c>
      <c r="GA88" s="76"/>
      <c r="GB88" s="76"/>
      <c r="GC88" s="76"/>
      <c r="GD88" s="76"/>
      <c r="GE88" s="76"/>
      <c r="GF88" s="76"/>
      <c r="GG88" s="76"/>
      <c r="GH88" s="76"/>
      <c r="GI88" s="76"/>
      <c r="GJ88" s="76">
        <f t="shared" si="16"/>
        <v>58</v>
      </c>
      <c r="GK88" s="76">
        <f t="shared" si="17"/>
        <v>0</v>
      </c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</row>
    <row r="89" spans="1:212" ht="1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FY89" s="77" t="s">
        <v>196</v>
      </c>
      <c r="FZ89" s="76">
        <f t="shared" si="15"/>
        <v>59</v>
      </c>
      <c r="GA89" s="76"/>
      <c r="GB89" s="76"/>
      <c r="GC89" s="76"/>
      <c r="GD89" s="76"/>
      <c r="GE89" s="76"/>
      <c r="GF89" s="76"/>
      <c r="GG89" s="76"/>
      <c r="GH89" s="76"/>
      <c r="GI89" s="76"/>
      <c r="GJ89" s="76">
        <f t="shared" si="16"/>
        <v>59</v>
      </c>
      <c r="GK89" s="76">
        <f t="shared" si="17"/>
        <v>0</v>
      </c>
      <c r="GL89" s="76"/>
      <c r="GM89" s="76"/>
      <c r="GN89" s="76"/>
      <c r="GO89" s="76"/>
      <c r="GP89" s="76">
        <v>1</v>
      </c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</row>
    <row r="90" spans="1:212" ht="1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FY90" s="77" t="s">
        <v>197</v>
      </c>
      <c r="FZ90" s="76">
        <f t="shared" si="15"/>
        <v>60</v>
      </c>
      <c r="GA90" s="76"/>
      <c r="GB90" s="76"/>
      <c r="GC90" s="76"/>
      <c r="GD90" s="76"/>
      <c r="GE90" s="76"/>
      <c r="GF90" s="76"/>
      <c r="GG90" s="76"/>
      <c r="GH90" s="76"/>
      <c r="GI90" s="76"/>
      <c r="GJ90" s="76">
        <f t="shared" si="16"/>
        <v>60</v>
      </c>
      <c r="GK90" s="76">
        <f t="shared" si="17"/>
        <v>0</v>
      </c>
      <c r="GL90" s="76"/>
      <c r="GM90" s="76"/>
      <c r="GN90" s="76"/>
      <c r="GO90" s="76">
        <v>1</v>
      </c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</row>
    <row r="91" spans="1:212" ht="1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FY91" s="77" t="s">
        <v>198</v>
      </c>
      <c r="FZ91" s="76">
        <f t="shared" si="15"/>
        <v>61</v>
      </c>
      <c r="GA91" s="76"/>
      <c r="GB91" s="76"/>
      <c r="GC91" s="76"/>
      <c r="GD91" s="76"/>
      <c r="GE91" s="76"/>
      <c r="GF91" s="76"/>
      <c r="GG91" s="76"/>
      <c r="GH91" s="76"/>
      <c r="GI91" s="76"/>
      <c r="GJ91" s="76">
        <f t="shared" si="16"/>
        <v>61</v>
      </c>
      <c r="GK91" s="76">
        <f t="shared" si="17"/>
        <v>0</v>
      </c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</row>
    <row r="92" spans="1:212" ht="1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FY92" s="77" t="s">
        <v>199</v>
      </c>
      <c r="FZ92" s="76">
        <f t="shared" si="15"/>
        <v>62</v>
      </c>
      <c r="GA92" s="76"/>
      <c r="GB92" s="76"/>
      <c r="GC92" s="76"/>
      <c r="GD92" s="76"/>
      <c r="GE92" s="76"/>
      <c r="GF92" s="76"/>
      <c r="GG92" s="76"/>
      <c r="GH92" s="76"/>
      <c r="GI92" s="76"/>
      <c r="GJ92" s="76">
        <f t="shared" si="16"/>
        <v>62</v>
      </c>
      <c r="GK92" s="76">
        <f t="shared" si="17"/>
        <v>0</v>
      </c>
      <c r="GL92" s="76"/>
      <c r="GM92" s="76"/>
      <c r="GN92" s="76">
        <v>1</v>
      </c>
      <c r="GO92" s="76"/>
      <c r="GP92" s="76">
        <v>1</v>
      </c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</row>
    <row r="93" spans="1:212" ht="1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FY93" s="77" t="s">
        <v>200</v>
      </c>
      <c r="FZ93" s="76">
        <f t="shared" si="15"/>
        <v>63</v>
      </c>
      <c r="GA93" s="76"/>
      <c r="GB93" s="76"/>
      <c r="GC93" s="76"/>
      <c r="GD93" s="76"/>
      <c r="GE93" s="76"/>
      <c r="GF93" s="76"/>
      <c r="GG93" s="76"/>
      <c r="GH93" s="76"/>
      <c r="GI93" s="76"/>
      <c r="GJ93" s="76">
        <f t="shared" si="16"/>
        <v>63</v>
      </c>
      <c r="GK93" s="76">
        <f t="shared" si="17"/>
        <v>0</v>
      </c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</row>
    <row r="94" spans="1:212" ht="1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FY94" s="77" t="s">
        <v>201</v>
      </c>
      <c r="FZ94" s="76">
        <f t="shared" si="15"/>
        <v>64</v>
      </c>
      <c r="GA94" s="76"/>
      <c r="GB94" s="76"/>
      <c r="GC94" s="76"/>
      <c r="GD94" s="76"/>
      <c r="GE94" s="76"/>
      <c r="GF94" s="76"/>
      <c r="GG94" s="76"/>
      <c r="GH94" s="76"/>
      <c r="GI94" s="76"/>
      <c r="GJ94" s="76">
        <f t="shared" si="16"/>
        <v>64</v>
      </c>
      <c r="GK94" s="76">
        <f t="shared" si="17"/>
        <v>0</v>
      </c>
      <c r="GL94" s="76"/>
      <c r="GM94" s="76"/>
      <c r="GN94" s="76"/>
      <c r="GO94" s="76">
        <v>1</v>
      </c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</row>
    <row r="95" spans="1:212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FY95" s="77" t="s">
        <v>202</v>
      </c>
      <c r="FZ95" s="76">
        <f t="shared" si="15"/>
        <v>65</v>
      </c>
      <c r="GA95" s="76"/>
      <c r="GB95" s="76"/>
      <c r="GC95" s="76"/>
      <c r="GD95" s="76"/>
      <c r="GE95" s="76"/>
      <c r="GF95" s="76"/>
      <c r="GG95" s="76"/>
      <c r="GH95" s="76"/>
      <c r="GI95" s="76"/>
      <c r="GJ95" s="76">
        <f t="shared" si="16"/>
        <v>65</v>
      </c>
      <c r="GK95" s="76">
        <f t="shared" si="17"/>
        <v>0</v>
      </c>
      <c r="GL95" s="76"/>
      <c r="GM95" s="76"/>
      <c r="GN95" s="76"/>
      <c r="GO95" s="76"/>
      <c r="GP95" s="76">
        <v>1</v>
      </c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</row>
    <row r="96" spans="1:212" ht="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FY96" s="77" t="s">
        <v>203</v>
      </c>
      <c r="FZ96" s="76">
        <f t="shared" si="15"/>
        <v>66</v>
      </c>
      <c r="GA96" s="76"/>
      <c r="GB96" s="76"/>
      <c r="GC96" s="76"/>
      <c r="GD96" s="76"/>
      <c r="GE96" s="76"/>
      <c r="GF96" s="76"/>
      <c r="GG96" s="76"/>
      <c r="GH96" s="76"/>
      <c r="GI96" s="76"/>
      <c r="GJ96" s="76">
        <f t="shared" si="16"/>
        <v>66</v>
      </c>
      <c r="GK96" s="76">
        <f t="shared" si="17"/>
        <v>0</v>
      </c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</row>
    <row r="97" spans="1:212" ht="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FY97" s="77" t="s">
        <v>204</v>
      </c>
      <c r="FZ97" s="76">
        <f t="shared" si="15"/>
        <v>67</v>
      </c>
      <c r="GA97" s="76"/>
      <c r="GB97" s="76"/>
      <c r="GC97" s="76"/>
      <c r="GD97" s="76"/>
      <c r="GE97" s="76"/>
      <c r="GF97" s="76"/>
      <c r="GG97" s="76"/>
      <c r="GH97" s="76"/>
      <c r="GI97" s="76"/>
      <c r="GJ97" s="76">
        <f t="shared" si="16"/>
        <v>67</v>
      </c>
      <c r="GK97" s="76">
        <f t="shared" si="17"/>
        <v>0</v>
      </c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</row>
    <row r="98" spans="1:212" ht="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FY98" s="77" t="s">
        <v>205</v>
      </c>
      <c r="FZ98" s="76">
        <f t="shared" si="15"/>
        <v>68</v>
      </c>
      <c r="GA98" s="76"/>
      <c r="GB98" s="76"/>
      <c r="GC98" s="76"/>
      <c r="GD98" s="76"/>
      <c r="GE98" s="76"/>
      <c r="GF98" s="76"/>
      <c r="GG98" s="76"/>
      <c r="GH98" s="76"/>
      <c r="GI98" s="76"/>
      <c r="GJ98" s="76">
        <f t="shared" si="16"/>
        <v>68</v>
      </c>
      <c r="GK98" s="76">
        <f t="shared" si="17"/>
        <v>1</v>
      </c>
      <c r="GL98" s="76"/>
      <c r="GM98" s="76">
        <v>1</v>
      </c>
      <c r="GN98" s="76">
        <v>1</v>
      </c>
      <c r="GO98" s="76">
        <v>1</v>
      </c>
      <c r="GP98" s="76">
        <v>1</v>
      </c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</row>
    <row r="99" spans="1:212" ht="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FY99" s="77" t="s">
        <v>206</v>
      </c>
      <c r="FZ99" s="76">
        <f t="shared" si="15"/>
        <v>69</v>
      </c>
      <c r="GA99" s="76"/>
      <c r="GB99" s="76"/>
      <c r="GC99" s="76"/>
      <c r="GD99" s="76"/>
      <c r="GE99" s="76"/>
      <c r="GF99" s="76"/>
      <c r="GG99" s="76"/>
      <c r="GH99" s="76"/>
      <c r="GI99" s="76"/>
      <c r="GJ99" s="76">
        <f t="shared" si="16"/>
        <v>69</v>
      </c>
      <c r="GK99" s="76">
        <f t="shared" si="17"/>
        <v>0</v>
      </c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</row>
    <row r="100" spans="1:212" ht="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FY100" s="77" t="s">
        <v>207</v>
      </c>
      <c r="FZ100" s="76">
        <f t="shared" si="15"/>
        <v>70</v>
      </c>
      <c r="GA100" s="76"/>
      <c r="GB100" s="76"/>
      <c r="GC100" s="76"/>
      <c r="GD100" s="76"/>
      <c r="GE100" s="76"/>
      <c r="GF100" s="76"/>
      <c r="GG100" s="76"/>
      <c r="GH100" s="76"/>
      <c r="GI100" s="76"/>
      <c r="GJ100" s="76">
        <f t="shared" si="16"/>
        <v>70</v>
      </c>
      <c r="GK100" s="76">
        <f t="shared" si="17"/>
        <v>0</v>
      </c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</row>
    <row r="101" spans="1:212" ht="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FY101" s="77" t="s">
        <v>208</v>
      </c>
      <c r="FZ101" s="76">
        <f t="shared" si="15"/>
        <v>71</v>
      </c>
      <c r="GA101" s="76"/>
      <c r="GB101" s="76"/>
      <c r="GC101" s="76"/>
      <c r="GD101" s="76"/>
      <c r="GE101" s="76"/>
      <c r="GF101" s="76"/>
      <c r="GG101" s="76"/>
      <c r="GH101" s="76"/>
      <c r="GI101" s="76"/>
      <c r="GJ101" s="76">
        <f t="shared" si="16"/>
        <v>71</v>
      </c>
      <c r="GK101" s="76">
        <f t="shared" si="17"/>
        <v>0</v>
      </c>
      <c r="GL101" s="76"/>
      <c r="GM101" s="76"/>
      <c r="GN101" s="76"/>
      <c r="GO101" s="76"/>
      <c r="GP101" s="76">
        <v>1</v>
      </c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</row>
    <row r="102" spans="1:212" ht="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FY102" s="77" t="s">
        <v>209</v>
      </c>
      <c r="FZ102" s="76">
        <f t="shared" si="15"/>
        <v>72</v>
      </c>
      <c r="GA102" s="76"/>
      <c r="GB102" s="76"/>
      <c r="GC102" s="76"/>
      <c r="GD102" s="76"/>
      <c r="GE102" s="76"/>
      <c r="GF102" s="76"/>
      <c r="GG102" s="76"/>
      <c r="GH102" s="76"/>
      <c r="GI102" s="76"/>
      <c r="GJ102" s="76">
        <f t="shared" si="16"/>
        <v>72</v>
      </c>
      <c r="GK102" s="76">
        <f t="shared" si="17"/>
        <v>0</v>
      </c>
      <c r="GL102" s="76"/>
      <c r="GM102" s="76"/>
      <c r="GN102" s="76"/>
      <c r="GO102" s="76">
        <v>1</v>
      </c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</row>
    <row r="103" spans="1:212" ht="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FY103" s="77" t="s">
        <v>210</v>
      </c>
      <c r="FZ103" s="76">
        <f t="shared" si="15"/>
        <v>73</v>
      </c>
      <c r="GA103" s="76"/>
      <c r="GB103" s="76"/>
      <c r="GC103" s="76"/>
      <c r="GD103" s="76"/>
      <c r="GE103" s="76"/>
      <c r="GF103" s="76"/>
      <c r="GG103" s="76"/>
      <c r="GH103" s="76"/>
      <c r="GI103" s="76"/>
      <c r="GJ103" s="76">
        <f t="shared" si="16"/>
        <v>73</v>
      </c>
      <c r="GK103" s="76">
        <f t="shared" si="17"/>
        <v>0</v>
      </c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</row>
    <row r="104" spans="1:212" ht="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FY104" s="77" t="s">
        <v>211</v>
      </c>
      <c r="FZ104" s="76">
        <f t="shared" si="15"/>
        <v>74</v>
      </c>
      <c r="GA104" s="76"/>
      <c r="GB104" s="76"/>
      <c r="GC104" s="76"/>
      <c r="GD104" s="76"/>
      <c r="GE104" s="76"/>
      <c r="GF104" s="76"/>
      <c r="GG104" s="76"/>
      <c r="GH104" s="76"/>
      <c r="GI104" s="76"/>
      <c r="GJ104" s="76">
        <f t="shared" si="16"/>
        <v>74</v>
      </c>
      <c r="GK104" s="76">
        <f t="shared" si="17"/>
        <v>0</v>
      </c>
      <c r="GL104" s="76"/>
      <c r="GM104" s="76"/>
      <c r="GN104" s="76">
        <v>1</v>
      </c>
      <c r="GO104" s="76"/>
      <c r="GP104" s="76">
        <v>1</v>
      </c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</row>
    <row r="105" spans="1:212" ht="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FY105" s="77" t="s">
        <v>212</v>
      </c>
      <c r="FZ105" s="76">
        <f t="shared" si="15"/>
        <v>75</v>
      </c>
      <c r="GA105" s="76"/>
      <c r="GB105" s="76"/>
      <c r="GC105" s="76"/>
      <c r="GD105" s="76"/>
      <c r="GE105" s="76"/>
      <c r="GF105" s="76"/>
      <c r="GG105" s="76"/>
      <c r="GH105" s="76"/>
      <c r="GI105" s="76"/>
      <c r="GJ105" s="76">
        <f t="shared" si="16"/>
        <v>75</v>
      </c>
      <c r="GK105" s="76">
        <f t="shared" si="17"/>
        <v>0</v>
      </c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</row>
    <row r="106" spans="1:212" ht="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FY106" s="77" t="s">
        <v>213</v>
      </c>
      <c r="FZ106" s="76">
        <f t="shared" si="15"/>
        <v>76</v>
      </c>
      <c r="GA106" s="76"/>
      <c r="GB106" s="76"/>
      <c r="GC106" s="76"/>
      <c r="GD106" s="76"/>
      <c r="GE106" s="76"/>
      <c r="GF106" s="76"/>
      <c r="GG106" s="76"/>
      <c r="GH106" s="76"/>
      <c r="GI106" s="76"/>
      <c r="GJ106" s="76">
        <f t="shared" si="16"/>
        <v>76</v>
      </c>
      <c r="GK106" s="76">
        <f t="shared" si="17"/>
        <v>0</v>
      </c>
      <c r="GL106" s="76"/>
      <c r="GM106" s="76"/>
      <c r="GN106" s="76"/>
      <c r="GO106" s="76">
        <v>1</v>
      </c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</row>
    <row r="107" spans="1:212" ht="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FY107" s="77" t="s">
        <v>214</v>
      </c>
      <c r="FZ107" s="76">
        <f t="shared" si="15"/>
        <v>77</v>
      </c>
      <c r="GA107" s="76"/>
      <c r="GB107" s="76"/>
      <c r="GC107" s="76"/>
      <c r="GD107" s="76"/>
      <c r="GE107" s="76"/>
      <c r="GF107" s="76"/>
      <c r="GG107" s="76"/>
      <c r="GH107" s="76"/>
      <c r="GI107" s="76"/>
      <c r="GJ107" s="76">
        <f t="shared" si="16"/>
        <v>77</v>
      </c>
      <c r="GK107" s="76">
        <f t="shared" si="17"/>
        <v>0</v>
      </c>
      <c r="GL107" s="76"/>
      <c r="GM107" s="76"/>
      <c r="GN107" s="76"/>
      <c r="GO107" s="76"/>
      <c r="GP107" s="76">
        <v>1</v>
      </c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</row>
    <row r="108" spans="1:212" ht="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FY108" s="77" t="s">
        <v>215</v>
      </c>
      <c r="FZ108" s="76">
        <f t="shared" si="15"/>
        <v>78</v>
      </c>
      <c r="GA108" s="76"/>
      <c r="GB108" s="76"/>
      <c r="GC108" s="76"/>
      <c r="GD108" s="76"/>
      <c r="GE108" s="76"/>
      <c r="GF108" s="76"/>
      <c r="GG108" s="76"/>
      <c r="GH108" s="76"/>
      <c r="GI108" s="76"/>
      <c r="GJ108" s="76">
        <f t="shared" si="16"/>
        <v>78</v>
      </c>
      <c r="GK108" s="76">
        <f t="shared" si="17"/>
        <v>0</v>
      </c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</row>
    <row r="109" spans="1:212" ht="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FY109" s="77" t="s">
        <v>216</v>
      </c>
      <c r="FZ109" s="76">
        <f t="shared" si="15"/>
        <v>79</v>
      </c>
      <c r="GA109" s="76"/>
      <c r="GB109" s="76"/>
      <c r="GC109" s="76"/>
      <c r="GD109" s="76"/>
      <c r="GE109" s="76"/>
      <c r="GF109" s="76"/>
      <c r="GG109" s="76"/>
      <c r="GH109" s="76"/>
      <c r="GI109" s="76"/>
      <c r="GJ109" s="76">
        <f t="shared" si="16"/>
        <v>79</v>
      </c>
      <c r="GK109" s="76">
        <f t="shared" si="17"/>
        <v>0</v>
      </c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</row>
    <row r="110" spans="1:212" ht="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FY110" s="77" t="s">
        <v>217</v>
      </c>
      <c r="FZ110" s="76">
        <f t="shared" si="15"/>
        <v>80</v>
      </c>
      <c r="GA110" s="76"/>
      <c r="GB110" s="76"/>
      <c r="GC110" s="76"/>
      <c r="GD110" s="76"/>
      <c r="GE110" s="76"/>
      <c r="GF110" s="76"/>
      <c r="GG110" s="76"/>
      <c r="GH110" s="76"/>
      <c r="GI110" s="76"/>
      <c r="GJ110" s="76">
        <f t="shared" si="16"/>
        <v>80</v>
      </c>
      <c r="GK110" s="76">
        <f t="shared" si="17"/>
        <v>1</v>
      </c>
      <c r="GL110" s="76"/>
      <c r="GM110" s="76">
        <v>1</v>
      </c>
      <c r="GN110" s="76">
        <v>1</v>
      </c>
      <c r="GO110" s="76">
        <v>1</v>
      </c>
      <c r="GP110" s="76">
        <v>1</v>
      </c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</row>
    <row r="111" spans="1:212" ht="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FY111" s="77" t="s">
        <v>218</v>
      </c>
      <c r="FZ111" s="76">
        <f t="shared" si="15"/>
        <v>81</v>
      </c>
      <c r="GA111" s="76"/>
      <c r="GB111" s="76"/>
      <c r="GC111" s="76"/>
      <c r="GD111" s="76"/>
      <c r="GE111" s="76"/>
      <c r="GF111" s="76"/>
      <c r="GG111" s="76"/>
      <c r="GH111" s="76"/>
      <c r="GI111" s="76"/>
      <c r="GJ111" s="76">
        <f t="shared" si="16"/>
        <v>81</v>
      </c>
      <c r="GK111" s="76">
        <f t="shared" si="17"/>
        <v>0</v>
      </c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</row>
    <row r="112" spans="1:212" ht="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FY112" s="77" t="s">
        <v>219</v>
      </c>
      <c r="FZ112" s="76">
        <f t="shared" si="15"/>
        <v>82</v>
      </c>
      <c r="GA112" s="76"/>
      <c r="GB112" s="76"/>
      <c r="GC112" s="76"/>
      <c r="GD112" s="76"/>
      <c r="GE112" s="76"/>
      <c r="GF112" s="76"/>
      <c r="GG112" s="76"/>
      <c r="GH112" s="76"/>
      <c r="GI112" s="76"/>
      <c r="GJ112" s="76">
        <f t="shared" si="16"/>
        <v>82</v>
      </c>
      <c r="GK112" s="76">
        <f t="shared" si="17"/>
        <v>0</v>
      </c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</row>
    <row r="113" spans="1:212" ht="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FY113" s="77" t="s">
        <v>220</v>
      </c>
      <c r="FZ113" s="76">
        <f t="shared" si="15"/>
        <v>83</v>
      </c>
      <c r="GA113" s="76"/>
      <c r="GB113" s="76"/>
      <c r="GC113" s="76"/>
      <c r="GD113" s="76"/>
      <c r="GE113" s="76"/>
      <c r="GF113" s="76"/>
      <c r="GG113" s="76"/>
      <c r="GH113" s="76"/>
      <c r="GI113" s="76"/>
      <c r="GJ113" s="76">
        <f t="shared" si="16"/>
        <v>83</v>
      </c>
      <c r="GK113" s="76">
        <f t="shared" si="17"/>
        <v>0</v>
      </c>
      <c r="GL113" s="76"/>
      <c r="GM113" s="76"/>
      <c r="GN113" s="76"/>
      <c r="GO113" s="76"/>
      <c r="GP113" s="76">
        <v>1</v>
      </c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</row>
    <row r="114" spans="1:212" ht="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FY114" s="77" t="s">
        <v>221</v>
      </c>
      <c r="FZ114" s="76">
        <f t="shared" si="15"/>
        <v>84</v>
      </c>
      <c r="GA114" s="76"/>
      <c r="GB114" s="76"/>
      <c r="GC114" s="76"/>
      <c r="GD114" s="76"/>
      <c r="GE114" s="76"/>
      <c r="GF114" s="76"/>
      <c r="GG114" s="76"/>
      <c r="GH114" s="76"/>
      <c r="GI114" s="76"/>
      <c r="GJ114" s="76">
        <f t="shared" si="16"/>
        <v>84</v>
      </c>
      <c r="GK114" s="76">
        <f t="shared" si="17"/>
        <v>0</v>
      </c>
      <c r="GL114" s="76"/>
      <c r="GM114" s="76"/>
      <c r="GN114" s="76"/>
      <c r="GO114" s="76">
        <v>1</v>
      </c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</row>
    <row r="115" spans="1:212" ht="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FY115" s="77" t="s">
        <v>222</v>
      </c>
      <c r="FZ115" s="76">
        <f t="shared" si="15"/>
        <v>85</v>
      </c>
      <c r="GA115" s="76"/>
      <c r="GB115" s="76"/>
      <c r="GC115" s="76"/>
      <c r="GD115" s="76"/>
      <c r="GE115" s="76"/>
      <c r="GF115" s="76"/>
      <c r="GG115" s="76"/>
      <c r="GH115" s="76"/>
      <c r="GI115" s="76"/>
      <c r="GJ115" s="76">
        <f t="shared" si="16"/>
        <v>85</v>
      </c>
      <c r="GK115" s="76">
        <f t="shared" si="17"/>
        <v>0</v>
      </c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</row>
    <row r="116" spans="1:212" ht="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FY116" s="77" t="s">
        <v>223</v>
      </c>
      <c r="FZ116" s="76">
        <f t="shared" si="15"/>
        <v>86</v>
      </c>
      <c r="GA116" s="76"/>
      <c r="GB116" s="76"/>
      <c r="GC116" s="76"/>
      <c r="GD116" s="76"/>
      <c r="GE116" s="76"/>
      <c r="GF116" s="76"/>
      <c r="GG116" s="76"/>
      <c r="GH116" s="76"/>
      <c r="GI116" s="76"/>
      <c r="GJ116" s="76">
        <f t="shared" si="16"/>
        <v>86</v>
      </c>
      <c r="GK116" s="76">
        <f t="shared" si="17"/>
        <v>0</v>
      </c>
      <c r="GL116" s="76"/>
      <c r="GM116" s="76"/>
      <c r="GN116" s="76">
        <v>1</v>
      </c>
      <c r="GO116" s="76"/>
      <c r="GP116" s="76">
        <v>1</v>
      </c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</row>
    <row r="117" spans="1:212" ht="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FY117" s="77" t="s">
        <v>224</v>
      </c>
      <c r="FZ117" s="76">
        <f t="shared" si="15"/>
        <v>87</v>
      </c>
      <c r="GA117" s="76"/>
      <c r="GB117" s="76"/>
      <c r="GC117" s="76"/>
      <c r="GD117" s="76"/>
      <c r="GE117" s="76"/>
      <c r="GF117" s="76"/>
      <c r="GG117" s="76"/>
      <c r="GH117" s="76"/>
      <c r="GI117" s="76"/>
      <c r="GJ117" s="76">
        <f t="shared" si="16"/>
        <v>87</v>
      </c>
      <c r="GK117" s="76">
        <f t="shared" si="17"/>
        <v>0</v>
      </c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</row>
    <row r="118" spans="1:212" ht="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FY118" s="77" t="s">
        <v>225</v>
      </c>
      <c r="FZ118" s="76">
        <f t="shared" si="15"/>
        <v>88</v>
      </c>
      <c r="GA118" s="76"/>
      <c r="GB118" s="76"/>
      <c r="GC118" s="76"/>
      <c r="GD118" s="76"/>
      <c r="GE118" s="76"/>
      <c r="GF118" s="76"/>
      <c r="GG118" s="76"/>
      <c r="GH118" s="76"/>
      <c r="GI118" s="76"/>
      <c r="GJ118" s="76">
        <f t="shared" si="16"/>
        <v>88</v>
      </c>
      <c r="GK118" s="76">
        <f t="shared" si="17"/>
        <v>0</v>
      </c>
      <c r="GL118" s="76"/>
      <c r="GM118" s="76"/>
      <c r="GN118" s="76"/>
      <c r="GO118" s="76">
        <v>1</v>
      </c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</row>
    <row r="119" spans="1:212" ht="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FY119" s="77" t="s">
        <v>226</v>
      </c>
      <c r="FZ119" s="76">
        <f t="shared" si="15"/>
        <v>89</v>
      </c>
      <c r="GA119" s="76"/>
      <c r="GB119" s="76"/>
      <c r="GC119" s="76"/>
      <c r="GD119" s="76"/>
      <c r="GE119" s="76"/>
      <c r="GF119" s="76"/>
      <c r="GG119" s="76"/>
      <c r="GH119" s="76"/>
      <c r="GI119" s="76"/>
      <c r="GJ119" s="76">
        <f t="shared" si="16"/>
        <v>89</v>
      </c>
      <c r="GK119" s="76">
        <f t="shared" si="17"/>
        <v>0</v>
      </c>
      <c r="GL119" s="76"/>
      <c r="GM119" s="76"/>
      <c r="GN119" s="76"/>
      <c r="GO119" s="76"/>
      <c r="GP119" s="76">
        <v>1</v>
      </c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</row>
    <row r="120" spans="1:212" ht="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FY120" s="77" t="s">
        <v>227</v>
      </c>
      <c r="FZ120" s="76">
        <f t="shared" si="15"/>
        <v>90</v>
      </c>
      <c r="GA120" s="76"/>
      <c r="GB120" s="76"/>
      <c r="GC120" s="76"/>
      <c r="GD120" s="76"/>
      <c r="GE120" s="76"/>
      <c r="GF120" s="76"/>
      <c r="GG120" s="76"/>
      <c r="GH120" s="76"/>
      <c r="GI120" s="76"/>
      <c r="GJ120" s="76">
        <f t="shared" si="16"/>
        <v>90</v>
      </c>
      <c r="GK120" s="76">
        <f t="shared" si="17"/>
        <v>0</v>
      </c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</row>
    <row r="121" spans="1:212" ht="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FY121" s="77" t="s">
        <v>228</v>
      </c>
      <c r="FZ121" s="76">
        <f t="shared" si="15"/>
        <v>91</v>
      </c>
      <c r="GA121" s="76"/>
      <c r="GB121" s="76"/>
      <c r="GC121" s="76"/>
      <c r="GD121" s="76"/>
      <c r="GE121" s="76"/>
      <c r="GF121" s="76"/>
      <c r="GG121" s="76"/>
      <c r="GH121" s="76"/>
      <c r="GI121" s="76"/>
      <c r="GJ121" s="76">
        <f t="shared" si="16"/>
        <v>91</v>
      </c>
      <c r="GK121" s="76">
        <f t="shared" si="17"/>
        <v>0</v>
      </c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</row>
    <row r="122" spans="1:212" ht="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FY122" s="77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>
        <f t="shared" si="16"/>
        <v>92</v>
      </c>
      <c r="GK122" s="76">
        <f t="shared" si="17"/>
        <v>1</v>
      </c>
      <c r="GL122" s="76"/>
      <c r="GM122" s="76">
        <v>1</v>
      </c>
      <c r="GN122" s="76">
        <v>1</v>
      </c>
      <c r="GO122" s="76">
        <v>1</v>
      </c>
      <c r="GP122" s="76">
        <v>1</v>
      </c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</row>
    <row r="123" spans="1:212" ht="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FY123" s="77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>
        <f t="shared" si="16"/>
        <v>93</v>
      </c>
      <c r="GK123" s="76">
        <f t="shared" si="17"/>
        <v>0</v>
      </c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</row>
    <row r="124" spans="1:212" ht="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FY124" s="77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>
        <f t="shared" si="16"/>
        <v>94</v>
      </c>
      <c r="GK124" s="76">
        <f t="shared" si="17"/>
        <v>0</v>
      </c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</row>
    <row r="125" spans="1:212" ht="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FY125" s="77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>
        <f t="shared" si="16"/>
        <v>95</v>
      </c>
      <c r="GK125" s="76">
        <f t="shared" si="17"/>
        <v>0</v>
      </c>
      <c r="GL125" s="76"/>
      <c r="GM125" s="76"/>
      <c r="GN125" s="76"/>
      <c r="GO125" s="76"/>
      <c r="GP125" s="76">
        <v>1</v>
      </c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</row>
    <row r="126" spans="1:212" ht="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FY126" s="77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>
        <f t="shared" si="16"/>
        <v>96</v>
      </c>
      <c r="GK126" s="76">
        <f t="shared" si="17"/>
        <v>0</v>
      </c>
      <c r="GL126" s="76"/>
      <c r="GM126" s="76"/>
      <c r="GN126" s="76"/>
      <c r="GO126" s="76">
        <v>1</v>
      </c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</row>
    <row r="127" spans="1:212" ht="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FY127" s="77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>
        <f t="shared" si="16"/>
        <v>97</v>
      </c>
      <c r="GK127" s="76">
        <f t="shared" si="17"/>
        <v>0</v>
      </c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</row>
    <row r="128" spans="1:212" ht="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FY128" s="77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>
        <f t="shared" si="16"/>
        <v>98</v>
      </c>
      <c r="GK128" s="76">
        <f t="shared" si="17"/>
        <v>0</v>
      </c>
      <c r="GL128" s="76"/>
      <c r="GM128" s="76"/>
      <c r="GN128" s="76">
        <v>1</v>
      </c>
      <c r="GO128" s="76"/>
      <c r="GP128" s="76">
        <v>1</v>
      </c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</row>
    <row r="129" spans="1:212" ht="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FY129" s="77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>
        <f t="shared" si="16"/>
        <v>99</v>
      </c>
      <c r="GK129" s="76">
        <f t="shared" si="17"/>
        <v>0</v>
      </c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</row>
    <row r="130" spans="1:212" ht="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FY130" s="77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>
        <f t="shared" si="16"/>
        <v>100</v>
      </c>
      <c r="GK130" s="76">
        <f t="shared" si="17"/>
        <v>0</v>
      </c>
      <c r="GL130" s="76"/>
      <c r="GM130" s="76"/>
      <c r="GN130" s="76"/>
      <c r="GO130" s="76">
        <v>1</v>
      </c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</row>
    <row r="131" spans="1:212" ht="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FY131" s="77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>
        <f t="shared" si="16"/>
        <v>101</v>
      </c>
      <c r="GK131" s="76">
        <f t="shared" si="17"/>
        <v>0</v>
      </c>
      <c r="GL131" s="76"/>
      <c r="GM131" s="76"/>
      <c r="GN131" s="76"/>
      <c r="GO131" s="76"/>
      <c r="GP131" s="76">
        <v>1</v>
      </c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</row>
    <row r="132" spans="1:212" ht="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FY132" s="77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>
        <f aca="true" t="shared" si="18" ref="GJ132:GJ173">+GJ131+1</f>
        <v>102</v>
      </c>
      <c r="GK132" s="76">
        <f t="shared" si="17"/>
        <v>0</v>
      </c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</row>
    <row r="133" spans="1:212" ht="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FY133" s="77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>
        <f t="shared" si="18"/>
        <v>103</v>
      </c>
      <c r="GK133" s="76">
        <f aca="true" t="shared" si="19" ref="GK133:GK173">+IF($C$8=$GM$1,GM133,IF($C$8=$GN$1,GN133,IF($C$8=$GO$1,GO133,IF($C$8=$GP$1,GP133,0))))</f>
        <v>0</v>
      </c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</row>
    <row r="134" spans="1:212" ht="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FY134" s="77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>
        <f t="shared" si="18"/>
        <v>104</v>
      </c>
      <c r="GK134" s="76">
        <f t="shared" si="19"/>
        <v>1</v>
      </c>
      <c r="GL134" s="76"/>
      <c r="GM134" s="76">
        <v>1</v>
      </c>
      <c r="GN134" s="76">
        <v>1</v>
      </c>
      <c r="GO134" s="76">
        <v>1</v>
      </c>
      <c r="GP134" s="76">
        <v>1</v>
      </c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</row>
    <row r="135" spans="1:212" ht="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FY135" s="77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>
        <f t="shared" si="18"/>
        <v>105</v>
      </c>
      <c r="GK135" s="76">
        <f t="shared" si="19"/>
        <v>0</v>
      </c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</row>
    <row r="136" spans="1:212" ht="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FY136" s="77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>
        <f t="shared" si="18"/>
        <v>106</v>
      </c>
      <c r="GK136" s="76">
        <f t="shared" si="19"/>
        <v>0</v>
      </c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</row>
    <row r="137" spans="1:212" ht="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FY137" s="77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>
        <f t="shared" si="18"/>
        <v>107</v>
      </c>
      <c r="GK137" s="76">
        <f t="shared" si="19"/>
        <v>0</v>
      </c>
      <c r="GL137" s="76"/>
      <c r="GM137" s="76"/>
      <c r="GN137" s="76"/>
      <c r="GO137" s="76"/>
      <c r="GP137" s="76">
        <v>1</v>
      </c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</row>
    <row r="138" spans="1:212" ht="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FY138" s="77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>
        <f t="shared" si="18"/>
        <v>108</v>
      </c>
      <c r="GK138" s="76">
        <f t="shared" si="19"/>
        <v>0</v>
      </c>
      <c r="GL138" s="76"/>
      <c r="GM138" s="76"/>
      <c r="GN138" s="76"/>
      <c r="GO138" s="76">
        <v>1</v>
      </c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</row>
    <row r="139" spans="1:212" ht="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FY139" s="77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>
        <f t="shared" si="18"/>
        <v>109</v>
      </c>
      <c r="GK139" s="76">
        <f t="shared" si="19"/>
        <v>0</v>
      </c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</row>
    <row r="140" spans="1:212" ht="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FY140" s="77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>
        <f t="shared" si="18"/>
        <v>110</v>
      </c>
      <c r="GK140" s="76">
        <f t="shared" si="19"/>
        <v>0</v>
      </c>
      <c r="GL140" s="76"/>
      <c r="GM140" s="76"/>
      <c r="GN140" s="76">
        <v>1</v>
      </c>
      <c r="GO140" s="76"/>
      <c r="GP140" s="76">
        <v>1</v>
      </c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</row>
    <row r="141" spans="1:212" ht="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FY141" s="77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>
        <f t="shared" si="18"/>
        <v>111</v>
      </c>
      <c r="GK141" s="76">
        <f t="shared" si="19"/>
        <v>0</v>
      </c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</row>
    <row r="142" spans="1:212" ht="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FY142" s="77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>
        <f t="shared" si="18"/>
        <v>112</v>
      </c>
      <c r="GK142" s="76">
        <f t="shared" si="19"/>
        <v>0</v>
      </c>
      <c r="GL142" s="76"/>
      <c r="GM142" s="76"/>
      <c r="GN142" s="76"/>
      <c r="GO142" s="76">
        <v>1</v>
      </c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</row>
    <row r="143" spans="1:212" ht="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FY143" s="77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>
        <f t="shared" si="18"/>
        <v>113</v>
      </c>
      <c r="GK143" s="76">
        <f t="shared" si="19"/>
        <v>0</v>
      </c>
      <c r="GL143" s="76"/>
      <c r="GM143" s="76"/>
      <c r="GN143" s="76"/>
      <c r="GO143" s="76"/>
      <c r="GP143" s="76">
        <v>1</v>
      </c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</row>
    <row r="144" spans="1:212" ht="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FY144" s="77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>
        <f t="shared" si="18"/>
        <v>114</v>
      </c>
      <c r="GK144" s="76">
        <f t="shared" si="19"/>
        <v>0</v>
      </c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</row>
    <row r="145" spans="1:212" ht="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FY145" s="77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>
        <f t="shared" si="18"/>
        <v>115</v>
      </c>
      <c r="GK145" s="76">
        <f t="shared" si="19"/>
        <v>0</v>
      </c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</row>
    <row r="146" spans="1:212" ht="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FY146" s="77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>
        <f t="shared" si="18"/>
        <v>116</v>
      </c>
      <c r="GK146" s="76">
        <f t="shared" si="19"/>
        <v>1</v>
      </c>
      <c r="GL146" s="76"/>
      <c r="GM146" s="76">
        <v>1</v>
      </c>
      <c r="GN146" s="76">
        <v>1</v>
      </c>
      <c r="GO146" s="76">
        <v>1</v>
      </c>
      <c r="GP146" s="76">
        <v>1</v>
      </c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</row>
    <row r="147" spans="1:212" ht="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FY147" s="77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>
        <f t="shared" si="18"/>
        <v>117</v>
      </c>
      <c r="GK147" s="76">
        <f t="shared" si="19"/>
        <v>0</v>
      </c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</row>
    <row r="148" spans="1:212" ht="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FY148" s="77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>
        <f t="shared" si="18"/>
        <v>118</v>
      </c>
      <c r="GK148" s="76">
        <f t="shared" si="19"/>
        <v>0</v>
      </c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</row>
    <row r="149" spans="1:212" ht="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FY149" s="77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>
        <f t="shared" si="18"/>
        <v>119</v>
      </c>
      <c r="GK149" s="76">
        <f t="shared" si="19"/>
        <v>0</v>
      </c>
      <c r="GL149" s="76"/>
      <c r="GM149" s="76"/>
      <c r="GN149" s="76"/>
      <c r="GO149" s="76"/>
      <c r="GP149" s="76">
        <v>1</v>
      </c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</row>
    <row r="150" spans="1:212" ht="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FY150" s="77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>
        <f t="shared" si="18"/>
        <v>120</v>
      </c>
      <c r="GK150" s="76">
        <f t="shared" si="19"/>
        <v>0</v>
      </c>
      <c r="GL150" s="76"/>
      <c r="GM150" s="76"/>
      <c r="GN150" s="76"/>
      <c r="GO150" s="76">
        <v>1</v>
      </c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</row>
    <row r="151" spans="1:212" ht="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FY151" s="77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>
        <f t="shared" si="18"/>
        <v>121</v>
      </c>
      <c r="GK151" s="76">
        <f t="shared" si="19"/>
        <v>0</v>
      </c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</row>
    <row r="152" spans="1:212" ht="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FY152" s="77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>
        <f t="shared" si="18"/>
        <v>122</v>
      </c>
      <c r="GK152" s="76">
        <f t="shared" si="19"/>
        <v>0</v>
      </c>
      <c r="GL152" s="76"/>
      <c r="GM152" s="76"/>
      <c r="GN152" s="76">
        <v>1</v>
      </c>
      <c r="GO152" s="76"/>
      <c r="GP152" s="76">
        <v>1</v>
      </c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</row>
    <row r="153" spans="1:212" ht="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FY153" s="77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>
        <f t="shared" si="18"/>
        <v>123</v>
      </c>
      <c r="GK153" s="76">
        <f t="shared" si="19"/>
        <v>0</v>
      </c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</row>
    <row r="154" spans="1:212" ht="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FY154" s="77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>
        <f t="shared" si="18"/>
        <v>124</v>
      </c>
      <c r="GK154" s="76">
        <f t="shared" si="19"/>
        <v>0</v>
      </c>
      <c r="GL154" s="76"/>
      <c r="GM154" s="76"/>
      <c r="GN154" s="76"/>
      <c r="GO154" s="76">
        <v>1</v>
      </c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</row>
    <row r="155" spans="1:212" ht="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FY155" s="77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>
        <f t="shared" si="18"/>
        <v>125</v>
      </c>
      <c r="GK155" s="76">
        <f t="shared" si="19"/>
        <v>0</v>
      </c>
      <c r="GL155" s="76"/>
      <c r="GM155" s="76"/>
      <c r="GN155" s="76"/>
      <c r="GO155" s="76"/>
      <c r="GP155" s="76">
        <v>1</v>
      </c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</row>
    <row r="156" spans="1:212" ht="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FY156" s="77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>
        <f t="shared" si="18"/>
        <v>126</v>
      </c>
      <c r="GK156" s="76">
        <f t="shared" si="19"/>
        <v>0</v>
      </c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</row>
    <row r="157" spans="1:212" ht="1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FY157" s="77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>
        <f t="shared" si="18"/>
        <v>127</v>
      </c>
      <c r="GK157" s="76">
        <f t="shared" si="19"/>
        <v>0</v>
      </c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</row>
    <row r="158" spans="1:212" ht="1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FY158" s="77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>
        <f t="shared" si="18"/>
        <v>128</v>
      </c>
      <c r="GK158" s="76">
        <f t="shared" si="19"/>
        <v>1</v>
      </c>
      <c r="GL158" s="76"/>
      <c r="GM158" s="76">
        <v>1</v>
      </c>
      <c r="GN158" s="76">
        <v>1</v>
      </c>
      <c r="GO158" s="76">
        <v>1</v>
      </c>
      <c r="GP158" s="76">
        <v>1</v>
      </c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</row>
    <row r="159" spans="1:212" ht="1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FY159" s="77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>
        <f t="shared" si="18"/>
        <v>129</v>
      </c>
      <c r="GK159" s="76">
        <f t="shared" si="19"/>
        <v>0</v>
      </c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</row>
    <row r="160" spans="1:212" ht="1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FY160" s="77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>
        <f t="shared" si="18"/>
        <v>130</v>
      </c>
      <c r="GK160" s="76">
        <f t="shared" si="19"/>
        <v>0</v>
      </c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</row>
    <row r="161" spans="1:212" ht="1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FY161" s="77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>
        <f t="shared" si="18"/>
        <v>131</v>
      </c>
      <c r="GK161" s="76">
        <f t="shared" si="19"/>
        <v>0</v>
      </c>
      <c r="GL161" s="76"/>
      <c r="GM161" s="76"/>
      <c r="GN161" s="76"/>
      <c r="GO161" s="76"/>
      <c r="GP161" s="76">
        <v>1</v>
      </c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</row>
    <row r="162" spans="1:212" ht="1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FY162" s="77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>
        <f t="shared" si="18"/>
        <v>132</v>
      </c>
      <c r="GK162" s="76">
        <f t="shared" si="19"/>
        <v>0</v>
      </c>
      <c r="GL162" s="76"/>
      <c r="GM162" s="76"/>
      <c r="GN162" s="76"/>
      <c r="GO162" s="76">
        <v>1</v>
      </c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</row>
    <row r="163" spans="1:212" ht="1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FY163" s="77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>
        <f t="shared" si="18"/>
        <v>133</v>
      </c>
      <c r="GK163" s="76">
        <f t="shared" si="19"/>
        <v>0</v>
      </c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</row>
    <row r="164" spans="1:212" ht="1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FY164" s="77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>
        <f t="shared" si="18"/>
        <v>134</v>
      </c>
      <c r="GK164" s="76">
        <f t="shared" si="19"/>
        <v>0</v>
      </c>
      <c r="GL164" s="76"/>
      <c r="GM164" s="76"/>
      <c r="GN164" s="76">
        <v>1</v>
      </c>
      <c r="GO164" s="76"/>
      <c r="GP164" s="76">
        <v>1</v>
      </c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</row>
    <row r="165" spans="1:212" ht="1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FY165" s="77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>
        <f t="shared" si="18"/>
        <v>135</v>
      </c>
      <c r="GK165" s="76">
        <f t="shared" si="19"/>
        <v>0</v>
      </c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</row>
    <row r="166" spans="1:212" ht="1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FY166" s="77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>
        <f t="shared" si="18"/>
        <v>136</v>
      </c>
      <c r="GK166" s="76">
        <f t="shared" si="19"/>
        <v>0</v>
      </c>
      <c r="GL166" s="76"/>
      <c r="GM166" s="76"/>
      <c r="GN166" s="76"/>
      <c r="GO166" s="76">
        <v>1</v>
      </c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</row>
    <row r="167" spans="1:212" ht="1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FY167" s="77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>
        <f t="shared" si="18"/>
        <v>137</v>
      </c>
      <c r="GK167" s="76">
        <f t="shared" si="19"/>
        <v>0</v>
      </c>
      <c r="GL167" s="76"/>
      <c r="GM167" s="76"/>
      <c r="GN167" s="76"/>
      <c r="GO167" s="76"/>
      <c r="GP167" s="76">
        <v>1</v>
      </c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</row>
    <row r="168" spans="1:212" ht="1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FY168" s="77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>
        <f t="shared" si="18"/>
        <v>138</v>
      </c>
      <c r="GK168" s="76">
        <f t="shared" si="19"/>
        <v>0</v>
      </c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</row>
    <row r="169" spans="1:212" ht="1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FY169" s="77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>
        <f t="shared" si="18"/>
        <v>139</v>
      </c>
      <c r="GK169" s="76">
        <f t="shared" si="19"/>
        <v>0</v>
      </c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</row>
    <row r="170" spans="1:212" ht="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FY170" s="77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>
        <f t="shared" si="18"/>
        <v>140</v>
      </c>
      <c r="GK170" s="76">
        <f t="shared" si="19"/>
        <v>1</v>
      </c>
      <c r="GL170" s="76"/>
      <c r="GM170" s="76">
        <v>1</v>
      </c>
      <c r="GN170" s="76">
        <v>1</v>
      </c>
      <c r="GO170" s="76">
        <v>1</v>
      </c>
      <c r="GP170" s="76">
        <v>1</v>
      </c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</row>
    <row r="171" spans="1:212" ht="1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FY171" s="77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>
        <f t="shared" si="18"/>
        <v>141</v>
      </c>
      <c r="GK171" s="76">
        <f t="shared" si="19"/>
        <v>0</v>
      </c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</row>
    <row r="172" spans="1:212" ht="1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FY172" s="77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>
        <f t="shared" si="18"/>
        <v>142</v>
      </c>
      <c r="GK172" s="76">
        <f t="shared" si="19"/>
        <v>0</v>
      </c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</row>
    <row r="173" spans="1:212" ht="1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FY173" s="77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>
        <f t="shared" si="18"/>
        <v>143</v>
      </c>
      <c r="GK173" s="76">
        <f t="shared" si="19"/>
        <v>0</v>
      </c>
      <c r="GL173" s="76"/>
      <c r="GM173" s="76"/>
      <c r="GN173" s="76"/>
      <c r="GO173" s="76"/>
      <c r="GP173" s="76">
        <v>1</v>
      </c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</row>
    <row r="174" spans="1:212" ht="1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FY174" s="77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>
        <v>1</v>
      </c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</row>
    <row r="175" spans="1:212" ht="1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FY175" s="77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</row>
    <row r="176" spans="1:212" ht="1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FY176" s="77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>
        <v>1</v>
      </c>
      <c r="GO176" s="76"/>
      <c r="GP176" s="76">
        <v>1</v>
      </c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</row>
    <row r="177" spans="1:212" ht="1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FY177" s="77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</row>
    <row r="178" spans="1:212" ht="1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FY178" s="77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>
        <v>1</v>
      </c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</row>
    <row r="179" spans="1:212" ht="1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FY179" s="77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>
        <v>1</v>
      </c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</row>
    <row r="180" spans="1:212" ht="1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FY180" s="77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</row>
    <row r="181" spans="1:212" ht="1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FY181" s="77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</row>
    <row r="182" spans="1:212" ht="1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FY182" s="77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>
        <v>1</v>
      </c>
      <c r="GN182" s="76">
        <v>1</v>
      </c>
      <c r="GO182" s="76">
        <v>1</v>
      </c>
      <c r="GP182" s="76">
        <v>1</v>
      </c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</row>
    <row r="183" spans="1:212" ht="1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FY183" s="77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>
        <v>1</v>
      </c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</row>
    <row r="184" spans="1:212" ht="1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FY184" s="77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>
        <v>1</v>
      </c>
      <c r="GN184" s="76">
        <v>1</v>
      </c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</row>
    <row r="185" spans="1:212" ht="1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FY185" s="77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>
        <v>1</v>
      </c>
      <c r="GN185" s="76"/>
      <c r="GO185" s="76">
        <v>1</v>
      </c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</row>
    <row r="186" spans="1:212" ht="1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FY186" s="77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>
        <v>1</v>
      </c>
      <c r="GN186" s="76">
        <v>1</v>
      </c>
      <c r="GO186" s="76"/>
      <c r="GP186" s="76">
        <v>1</v>
      </c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</row>
    <row r="187" spans="1:212" ht="1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FY187" s="77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>
        <v>1</v>
      </c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</row>
    <row r="188" spans="1:212" ht="1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FY188" s="77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>
        <v>1</v>
      </c>
      <c r="GN188" s="76">
        <v>1</v>
      </c>
      <c r="GO188" s="76">
        <v>1</v>
      </c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</row>
    <row r="189" spans="1:212" ht="1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FY189" s="77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>
        <v>1</v>
      </c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</row>
    <row r="190" spans="1:212" ht="1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FY190" s="77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>
        <v>1</v>
      </c>
      <c r="GN190" s="76">
        <v>1</v>
      </c>
      <c r="GO190" s="76"/>
      <c r="GP190" s="76">
        <v>1</v>
      </c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</row>
    <row r="191" spans="1:212" ht="1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FY191" s="77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>
        <v>1</v>
      </c>
      <c r="GN191" s="76"/>
      <c r="GO191" s="76">
        <v>1</v>
      </c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</row>
    <row r="192" spans="1:212" ht="1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FY192" s="77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>
        <v>1</v>
      </c>
      <c r="GN192" s="76">
        <v>1</v>
      </c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</row>
    <row r="193" spans="1:212" ht="1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FY193" s="77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>
        <v>1</v>
      </c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</row>
    <row r="194" spans="1:212" ht="1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FY194" s="77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>
        <v>1</v>
      </c>
      <c r="GN194" s="76">
        <v>1</v>
      </c>
      <c r="GO194" s="76">
        <v>1</v>
      </c>
      <c r="GP194" s="76">
        <v>1</v>
      </c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</row>
    <row r="195" spans="1:212" ht="1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FY195" s="77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>
        <v>1</v>
      </c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</row>
    <row r="196" spans="1:212" ht="1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FY196" s="77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>
        <v>1</v>
      </c>
      <c r="GN196" s="76">
        <v>1</v>
      </c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</row>
    <row r="197" spans="1:212" ht="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FY197" s="77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>
        <v>1</v>
      </c>
      <c r="GN197" s="76"/>
      <c r="GO197" s="76">
        <v>1</v>
      </c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</row>
    <row r="198" spans="1:212" ht="1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FY198" s="77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>
        <v>1</v>
      </c>
      <c r="GN198" s="76">
        <v>1</v>
      </c>
      <c r="GO198" s="76"/>
      <c r="GP198" s="76">
        <v>1</v>
      </c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</row>
    <row r="199" spans="1:212" ht="1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FY199" s="77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>
        <v>1</v>
      </c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</row>
    <row r="200" spans="1:212" ht="1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FY200" s="77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>
        <v>1</v>
      </c>
      <c r="GN200" s="76">
        <v>1</v>
      </c>
      <c r="GO200" s="76">
        <v>1</v>
      </c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</row>
    <row r="201" spans="1:212" ht="1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FY201" s="77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>
        <v>1</v>
      </c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</row>
    <row r="202" spans="1:212" ht="1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FY202" s="77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>
        <v>1</v>
      </c>
      <c r="GN202" s="76">
        <v>1</v>
      </c>
      <c r="GO202" s="76"/>
      <c r="GP202" s="76">
        <v>1</v>
      </c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</row>
    <row r="203" spans="1:212" ht="1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FY203" s="77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>
        <v>1</v>
      </c>
      <c r="GN203" s="76"/>
      <c r="GO203" s="76">
        <v>1</v>
      </c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</row>
    <row r="204" spans="1:212" ht="1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FY204" s="77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>
        <v>1</v>
      </c>
      <c r="GN204" s="76">
        <v>1</v>
      </c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</row>
    <row r="205" spans="1:212" ht="1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FY205" s="77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>
        <v>1</v>
      </c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</row>
    <row r="206" spans="1:212" ht="1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FY206" s="77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>
        <v>1</v>
      </c>
      <c r="GN206" s="76">
        <v>1</v>
      </c>
      <c r="GO206" s="76">
        <v>1</v>
      </c>
      <c r="GP206" s="76">
        <v>1</v>
      </c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</row>
    <row r="207" spans="1:212" ht="1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FY207" s="77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>
        <v>1</v>
      </c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</row>
    <row r="208" spans="1:212" ht="1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FY208" s="77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>
        <v>1</v>
      </c>
      <c r="GN208" s="76">
        <v>1</v>
      </c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</row>
    <row r="209" spans="1:212" ht="1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FY209" s="77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>
        <v>1</v>
      </c>
      <c r="GN209" s="76"/>
      <c r="GO209" s="76">
        <v>1</v>
      </c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</row>
    <row r="210" spans="1:212" ht="1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FY210" s="77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>
        <v>1</v>
      </c>
      <c r="GN210" s="76">
        <v>1</v>
      </c>
      <c r="GO210" s="76"/>
      <c r="GP210" s="76">
        <v>1</v>
      </c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</row>
    <row r="211" spans="1:212" ht="1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FY211" s="77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>
        <v>1</v>
      </c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</row>
    <row r="212" spans="1:212" ht="1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FY212" s="77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>
        <v>1</v>
      </c>
      <c r="GN212" s="76">
        <v>1</v>
      </c>
      <c r="GO212" s="76">
        <v>1</v>
      </c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</row>
    <row r="213" spans="1:212" ht="1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FY213" s="77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>
        <v>1</v>
      </c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</row>
    <row r="214" spans="1:212" ht="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FY214" s="77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>
        <v>1</v>
      </c>
      <c r="GN214" s="76">
        <v>1</v>
      </c>
      <c r="GO214" s="76"/>
      <c r="GP214" s="76">
        <v>1</v>
      </c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</row>
    <row r="215" spans="1:212" ht="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FY215" s="77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>
        <v>1</v>
      </c>
      <c r="GN215" s="76"/>
      <c r="GO215" s="76">
        <v>1</v>
      </c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</row>
    <row r="216" spans="1:212" ht="1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FY216" s="77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>
        <v>1</v>
      </c>
      <c r="GN216" s="76">
        <v>1</v>
      </c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</row>
    <row r="217" spans="1:212" ht="1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FY217" s="77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>
        <v>1</v>
      </c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</row>
    <row r="218" spans="1:212" ht="1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FY218" s="77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>
        <v>1</v>
      </c>
      <c r="GN218" s="76">
        <v>1</v>
      </c>
      <c r="GO218" s="76">
        <v>1</v>
      </c>
      <c r="GP218" s="76">
        <v>1</v>
      </c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</row>
    <row r="219" spans="1:212" ht="1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FY219" s="77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>
        <v>1</v>
      </c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</row>
    <row r="220" spans="1:212" ht="1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FY220" s="77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>
        <v>1</v>
      </c>
      <c r="GN220" s="76">
        <v>1</v>
      </c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</row>
    <row r="221" spans="1:212" ht="1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FY221" s="77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>
        <v>1</v>
      </c>
      <c r="GN221" s="76"/>
      <c r="GO221" s="76">
        <v>1</v>
      </c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</row>
    <row r="222" spans="1:212" ht="1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FY222" s="77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>
        <v>1</v>
      </c>
      <c r="GN222" s="76"/>
      <c r="GO222" s="76"/>
      <c r="GP222" s="76">
        <v>1</v>
      </c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</row>
    <row r="223" spans="1:212" ht="1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FY223" s="77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>
        <v>1</v>
      </c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</row>
    <row r="224" spans="1:212" ht="1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FY224" s="77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>
        <v>1</v>
      </c>
      <c r="GN224" s="76"/>
      <c r="GO224" s="76">
        <v>1</v>
      </c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</row>
    <row r="225" spans="1:212" ht="1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FY225" s="77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>
        <v>1</v>
      </c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</row>
    <row r="226" spans="1:212" ht="1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FY226" s="77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>
        <v>1</v>
      </c>
      <c r="GN226" s="76"/>
      <c r="GO226" s="76"/>
      <c r="GP226" s="76">
        <v>1</v>
      </c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</row>
    <row r="227" spans="1:212" ht="1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FY227" s="77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>
        <v>1</v>
      </c>
      <c r="GN227" s="76"/>
      <c r="GO227" s="76">
        <v>1</v>
      </c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</row>
    <row r="228" spans="1:212" ht="1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FY228" s="77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>
        <v>1</v>
      </c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</row>
    <row r="229" spans="1:212" ht="1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FY229" s="77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>
        <v>1</v>
      </c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</row>
    <row r="230" spans="1:212" ht="1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FY230" s="77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</row>
    <row r="231" spans="1:212" ht="1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FY231" s="77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>
        <v>1</v>
      </c>
      <c r="GP231" s="76">
        <v>1</v>
      </c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</row>
    <row r="232" spans="1:212" ht="1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FY232" s="77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</row>
    <row r="233" spans="1:212" ht="1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FY233" s="77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</row>
    <row r="234" spans="1:212" ht="1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FY234" s="77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</row>
    <row r="235" spans="1:212" ht="1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FY235" s="77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</row>
    <row r="236" spans="1:212" ht="1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FY236" s="77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</row>
    <row r="237" spans="1:212" ht="1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FY237" s="77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</row>
    <row r="238" spans="1:212" ht="1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FY238" s="77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</row>
    <row r="239" spans="1:212" ht="1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FY239" s="77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</row>
    <row r="240" spans="1:212" ht="1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FY240" s="77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</row>
    <row r="241" spans="1:212" ht="1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FY241" s="77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</row>
    <row r="242" spans="1:212" ht="1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FY242" s="77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</row>
    <row r="243" spans="1:212" ht="1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FY243" s="77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</row>
    <row r="244" spans="1:212" ht="1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FY244" s="77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</row>
    <row r="245" spans="1:212" ht="1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FY245" s="77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</row>
    <row r="246" spans="1:212" ht="1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FY246" s="77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</row>
    <row r="247" spans="1:212" ht="1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FY247" s="77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</row>
    <row r="248" spans="1:212" ht="1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FY248" s="77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</row>
    <row r="249" spans="1:212" ht="1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FY249" s="77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</row>
    <row r="250" spans="1:212" ht="1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FY250" s="77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</row>
    <row r="251" spans="1:212" ht="1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FY251" s="77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</row>
    <row r="252" spans="1:212" ht="1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FY252" s="77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</row>
    <row r="253" spans="1:212" ht="1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FY253" s="77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</row>
    <row r="254" spans="1:212" ht="1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FY254" s="77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</row>
    <row r="255" spans="1:212" ht="1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FY255" s="77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</row>
    <row r="256" spans="1:212" ht="1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FY256" s="77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</row>
    <row r="257" spans="1:212" ht="1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FY257" s="77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</row>
    <row r="258" spans="1:212" ht="1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FY258" s="77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</row>
    <row r="259" spans="1:212" ht="1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FY259" s="77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</row>
    <row r="260" spans="1:212" ht="1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FY260" s="77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</row>
    <row r="261" spans="1:212" ht="1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FY261" s="77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</row>
    <row r="262" spans="1:212" ht="1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FY262" s="77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</row>
    <row r="263" spans="1:212" ht="1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FY263" s="77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</row>
    <row r="264" spans="1:212" ht="1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FY264" s="77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</row>
    <row r="265" spans="1:212" ht="1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FY265" s="77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</row>
    <row r="266" spans="1:212" ht="1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FY266" s="77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</row>
    <row r="267" spans="1:212" ht="1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FY267" s="77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</row>
    <row r="268" spans="1:212" ht="1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FY268" s="77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</row>
    <row r="269" spans="1:212" ht="1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FY269" s="77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</row>
    <row r="270" spans="1:212" ht="1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FY270" s="77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</row>
    <row r="271" spans="1:212" ht="1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FY271" s="77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</row>
    <row r="272" spans="1:212" ht="1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FY272" s="77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</row>
    <row r="273" spans="1:212" ht="1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FY273" s="77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</row>
    <row r="274" spans="1:212" ht="1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FY274" s="77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</row>
    <row r="275" spans="1:212" ht="1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FY275" s="77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</row>
    <row r="276" spans="1:212" ht="1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FY276" s="77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</row>
    <row r="277" spans="1:212" ht="1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FY277" s="77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</row>
    <row r="278" spans="1:212" ht="1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FY278" s="77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</row>
    <row r="279" spans="1:212" ht="1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FY279" s="77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</row>
    <row r="280" spans="1:212" ht="1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FY280" s="77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</row>
    <row r="281" spans="1:212" ht="1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FY281" s="77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</row>
    <row r="282" spans="1:212" ht="1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FY282" s="77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</row>
    <row r="283" spans="1:212" ht="1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FY283" s="77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</row>
    <row r="284" spans="1:212" ht="1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FY284" s="77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</row>
    <row r="285" spans="1:212" ht="1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FY285" s="77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</row>
    <row r="286" spans="1:212" ht="1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FY286" s="77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</row>
    <row r="287" spans="1:212" ht="1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FY287" s="77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</row>
    <row r="288" spans="1:212" ht="1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FY288" s="77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</row>
    <row r="289" spans="1:212" ht="1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FY289" s="77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</row>
    <row r="290" spans="1:212" ht="1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FY290" s="77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</row>
    <row r="291" spans="1:212" ht="1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FY291" s="77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</row>
    <row r="292" spans="1:212" ht="1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FY292" s="77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</row>
    <row r="293" spans="1:212" ht="1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FY293" s="77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</row>
    <row r="294" spans="1:212" ht="1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FY294" s="77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</row>
    <row r="295" spans="1:212" ht="1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FY295" s="77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</row>
    <row r="296" spans="1:212" ht="1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FY296" s="77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</row>
    <row r="297" spans="1:212" ht="1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FY297" s="77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</row>
    <row r="298" spans="1:212" ht="1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FY298" s="77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</row>
    <row r="299" spans="1:212" ht="1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FY299" s="77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</row>
    <row r="300" spans="1:212" ht="1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FY300" s="77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</row>
    <row r="301" spans="1:212" ht="1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FY301" s="77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</row>
    <row r="302" spans="1:212" ht="1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FY302" s="77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</row>
    <row r="303" spans="1:212" ht="1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FY303" s="77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</row>
    <row r="304" spans="1:212" ht="1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FY304" s="77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</row>
    <row r="305" spans="1:212" ht="1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FY305" s="77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</row>
    <row r="306" spans="1:212" ht="1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FY306" s="77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</row>
    <row r="307" spans="1:212" ht="1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FY307" s="77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</row>
    <row r="308" spans="1:212" ht="1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FY308" s="77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</row>
    <row r="309" spans="1:212" ht="1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FY309" s="77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</row>
    <row r="310" spans="1:212" ht="1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FY310" s="77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</row>
    <row r="311" spans="1:212" ht="1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FY311" s="77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</row>
    <row r="312" spans="1:212" ht="1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FY312" s="77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</row>
    <row r="313" spans="1:212" ht="1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FY313" s="77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</row>
    <row r="314" spans="1:212" ht="1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FY314" s="77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</row>
    <row r="315" spans="1:212" ht="1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FY315" s="77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</row>
    <row r="316" spans="1:212" ht="1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FY316" s="77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</row>
    <row r="317" spans="1:212" ht="1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FY317" s="77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</row>
    <row r="318" spans="1:212" ht="1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FY318" s="77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</row>
    <row r="319" spans="1:212" ht="1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FY319" s="77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</row>
    <row r="320" spans="1:212" ht="1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FY320" s="77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</row>
    <row r="321" spans="1:212" ht="1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FY321" s="77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</row>
    <row r="322" spans="1:212" ht="1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FY322" s="77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</row>
    <row r="323" spans="1:212" ht="1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FY323" s="77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</row>
    <row r="324" spans="1:212" ht="1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FY324" s="77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</row>
    <row r="325" spans="1:212" ht="1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FY325" s="77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</row>
    <row r="326" spans="1:212" ht="1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FY326" s="77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</row>
    <row r="327" spans="1:212" ht="1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FY327" s="77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</row>
    <row r="328" spans="1:212" ht="1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FY328" s="77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</row>
    <row r="329" spans="1:212" ht="1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FY329" s="77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</row>
    <row r="330" spans="1:212" ht="1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FY330" s="77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</row>
    <row r="331" spans="1:212" ht="1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FY331" s="77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</row>
    <row r="332" spans="1:212" ht="1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FY332" s="77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</row>
    <row r="333" spans="1:212" ht="1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FY333" s="77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</row>
    <row r="334" spans="1:212" ht="1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FY334" s="77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</row>
    <row r="335" spans="1:212" ht="1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FY335" s="77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</row>
    <row r="336" spans="1:212" ht="1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FY336" s="77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</row>
    <row r="337" spans="1:212" ht="1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FY337" s="77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</row>
    <row r="338" spans="1:212" ht="1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FY338" s="77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</row>
    <row r="339" spans="1:212" ht="1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FY339" s="77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</row>
    <row r="340" spans="1:212" ht="1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FY340" s="77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</row>
    <row r="341" spans="1:212" ht="1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FY341" s="77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</row>
    <row r="342" spans="1:212" ht="1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FY342" s="77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</row>
    <row r="343" spans="1:212" ht="1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FY343" s="77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</row>
    <row r="344" spans="1:212" ht="1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FY344" s="77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</row>
    <row r="345" spans="1:212" ht="1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FY345" s="77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</row>
    <row r="346" spans="1:212" ht="1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FY346" s="77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</row>
    <row r="347" spans="1:212" ht="1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FY347" s="77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</row>
    <row r="348" spans="1:212" ht="1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FY348" s="77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</row>
    <row r="349" spans="1:212" ht="1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FY349" s="77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</row>
    <row r="350" spans="1:212" ht="1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FY350" s="77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</row>
    <row r="351" spans="1:212" ht="1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FY351" s="77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</row>
    <row r="352" spans="1:212" ht="1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FY352" s="77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</row>
    <row r="353" spans="1:212" ht="1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FY353" s="77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</row>
    <row r="354" spans="1:212" ht="1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FY354" s="77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</row>
    <row r="355" spans="1:212" ht="1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FY355" s="77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</row>
    <row r="356" spans="1:212" ht="1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FY356" s="77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</row>
    <row r="357" spans="1:212" ht="1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FY357" s="77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</row>
    <row r="358" spans="1:212" ht="1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FY358" s="77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</row>
    <row r="359" spans="1:212" ht="1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FY359" s="77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</row>
    <row r="360" spans="1:212" ht="1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FY360" s="77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</row>
    <row r="361" spans="1:212" ht="1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FY361" s="77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</row>
    <row r="362" spans="1:212" ht="1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FY362" s="77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</row>
    <row r="363" spans="1:212" ht="1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FY363" s="77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</row>
    <row r="364" spans="1:212" ht="1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FY364" s="77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</row>
    <row r="365" spans="1:212" ht="1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FY365" s="77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</row>
    <row r="366" spans="1:212" ht="1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FY366" s="77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</row>
    <row r="367" spans="1:212" ht="1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FY367" s="77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</row>
    <row r="368" spans="1:212" ht="1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FY368" s="77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</row>
    <row r="369" spans="1:212" ht="1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FY369" s="77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</row>
    <row r="370" spans="1:212" ht="1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FY370" s="77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</row>
    <row r="371" spans="1:212" ht="1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FY371" s="77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</row>
    <row r="372" spans="1:212" ht="1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FY372" s="77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</row>
    <row r="373" spans="181:212" ht="15"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</row>
    <row r="374" spans="181:212" ht="15"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</row>
    <row r="375" spans="181:212" ht="15"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</row>
    <row r="376" spans="181:212" ht="15"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</row>
    <row r="377" spans="181:212" ht="15"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</row>
    <row r="378" spans="181:212" ht="15"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</row>
    <row r="379" spans="181:212" ht="15"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</row>
    <row r="380" spans="181:212" ht="15"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</row>
    <row r="381" spans="181:212" ht="15"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63</v>
      </c>
      <c r="D3" s="13" t="str">
        <f>+Input!F89</f>
        <v>Anno 1</v>
      </c>
      <c r="E3" s="13" t="str">
        <f>+Input!G89</f>
        <v>Anno 2</v>
      </c>
      <c r="F3" s="13" t="str">
        <f>+Input!H89</f>
        <v>Anno 3</v>
      </c>
      <c r="G3" s="13" t="str">
        <f>+Input!I89</f>
        <v>Anno 4</v>
      </c>
      <c r="H3" s="13" t="str">
        <f>+Input!J89</f>
        <v>Anno 5</v>
      </c>
      <c r="I3" s="15"/>
    </row>
    <row r="4" spans="2:9" ht="15">
      <c r="B4" s="16"/>
      <c r="C4" s="17" t="str">
        <f>+Input!C91</f>
        <v>spese utenze</v>
      </c>
      <c r="D4" s="33">
        <f>+Input!F91*Input!$D91</f>
        <v>2520</v>
      </c>
      <c r="E4" s="33">
        <f>+Input!G91*Input!$D91</f>
        <v>2520</v>
      </c>
      <c r="F4" s="33">
        <f>+Input!H91*Input!$D91</f>
        <v>2520</v>
      </c>
      <c r="G4" s="33">
        <f>+Input!I91*Input!$D91</f>
        <v>2520</v>
      </c>
      <c r="H4" s="33">
        <f>+Input!J91*Input!$D91</f>
        <v>2520</v>
      </c>
      <c r="I4" s="15"/>
    </row>
    <row r="5" spans="2:9" ht="15">
      <c r="B5" s="16"/>
      <c r="C5" s="17" t="str">
        <f>+Input!C92</f>
        <v>spese di rappresentanza</v>
      </c>
      <c r="D5" s="33">
        <f>+Input!F92*Input!$D92</f>
        <v>0</v>
      </c>
      <c r="E5" s="33">
        <f>+Input!G92*Input!$D92</f>
        <v>0</v>
      </c>
      <c r="F5" s="33">
        <f>+Input!H92*Input!$D92</f>
        <v>0</v>
      </c>
      <c r="G5" s="33">
        <f>+Input!I92*Input!$D92</f>
        <v>0</v>
      </c>
      <c r="H5" s="33">
        <f>+Input!J92*Input!$D92</f>
        <v>0</v>
      </c>
      <c r="I5" s="15"/>
    </row>
    <row r="6" spans="2:9" ht="15">
      <c r="B6" s="16"/>
      <c r="C6" s="17" t="str">
        <f>+Input!C93</f>
        <v>spese di pubblicità e promozioni</v>
      </c>
      <c r="D6" s="33">
        <f>+Input!F93*Input!$D93</f>
        <v>1050</v>
      </c>
      <c r="E6" s="33">
        <f>+Input!G93*Input!$D93</f>
        <v>210</v>
      </c>
      <c r="F6" s="33">
        <f>+Input!H93*Input!$D93</f>
        <v>210</v>
      </c>
      <c r="G6" s="33">
        <f>+Input!I93*Input!$D93</f>
        <v>210</v>
      </c>
      <c r="H6" s="33">
        <f>+Input!J93*Input!$D93</f>
        <v>210</v>
      </c>
      <c r="I6" s="15"/>
    </row>
    <row r="7" spans="2:9" ht="15">
      <c r="B7" s="16"/>
      <c r="C7" s="17" t="str">
        <f>+Input!C94</f>
        <v>beni strumentali inf. al milione</v>
      </c>
      <c r="D7" s="33">
        <f>+Input!F94*Input!$D94</f>
        <v>0</v>
      </c>
      <c r="E7" s="33">
        <f>+Input!G94*Input!$D94</f>
        <v>0</v>
      </c>
      <c r="F7" s="33">
        <f>+Input!H94*Input!$D94</f>
        <v>0</v>
      </c>
      <c r="G7" s="33">
        <f>+Input!I94*Input!$D94</f>
        <v>0</v>
      </c>
      <c r="H7" s="33">
        <f>+Input!J94*Input!$D94</f>
        <v>0</v>
      </c>
      <c r="I7" s="15"/>
    </row>
    <row r="8" spans="2:9" ht="15">
      <c r="B8" s="16"/>
      <c r="C8" s="17" t="str">
        <f>+Input!C95</f>
        <v>spese di trasporto</v>
      </c>
      <c r="D8" s="33">
        <f>+Input!F95*Input!$D95</f>
        <v>0</v>
      </c>
      <c r="E8" s="33">
        <f>+Input!G95*Input!$D95</f>
        <v>0</v>
      </c>
      <c r="F8" s="33">
        <f>+Input!H95*Input!$D95</f>
        <v>0</v>
      </c>
      <c r="G8" s="33">
        <f>+Input!I95*Input!$D95</f>
        <v>0</v>
      </c>
      <c r="H8" s="33">
        <f>+Input!J95*Input!$D95</f>
        <v>0</v>
      </c>
      <c r="I8" s="15"/>
    </row>
    <row r="9" spans="2:9" ht="15">
      <c r="B9" s="16"/>
      <c r="C9" s="17" t="str">
        <f>+Input!C96</f>
        <v>lavorazioni presso terzi</v>
      </c>
      <c r="D9" s="33">
        <f>+Input!F96*Input!$D96</f>
        <v>0</v>
      </c>
      <c r="E9" s="33">
        <f>+Input!G96*Input!$D96</f>
        <v>0</v>
      </c>
      <c r="F9" s="33">
        <f>+Input!H96*Input!$D96</f>
        <v>0</v>
      </c>
      <c r="G9" s="33">
        <f>+Input!I96*Input!$D96</f>
        <v>0</v>
      </c>
      <c r="H9" s="33">
        <f>+Input!J96*Input!$D96</f>
        <v>0</v>
      </c>
      <c r="I9" s="15"/>
    </row>
    <row r="10" spans="2:9" ht="15">
      <c r="B10" s="16"/>
      <c r="C10" s="17" t="str">
        <f>+Input!C97</f>
        <v>consulenze legali, fiscali, notarili, ecc…</v>
      </c>
      <c r="D10" s="33">
        <f>+Input!F97*Input!$D97</f>
        <v>126</v>
      </c>
      <c r="E10" s="33">
        <f>+Input!G97*Input!$D97</f>
        <v>126</v>
      </c>
      <c r="F10" s="33">
        <f>+Input!H97*Input!$D97</f>
        <v>126</v>
      </c>
      <c r="G10" s="33">
        <f>+Input!I97*Input!$D97</f>
        <v>126</v>
      </c>
      <c r="H10" s="33">
        <f>+Input!J97*Input!$D97</f>
        <v>126</v>
      </c>
      <c r="I10" s="15"/>
    </row>
    <row r="11" spans="2:9" ht="15">
      <c r="B11" s="16"/>
      <c r="C11" s="17" t="str">
        <f>+Input!C98</f>
        <v>compensi amministratori</v>
      </c>
      <c r="D11" s="33">
        <f>+Input!F98*Input!$D98</f>
        <v>0</v>
      </c>
      <c r="E11" s="33">
        <f>+Input!G98*Input!$D98</f>
        <v>0</v>
      </c>
      <c r="F11" s="33">
        <f>+Input!H98*Input!$D98</f>
        <v>0</v>
      </c>
      <c r="G11" s="33">
        <f>+Input!I98*Input!$D98</f>
        <v>0</v>
      </c>
      <c r="H11" s="33">
        <f>+Input!J98*Input!$D98</f>
        <v>0</v>
      </c>
      <c r="I11" s="15"/>
    </row>
    <row r="12" spans="2:9" ht="15">
      <c r="B12" s="16"/>
      <c r="C12" s="17" t="str">
        <f>+Input!C99</f>
        <v>affitti </v>
      </c>
      <c r="D12" s="33">
        <f>+Input!F99*Input!$D99</f>
        <v>0</v>
      </c>
      <c r="E12" s="33">
        <f>+Input!G99*Input!$D99</f>
        <v>0</v>
      </c>
      <c r="F12" s="33">
        <f>+Input!H99*Input!$D99</f>
        <v>0</v>
      </c>
      <c r="G12" s="33">
        <f>+Input!I99*Input!$D99</f>
        <v>0</v>
      </c>
      <c r="H12" s="33">
        <f>+Input!J99*Input!$D99</f>
        <v>0</v>
      </c>
      <c r="I12" s="15"/>
    </row>
    <row r="13" spans="2:9" ht="15">
      <c r="B13" s="16"/>
      <c r="C13" s="17" t="str">
        <f>+Input!C100</f>
        <v>altri costi amministrativi</v>
      </c>
      <c r="D13" s="33">
        <f>+Input!F100*Input!$D100</f>
        <v>0</v>
      </c>
      <c r="E13" s="33">
        <f>+Input!G100*Input!$D100</f>
        <v>0</v>
      </c>
      <c r="F13" s="33">
        <f>+Input!H100*Input!$D100</f>
        <v>0</v>
      </c>
      <c r="G13" s="33">
        <f>+Input!I100*Input!$D100</f>
        <v>0</v>
      </c>
      <c r="H13" s="33">
        <f>+Input!J100*Input!$D100</f>
        <v>0</v>
      </c>
      <c r="I13" s="15"/>
    </row>
    <row r="14" spans="2:9" ht="15">
      <c r="B14" s="16"/>
      <c r="C14" s="17" t="str">
        <f>+Input!C101</f>
        <v>Costi diversi</v>
      </c>
      <c r="D14" s="33">
        <f>+Input!F101*Input!$D101</f>
        <v>210</v>
      </c>
      <c r="E14" s="33">
        <f>+Input!G101*Input!$D101</f>
        <v>210</v>
      </c>
      <c r="F14" s="33">
        <f>+Input!H101*Input!$D101</f>
        <v>210</v>
      </c>
      <c r="G14" s="33">
        <f>+Input!I101*Input!$D101</f>
        <v>210</v>
      </c>
      <c r="H14" s="33">
        <f>+Input!J101*Input!$D101</f>
        <v>210</v>
      </c>
      <c r="I14" s="15"/>
    </row>
    <row r="15" spans="2:9" ht="15">
      <c r="B15" s="16"/>
      <c r="C15" s="17" t="str">
        <f>+Input!C102</f>
        <v>Premi assicurativi</v>
      </c>
      <c r="D15" s="33">
        <f>+Input!F102*Input!$D102</f>
        <v>0</v>
      </c>
      <c r="E15" s="33">
        <f>+Input!G102*Input!$D102</f>
        <v>0</v>
      </c>
      <c r="F15" s="33">
        <f>+Input!H102*Input!$D102</f>
        <v>0</v>
      </c>
      <c r="G15" s="33">
        <f>+Input!I102*Input!$D102</f>
        <v>0</v>
      </c>
      <c r="H15" s="33">
        <f>+Input!J102*Input!$D102</f>
        <v>0</v>
      </c>
      <c r="I15" s="15"/>
    </row>
    <row r="16" spans="2:9" ht="15">
      <c r="B16" s="16"/>
      <c r="C16" s="17" t="str">
        <f>+Input!C103</f>
        <v>Altri costi 1</v>
      </c>
      <c r="D16" s="33">
        <f>+Input!F103*Input!$D103</f>
        <v>0</v>
      </c>
      <c r="E16" s="33">
        <f>+Input!G103*Input!$D103</f>
        <v>0</v>
      </c>
      <c r="F16" s="33">
        <f>+Input!H103*Input!$D103</f>
        <v>0</v>
      </c>
      <c r="G16" s="33">
        <f>+Input!I103*Input!$D103</f>
        <v>0</v>
      </c>
      <c r="H16" s="33">
        <f>+Input!J103*Input!$D103</f>
        <v>0</v>
      </c>
      <c r="I16" s="15"/>
    </row>
    <row r="17" spans="2:9" ht="15">
      <c r="B17" s="16"/>
      <c r="C17" s="17" t="str">
        <f>+Input!C104</f>
        <v>Altri costi 2</v>
      </c>
      <c r="D17" s="33">
        <f>+Input!F104*Input!$D104</f>
        <v>0</v>
      </c>
      <c r="E17" s="33">
        <f>+Input!G104*Input!$D104</f>
        <v>0</v>
      </c>
      <c r="F17" s="33">
        <f>+Input!H104*Input!$D104</f>
        <v>0</v>
      </c>
      <c r="G17" s="33">
        <f>+Input!I104*Input!$D104</f>
        <v>0</v>
      </c>
      <c r="H17" s="33">
        <f>+Input!J104*Input!$D104</f>
        <v>0</v>
      </c>
      <c r="I17" s="15"/>
    </row>
    <row r="18" spans="2:9" ht="15">
      <c r="B18" s="16"/>
      <c r="C18" s="17" t="str">
        <f>+Input!C105</f>
        <v>Altri costi 3</v>
      </c>
      <c r="D18" s="33">
        <f>+Input!F105*Input!$D105</f>
        <v>0</v>
      </c>
      <c r="E18" s="33">
        <f>+Input!G105*Input!$D105</f>
        <v>0</v>
      </c>
      <c r="F18" s="33">
        <f>+Input!H105*Input!$D105</f>
        <v>0</v>
      </c>
      <c r="G18" s="33">
        <f>+Input!I105*Input!$D105</f>
        <v>0</v>
      </c>
      <c r="H18" s="33">
        <f>+Input!J105*Input!$D105</f>
        <v>0</v>
      </c>
      <c r="I18" s="15"/>
    </row>
    <row r="19" spans="2:9" ht="15">
      <c r="B19" s="16"/>
      <c r="C19" s="17" t="str">
        <f>+Input!C106</f>
        <v>Altri costi 4</v>
      </c>
      <c r="D19" s="33">
        <f>+Input!F106*Input!$D106</f>
        <v>0</v>
      </c>
      <c r="E19" s="33">
        <f>+Input!G106*Input!$D106</f>
        <v>0</v>
      </c>
      <c r="F19" s="33">
        <f>+Input!H106*Input!$D106</f>
        <v>0</v>
      </c>
      <c r="G19" s="33">
        <f>+Input!I106*Input!$D106</f>
        <v>0</v>
      </c>
      <c r="H19" s="33">
        <f>+Input!J106*Input!$D106</f>
        <v>0</v>
      </c>
      <c r="I19" s="15"/>
    </row>
    <row r="20" spans="2:9" ht="15">
      <c r="B20" s="16"/>
      <c r="C20" s="17" t="str">
        <f>+Input!C107</f>
        <v>Altri costi 5</v>
      </c>
      <c r="D20" s="33">
        <f>+Input!F107*Input!$D107</f>
        <v>0</v>
      </c>
      <c r="E20" s="33">
        <f>+Input!G107*Input!$D107</f>
        <v>0</v>
      </c>
      <c r="F20" s="33">
        <f>+Input!H107*Input!$D107</f>
        <v>0</v>
      </c>
      <c r="G20" s="33">
        <f>+Input!I107*Input!$D107</f>
        <v>0</v>
      </c>
      <c r="H20" s="33">
        <f>+Input!J107*Input!$D107</f>
        <v>0</v>
      </c>
      <c r="I20" s="15"/>
    </row>
    <row r="21" spans="2:9" ht="15">
      <c r="B21" s="16"/>
      <c r="C21" s="17" t="str">
        <f>+Input!C108</f>
        <v>Altri costi 6</v>
      </c>
      <c r="D21" s="33">
        <f>+Input!F108*Input!$D108</f>
        <v>0</v>
      </c>
      <c r="E21" s="33">
        <f>+Input!G108*Input!$D108</f>
        <v>0</v>
      </c>
      <c r="F21" s="33">
        <f>+Input!H108*Input!$D108</f>
        <v>0</v>
      </c>
      <c r="G21" s="33">
        <f>+Input!I108*Input!$D108</f>
        <v>0</v>
      </c>
      <c r="H21" s="33">
        <f>+Input!J108*Input!$D108</f>
        <v>0</v>
      </c>
      <c r="I21" s="15"/>
    </row>
    <row r="22" spans="2:9" ht="15">
      <c r="B22" s="16"/>
      <c r="C22" s="17" t="str">
        <f>+Input!C109</f>
        <v>Altri costi 7</v>
      </c>
      <c r="D22" s="33">
        <f>+Input!F109*Input!$D109</f>
        <v>0</v>
      </c>
      <c r="E22" s="33">
        <f>+Input!G109*Input!$D109</f>
        <v>0</v>
      </c>
      <c r="F22" s="33">
        <f>+Input!H109*Input!$D109</f>
        <v>0</v>
      </c>
      <c r="G22" s="33">
        <f>+Input!I109*Input!$D109</f>
        <v>0</v>
      </c>
      <c r="H22" s="33">
        <f>+Input!J109*Input!$D109</f>
        <v>0</v>
      </c>
      <c r="I22" s="15"/>
    </row>
    <row r="23" spans="2:9" ht="15">
      <c r="B23" s="16"/>
      <c r="C23" s="17" t="str">
        <f>+Input!C110</f>
        <v>Altri costi 8</v>
      </c>
      <c r="D23" s="33">
        <f>+Input!F110*Input!$D110</f>
        <v>0</v>
      </c>
      <c r="E23" s="33">
        <f>+Input!G110*Input!$D110</f>
        <v>0</v>
      </c>
      <c r="F23" s="33">
        <f>+Input!H110*Input!$D110</f>
        <v>0</v>
      </c>
      <c r="G23" s="33">
        <f>+Input!I110*Input!$D110</f>
        <v>0</v>
      </c>
      <c r="H23" s="33">
        <f>+Input!J110*Input!$D110</f>
        <v>0</v>
      </c>
      <c r="I23" s="15"/>
    </row>
    <row r="24" spans="2:9" ht="15">
      <c r="B24" s="16"/>
      <c r="C24" s="17" t="str">
        <f>+Input!C111</f>
        <v>Altri costi 9</v>
      </c>
      <c r="D24" s="33">
        <f>+Input!F111*Input!$D111</f>
        <v>0</v>
      </c>
      <c r="E24" s="33">
        <f>+Input!G111*Input!$D111</f>
        <v>0</v>
      </c>
      <c r="F24" s="33">
        <f>+Input!H111*Input!$D111</f>
        <v>0</v>
      </c>
      <c r="G24" s="33">
        <f>+Input!I111*Input!$D111</f>
        <v>0</v>
      </c>
      <c r="H24" s="33">
        <f>+Input!J111*Input!$D111</f>
        <v>0</v>
      </c>
      <c r="I24" s="15"/>
    </row>
    <row r="25" spans="2:9" ht="15">
      <c r="B25" s="16"/>
      <c r="C25" s="12" t="s">
        <v>256</v>
      </c>
      <c r="D25" s="34">
        <f>SUM(D4:D24)</f>
        <v>3906</v>
      </c>
      <c r="E25" s="34">
        <f>SUM(E4:E24)</f>
        <v>3066</v>
      </c>
      <c r="F25" s="34">
        <f>SUM(F4:F24)</f>
        <v>3066</v>
      </c>
      <c r="G25" s="34">
        <f>SUM(G4:G24)</f>
        <v>3066</v>
      </c>
      <c r="H25" s="34">
        <f>SUM(H4:H24)</f>
        <v>3066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43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+Input!F91+'Altri costi'!D4</f>
        <v>14520</v>
      </c>
      <c r="E30" s="45">
        <f>+Input!G91+'Altri costi'!E4</f>
        <v>14520</v>
      </c>
      <c r="F30" s="45">
        <f>+Input!H91+'Altri costi'!F4</f>
        <v>14520</v>
      </c>
      <c r="G30" s="45">
        <f>+Input!I91+'Altri costi'!G4</f>
        <v>14520</v>
      </c>
      <c r="H30" s="45">
        <f>+Input!J91+'Altri costi'!H4</f>
        <v>14520</v>
      </c>
      <c r="I30" s="15"/>
    </row>
    <row r="31" spans="2:9" ht="15">
      <c r="B31" s="16"/>
      <c r="C31" s="17" t="str">
        <f t="shared" si="0"/>
        <v>spese di rappresentanza</v>
      </c>
      <c r="D31" s="45">
        <f>+Input!F92+'Altri costi'!D5</f>
        <v>0</v>
      </c>
      <c r="E31" s="45">
        <f>+Input!G92+'Altri costi'!E5</f>
        <v>0</v>
      </c>
      <c r="F31" s="45">
        <f>+Input!H92+'Altri costi'!F5</f>
        <v>0</v>
      </c>
      <c r="G31" s="45">
        <f>+Input!I92+'Altri costi'!G5</f>
        <v>0</v>
      </c>
      <c r="H31" s="45">
        <f>+Input!J92+'Altri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+Input!F93+'Altri costi'!D6</f>
        <v>6050</v>
      </c>
      <c r="E32" s="45">
        <f>+Input!G93+'Altri costi'!E6</f>
        <v>1210</v>
      </c>
      <c r="F32" s="45">
        <f>+Input!H93+'Altri costi'!F6</f>
        <v>1210</v>
      </c>
      <c r="G32" s="45">
        <f>+Input!I93+'Altri costi'!G6</f>
        <v>1210</v>
      </c>
      <c r="H32" s="45">
        <f>+Input!J93+'Altri costi'!H6</f>
        <v>1210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+Input!F94+'Altri costi'!D7</f>
        <v>0</v>
      </c>
      <c r="E33" s="45">
        <f>+Input!G94+'Altri costi'!E7</f>
        <v>0</v>
      </c>
      <c r="F33" s="45">
        <f>+Input!H94+'Altri costi'!F7</f>
        <v>0</v>
      </c>
      <c r="G33" s="45">
        <f>+Input!I94+'Altri costi'!G7</f>
        <v>0</v>
      </c>
      <c r="H33" s="45">
        <f>+Input!J94+'Altri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+Input!F95+'Altri costi'!D8</f>
        <v>0</v>
      </c>
      <c r="E34" s="45">
        <f>+Input!G95+'Altri costi'!E8</f>
        <v>0</v>
      </c>
      <c r="F34" s="45">
        <f>+Input!H95+'Altri costi'!F8</f>
        <v>0</v>
      </c>
      <c r="G34" s="45">
        <f>+Input!I95+'Altri costi'!G8</f>
        <v>0</v>
      </c>
      <c r="H34" s="45">
        <f>+Input!J95+'Altri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+Input!F96+'Altri costi'!D9</f>
        <v>0</v>
      </c>
      <c r="E35" s="45">
        <f>+Input!G96+'Altri costi'!E9</f>
        <v>0</v>
      </c>
      <c r="F35" s="45">
        <f>+Input!H96+'Altri costi'!F9</f>
        <v>0</v>
      </c>
      <c r="G35" s="45">
        <f>+Input!I96+'Altri costi'!G9</f>
        <v>0</v>
      </c>
      <c r="H35" s="45">
        <f>+Input!J96+'Altri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+Input!F97+'Altri costi'!D10</f>
        <v>726</v>
      </c>
      <c r="E36" s="45">
        <f>+Input!G97+'Altri costi'!E10</f>
        <v>726</v>
      </c>
      <c r="F36" s="45">
        <f>+Input!H97+'Altri costi'!F10</f>
        <v>726</v>
      </c>
      <c r="G36" s="45">
        <f>+Input!I97+'Altri costi'!G10</f>
        <v>726</v>
      </c>
      <c r="H36" s="45">
        <f>+Input!J97+'Altri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+Input!F98+'Altri costi'!D11</f>
        <v>0</v>
      </c>
      <c r="E37" s="45">
        <f>+Input!G98+'Altri costi'!E11</f>
        <v>0</v>
      </c>
      <c r="F37" s="45">
        <f>+Input!H98+'Altri costi'!F11</f>
        <v>0</v>
      </c>
      <c r="G37" s="45">
        <f>+Input!I98+'Altri costi'!G11</f>
        <v>0</v>
      </c>
      <c r="H37" s="45">
        <f>+Input!J98+'Altri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+Input!F99+'Altri costi'!D12</f>
        <v>15000</v>
      </c>
      <c r="E38" s="45">
        <f>+Input!G99+'Altri costi'!E12</f>
        <v>15000</v>
      </c>
      <c r="F38" s="45">
        <f>+Input!H99+'Altri costi'!F12</f>
        <v>15000</v>
      </c>
      <c r="G38" s="45">
        <f>+Input!I99+'Altri costi'!G12</f>
        <v>15000</v>
      </c>
      <c r="H38" s="45">
        <f>+Input!J99+'Altri costi'!H12</f>
        <v>15000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+Input!F100+'Altri costi'!D13</f>
        <v>0</v>
      </c>
      <c r="E39" s="45">
        <f>+Input!G100+'Altri costi'!E13</f>
        <v>0</v>
      </c>
      <c r="F39" s="45">
        <f>+Input!H100+'Altri costi'!F13</f>
        <v>0</v>
      </c>
      <c r="G39" s="45">
        <f>+Input!I100+'Altri costi'!G13</f>
        <v>0</v>
      </c>
      <c r="H39" s="45">
        <f>+Input!J100+'Altri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+Input!F101+'Altri costi'!D14</f>
        <v>1210</v>
      </c>
      <c r="E40" s="45">
        <f>+Input!G101+'Altri costi'!E14</f>
        <v>1210</v>
      </c>
      <c r="F40" s="45">
        <f>+Input!H101+'Altri costi'!F14</f>
        <v>1210</v>
      </c>
      <c r="G40" s="45">
        <f>+Input!I101+'Altri costi'!G14</f>
        <v>1210</v>
      </c>
      <c r="H40" s="45">
        <f>+Input!J101+'Altri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+Input!F102+'Altri costi'!D15</f>
        <v>2000</v>
      </c>
      <c r="E41" s="45">
        <f>+Input!G102+'Altri costi'!E15</f>
        <v>2000</v>
      </c>
      <c r="F41" s="45">
        <f>+Input!H102+'Altri costi'!F15</f>
        <v>2000</v>
      </c>
      <c r="G41" s="45">
        <f>+Input!I102+'Altri costi'!G15</f>
        <v>2000</v>
      </c>
      <c r="H41" s="45">
        <f>+Input!J102+'Altri costi'!H15</f>
        <v>2000</v>
      </c>
      <c r="I41" s="15"/>
    </row>
    <row r="42" spans="2:9" ht="15">
      <c r="B42" s="16"/>
      <c r="C42" s="17" t="str">
        <f t="shared" si="0"/>
        <v>Altri costi 1</v>
      </c>
      <c r="D42" s="45">
        <f>+Input!F103+'Altri costi'!D16</f>
        <v>0</v>
      </c>
      <c r="E42" s="45">
        <f>+Input!G103+'Altri costi'!E16</f>
        <v>0</v>
      </c>
      <c r="F42" s="45">
        <f>+Input!H103+'Altri costi'!F16</f>
        <v>0</v>
      </c>
      <c r="G42" s="45">
        <f>+Input!I103+'Altri costi'!G16</f>
        <v>0</v>
      </c>
      <c r="H42" s="45">
        <f>+Input!J103+'Altri costi'!H16</f>
        <v>0</v>
      </c>
      <c r="I42" s="15"/>
    </row>
    <row r="43" spans="2:9" ht="15">
      <c r="B43" s="16"/>
      <c r="C43" s="17" t="str">
        <f t="shared" si="0"/>
        <v>Altri costi 2</v>
      </c>
      <c r="D43" s="45">
        <f>+Input!F104+'Altri costi'!D17</f>
        <v>0</v>
      </c>
      <c r="E43" s="45">
        <f>+Input!G104+'Altri costi'!E17</f>
        <v>0</v>
      </c>
      <c r="F43" s="45">
        <f>+Input!H104+'Altri costi'!F17</f>
        <v>0</v>
      </c>
      <c r="G43" s="45">
        <f>+Input!I104+'Altri costi'!G17</f>
        <v>0</v>
      </c>
      <c r="H43" s="45">
        <f>+Input!J104+'Altri costi'!H17</f>
        <v>0</v>
      </c>
      <c r="I43" s="15"/>
    </row>
    <row r="44" spans="2:9" ht="15">
      <c r="B44" s="16"/>
      <c r="C44" s="17" t="str">
        <f t="shared" si="0"/>
        <v>Altri costi 3</v>
      </c>
      <c r="D44" s="45">
        <f>+Input!F105+'Altri costi'!D18</f>
        <v>0</v>
      </c>
      <c r="E44" s="45">
        <f>+Input!G105+'Altri costi'!E18</f>
        <v>0</v>
      </c>
      <c r="F44" s="45">
        <f>+Input!H105+'Altri costi'!F18</f>
        <v>0</v>
      </c>
      <c r="G44" s="45">
        <f>+Input!I105+'Altri costi'!G18</f>
        <v>0</v>
      </c>
      <c r="H44" s="45">
        <f>+Input!J105+'Altri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+Input!F106+'Altri costi'!D19</f>
        <v>0</v>
      </c>
      <c r="E45" s="45">
        <f>+Input!G106+'Altri costi'!E19</f>
        <v>0</v>
      </c>
      <c r="F45" s="45">
        <f>+Input!H106+'Altri costi'!F19</f>
        <v>0</v>
      </c>
      <c r="G45" s="45">
        <f>+Input!I106+'Altri costi'!G19</f>
        <v>0</v>
      </c>
      <c r="H45" s="45">
        <f>+Input!J106+'Altri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+Input!F107+'Altri costi'!D20</f>
        <v>0</v>
      </c>
      <c r="E46" s="45">
        <f>+Input!G107+'Altri costi'!E20</f>
        <v>0</v>
      </c>
      <c r="F46" s="45">
        <f>+Input!H107+'Altri costi'!F20</f>
        <v>0</v>
      </c>
      <c r="G46" s="45">
        <f>+Input!I107+'Altri costi'!G20</f>
        <v>0</v>
      </c>
      <c r="H46" s="45">
        <f>+Input!J107+'Altri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+Input!F108+'Altri costi'!D21</f>
        <v>0</v>
      </c>
      <c r="E47" s="45">
        <f>+Input!G108+'Altri costi'!E21</f>
        <v>0</v>
      </c>
      <c r="F47" s="45">
        <f>+Input!H108+'Altri costi'!F21</f>
        <v>0</v>
      </c>
      <c r="G47" s="45">
        <f>+Input!I108+'Altri costi'!G21</f>
        <v>0</v>
      </c>
      <c r="H47" s="45">
        <f>+Input!J108+'Altri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+Input!F109+'Altri costi'!D22</f>
        <v>0</v>
      </c>
      <c r="E48" s="45">
        <f>+Input!G109+'Altri costi'!E22</f>
        <v>0</v>
      </c>
      <c r="F48" s="45">
        <f>+Input!H109+'Altri costi'!F22</f>
        <v>0</v>
      </c>
      <c r="G48" s="45">
        <f>+Input!I109+'Altri costi'!G22</f>
        <v>0</v>
      </c>
      <c r="H48" s="45">
        <f>+Input!J109+'Altri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+Input!F110+'Altri costi'!D23</f>
        <v>0</v>
      </c>
      <c r="E49" s="45">
        <f>+Input!G110+'Altri costi'!E23</f>
        <v>0</v>
      </c>
      <c r="F49" s="45">
        <f>+Input!H110+'Altri costi'!F23</f>
        <v>0</v>
      </c>
      <c r="G49" s="45">
        <f>+Input!I110+'Altri costi'!G23</f>
        <v>0</v>
      </c>
      <c r="H49" s="45">
        <f>+Input!J110+'Altri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+Input!F111+'Altri costi'!D24</f>
        <v>0</v>
      </c>
      <c r="E50" s="45">
        <f>+Input!G111+'Altri costi'!E24</f>
        <v>0</v>
      </c>
      <c r="F50" s="45">
        <f>+Input!H111+'Altri costi'!F24</f>
        <v>0</v>
      </c>
      <c r="G50" s="45">
        <f>+Input!I111+'Altri costi'!G24</f>
        <v>0</v>
      </c>
      <c r="H50" s="45">
        <f>+Input!J111+'Altri costi'!H24</f>
        <v>0</v>
      </c>
      <c r="I50" s="15"/>
    </row>
    <row r="51" spans="2:9" ht="15">
      <c r="B51" s="16"/>
      <c r="C51" s="12" t="s">
        <v>67</v>
      </c>
      <c r="D51" s="50">
        <f>SUM(D30:D50)</f>
        <v>39506</v>
      </c>
      <c r="E51" s="50">
        <f>SUM(E30:E50)</f>
        <v>34666</v>
      </c>
      <c r="F51" s="50">
        <f>SUM(F30:F50)</f>
        <v>34666</v>
      </c>
      <c r="G51" s="50">
        <f>SUM(G30:G50)</f>
        <v>34666</v>
      </c>
      <c r="H51" s="50">
        <f>SUM(H30:H50)</f>
        <v>34666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7">
      <selection activeCell="J31" sqref="J31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277</v>
      </c>
      <c r="C2" t="str">
        <f>+Input!D14</f>
        <v>mensile</v>
      </c>
    </row>
    <row r="4" spans="2:7" ht="15">
      <c r="B4" s="86" t="s">
        <v>260</v>
      </c>
      <c r="C4" s="7" t="s">
        <v>268</v>
      </c>
      <c r="D4" s="7" t="s">
        <v>269</v>
      </c>
      <c r="E4" s="7" t="s">
        <v>270</v>
      </c>
      <c r="F4" s="7" t="s">
        <v>271</v>
      </c>
      <c r="G4" s="7" t="s">
        <v>272</v>
      </c>
    </row>
    <row r="5" spans="2:8" ht="15">
      <c r="B5" s="17" t="s">
        <v>24</v>
      </c>
      <c r="C5" s="26">
        <f>+MCL!M41</f>
        <v>32550</v>
      </c>
      <c r="D5" s="26">
        <f>+MCL!N41</f>
        <v>49313.25</v>
      </c>
      <c r="E5" s="26">
        <f>+MCL!O41</f>
        <v>64748.29725</v>
      </c>
      <c r="F5" s="26">
        <f>+MCL!P41</f>
        <v>68665.569233625</v>
      </c>
      <c r="G5" s="26">
        <f>+MCL!Q41</f>
        <v>72819.83617225933</v>
      </c>
      <c r="H5" s="85"/>
    </row>
    <row r="6" spans="2:8" ht="15">
      <c r="B6" s="17" t="s">
        <v>29</v>
      </c>
      <c r="C6" s="26">
        <f>+MCL!M55+Inve!M6+'Altri costi'!D25</f>
        <v>37263.89473684211</v>
      </c>
      <c r="D6" s="26">
        <f>+MCL!N55+Inve!N6+'Altri costi'!E25</f>
        <v>15425.21052631579</v>
      </c>
      <c r="E6" s="26">
        <f>+MCL!O55+Inve!O6+'Altri costi'!F25</f>
        <v>19293.643421052635</v>
      </c>
      <c r="F6" s="26">
        <f>+MCL!P55+Inve!P6+'Altri costi'!G25</f>
        <v>20275.415848026318</v>
      </c>
      <c r="G6" s="26">
        <f>+MCL!Q55+Inve!Q6+'Altri costi'!H25</f>
        <v>21316.58550683191</v>
      </c>
      <c r="H6" s="85"/>
    </row>
    <row r="7" spans="2:8" ht="15">
      <c r="B7" s="87"/>
      <c r="C7" s="35">
        <f>+C6-C5</f>
        <v>4713.894736842107</v>
      </c>
      <c r="D7" s="35">
        <f>+D6-D5</f>
        <v>-33888.03947368421</v>
      </c>
      <c r="E7" s="35">
        <f>+E6-E5</f>
        <v>-45454.65382894737</v>
      </c>
      <c r="F7" s="35">
        <f>+F6-F5</f>
        <v>-48390.15338559869</v>
      </c>
      <c r="G7" s="35">
        <f>+G6-G5</f>
        <v>-51503.25066542742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261</v>
      </c>
      <c r="C9" s="87"/>
      <c r="D9" s="87"/>
      <c r="E9" s="87"/>
      <c r="F9" s="87"/>
      <c r="G9" s="87"/>
      <c r="H9" s="87"/>
    </row>
    <row r="10" spans="2:8" ht="15">
      <c r="B10" s="86" t="s">
        <v>262</v>
      </c>
      <c r="C10" s="26">
        <f>+C7</f>
        <v>4713.894736842107</v>
      </c>
      <c r="D10" s="26">
        <f>+D7</f>
        <v>-33888.03947368421</v>
      </c>
      <c r="E10" s="26">
        <f>+E7</f>
        <v>-45454.65382894737</v>
      </c>
      <c r="F10" s="26">
        <f>+F7</f>
        <v>-48390.15338559869</v>
      </c>
      <c r="G10" s="26">
        <f>+G7</f>
        <v>-51503.25066542742</v>
      </c>
      <c r="H10" s="87"/>
    </row>
    <row r="11" spans="2:8" ht="15">
      <c r="B11" s="86" t="s">
        <v>263</v>
      </c>
      <c r="C11" s="26">
        <v>0</v>
      </c>
      <c r="D11" s="26">
        <f>+IF(D10&gt;0,0,IF(C13&gt;-D10,-D10,C13))</f>
        <v>4713.894736842107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264</v>
      </c>
      <c r="C12" s="26">
        <f>+IF((C10+C11)&gt;0,0,(C10+C11))</f>
        <v>0</v>
      </c>
      <c r="D12" s="26">
        <f>+IF((D10+D11)&gt;0,0,(D10+D11))</f>
        <v>-29174.144736842107</v>
      </c>
      <c r="E12" s="26">
        <f>+IF((E10+E11)&gt;0,0,(E10+E11))</f>
        <v>-45454.65382894737</v>
      </c>
      <c r="F12" s="26">
        <f>+IF((F10+F11)&gt;0,0,(F10+F11))</f>
        <v>-48390.15338559869</v>
      </c>
      <c r="G12" s="26">
        <f>+IF((G10+G11)&gt;0,0,(G10+G11))</f>
        <v>-51503.25066542742</v>
      </c>
      <c r="H12" s="87"/>
    </row>
    <row r="13" spans="2:8" ht="15">
      <c r="B13" s="86" t="s">
        <v>265</v>
      </c>
      <c r="C13" s="26">
        <f>+IF(C6&gt;C5,C6-C5,0)</f>
        <v>4713.894736842107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266</v>
      </c>
      <c r="C14" s="26">
        <f>+C12*(11/12)</f>
        <v>0</v>
      </c>
      <c r="D14" s="26">
        <f>+(D12*(11/12))+(C12-C14)</f>
        <v>-26742.96600877193</v>
      </c>
      <c r="E14" s="26">
        <f>+(E12*(11/12))+(D12-D14)+(C12-C14)</f>
        <v>-44097.9447379386</v>
      </c>
      <c r="F14" s="26">
        <f>+(F12*(11/12))+(E12-E14)+(D12-D14)+(C12-C14)</f>
        <v>-48145.52842254441</v>
      </c>
      <c r="G14" s="26">
        <f>+(G12*(11/12))+(F12-F14)+(E12-E14)+(D12-D14)+(C12-C14)</f>
        <v>-51243.82589210836</v>
      </c>
      <c r="H14" s="87"/>
    </row>
    <row r="15" spans="2:8" ht="15">
      <c r="B15" s="87"/>
      <c r="C15" s="89">
        <f>+C12-C14</f>
        <v>0</v>
      </c>
      <c r="D15" s="89">
        <f>+D12-D14</f>
        <v>-2431.1787280701756</v>
      </c>
      <c r="E15" s="89">
        <f>+E12-E14</f>
        <v>-1356.7090910087718</v>
      </c>
      <c r="F15" s="89">
        <f>+F12-F14</f>
        <v>-244.62496305428067</v>
      </c>
      <c r="G15" s="89">
        <f>+G12-G14</f>
        <v>-259.42477331905684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267</v>
      </c>
      <c r="C17" s="87"/>
      <c r="D17" s="87"/>
      <c r="E17" s="87"/>
      <c r="F17" s="87"/>
      <c r="G17" s="87"/>
      <c r="H17" s="87"/>
    </row>
    <row r="18" spans="2:8" ht="15">
      <c r="B18" s="86" t="s">
        <v>273</v>
      </c>
      <c r="C18" s="26">
        <f>+C7</f>
        <v>4713.894736842107</v>
      </c>
      <c r="D18" s="26">
        <f>+D7</f>
        <v>-33888.03947368421</v>
      </c>
      <c r="E18" s="26">
        <f>+E7</f>
        <v>-45454.65382894737</v>
      </c>
      <c r="F18" s="26">
        <f>+F7</f>
        <v>-48390.15338559869</v>
      </c>
      <c r="G18" s="26">
        <f>+G7</f>
        <v>-51503.25066542742</v>
      </c>
      <c r="H18" s="87"/>
    </row>
    <row r="19" spans="2:8" ht="15">
      <c r="B19" s="86" t="s">
        <v>263</v>
      </c>
      <c r="C19" s="26">
        <v>0</v>
      </c>
      <c r="D19" s="26">
        <f>+IF(D18&gt;0,0,IF(C21&gt;-D18,-D18,C21))</f>
        <v>4713.894736842107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264</v>
      </c>
      <c r="C20" s="26">
        <f>+IF((C18+C19)&gt;0,0,(C18+C19))</f>
        <v>0</v>
      </c>
      <c r="D20" s="26">
        <f>+IF((D18+D19)&gt;0,0,(D18+D19))</f>
        <v>-29174.144736842107</v>
      </c>
      <c r="E20" s="26">
        <f>+IF((E18+E19)&gt;0,0,(E18+E19))</f>
        <v>-45454.65382894737</v>
      </c>
      <c r="F20" s="26">
        <f>+IF((F18+F19)&gt;0,0,(F18+F19))</f>
        <v>-48390.15338559869</v>
      </c>
      <c r="G20" s="26">
        <f>+IF((G18+G19)&gt;0,0,(G18+G19))</f>
        <v>-51503.25066542742</v>
      </c>
      <c r="H20" s="87"/>
    </row>
    <row r="21" spans="2:8" ht="15">
      <c r="B21" s="86" t="s">
        <v>265</v>
      </c>
      <c r="C21" s="26">
        <f>+IF(C6&gt;C5,C6-C5,0)</f>
        <v>4713.894736842107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266</v>
      </c>
      <c r="C22" s="26">
        <f>+C20*(9/12)</f>
        <v>0</v>
      </c>
      <c r="D22" s="26">
        <f>+(D20*(9/12))+(C20-C22)</f>
        <v>-21880.60855263158</v>
      </c>
      <c r="E22" s="26">
        <f>+(E20*(9/12)*(9/12))+(D20-D22)+(C20-C22)</f>
        <v>-32861.77896299342</v>
      </c>
      <c r="F22" s="26">
        <f>+(F20*(9/12))+(E20-E22)+(D20-D22)+(C20-C22)</f>
        <v>-56179.0260893635</v>
      </c>
      <c r="G22" s="26">
        <f>+(G20*(9/12))+(F20-F22)+(E20-E22)+(D20-D22)+(C20-C22)</f>
        <v>-50724.97634547023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29</v>
      </c>
      <c r="C25" s="26">
        <f>+IF($C$2="mensile",C13,C21)</f>
        <v>4713.894736842107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24</v>
      </c>
      <c r="C26" s="26">
        <f>+IF($C$2="mensile",-(C12-C14),-(C20-C22))</f>
        <v>0</v>
      </c>
      <c r="D26" s="26">
        <f>+IF($C$2="mensile",-(D12-D14),-(D20-D22))+C26</f>
        <v>2431.1787280701756</v>
      </c>
      <c r="E26" s="26">
        <f>+IF($C$2="mensile",-(E12-E14),-(E20-E22))+D26</f>
        <v>3787.8878190789474</v>
      </c>
      <c r="F26" s="26">
        <f>+IF($C$2="mensile",-(F12-F14),-(F20-F22))+E26</f>
        <v>4032.512782133228</v>
      </c>
      <c r="G26" s="26">
        <f>+IF($C$2="mensile",-(G12-G14),-(G20-G22))+F26</f>
        <v>4291.937555452285</v>
      </c>
      <c r="H26" s="87"/>
    </row>
    <row r="27" spans="2:8" ht="15">
      <c r="B27" s="86" t="s">
        <v>266</v>
      </c>
      <c r="C27" s="26">
        <f>IF($C$2="mensile",-C14,-C22)</f>
        <v>0</v>
      </c>
      <c r="D27" s="26">
        <f>IF($C$2="mensile",-D14,-D22)</f>
        <v>26742.96600877193</v>
      </c>
      <c r="E27" s="26">
        <f>IF($C$2="mensile",-E14,-E22)</f>
        <v>44097.9447379386</v>
      </c>
      <c r="F27" s="26">
        <f>IF($C$2="mensile",-F14,-F22)</f>
        <v>48145.52842254441</v>
      </c>
      <c r="G27" s="26">
        <f>IF($C$2="mensile",-G14,-G22)</f>
        <v>51243.82589210836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278</v>
      </c>
    </row>
    <row r="32" ht="15">
      <c r="B32" t="s">
        <v>278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299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293</v>
      </c>
      <c r="E6" s="34">
        <f>+'CE'!D47</f>
        <v>-9752.157105638998</v>
      </c>
      <c r="F6" s="34">
        <f>+'CE'!E47</f>
        <v>2830.540878069907</v>
      </c>
      <c r="G6" s="34">
        <f>+'CE'!F47</f>
        <v>32461.228301815212</v>
      </c>
      <c r="H6" s="34">
        <f>+'CE'!G47</f>
        <v>41790.22691167014</v>
      </c>
      <c r="I6" s="34">
        <f>+'CE'!H47</f>
        <v>51688.31388170863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294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295</v>
      </c>
      <c r="E9" s="33">
        <f>+'CE'!D39</f>
        <v>29641.5</v>
      </c>
      <c r="F9" s="33">
        <f>+'CE'!E39</f>
        <v>59283</v>
      </c>
      <c r="G9" s="33">
        <f>+'CE'!F39</f>
        <v>64929</v>
      </c>
      <c r="H9" s="33">
        <f>+'CE'!G39</f>
        <v>64929</v>
      </c>
      <c r="I9" s="33">
        <f>+'CE'!H39</f>
        <v>64929</v>
      </c>
      <c r="J9" s="15"/>
    </row>
    <row r="10" spans="2:10" ht="15">
      <c r="B10" s="16"/>
      <c r="C10" s="17"/>
      <c r="D10" s="17" t="s">
        <v>230</v>
      </c>
      <c r="E10" s="33">
        <f>+'CE'!D42</f>
        <v>0</v>
      </c>
      <c r="F10" s="33">
        <f>+'CE'!E42</f>
        <v>0</v>
      </c>
      <c r="G10" s="33">
        <f>+'CE'!F42</f>
        <v>0</v>
      </c>
      <c r="H10" s="33">
        <f>+'CE'!G42</f>
        <v>0</v>
      </c>
      <c r="I10" s="33">
        <f>+'CE'!H42</f>
        <v>0</v>
      </c>
      <c r="J10" s="15"/>
    </row>
    <row r="11" spans="2:10" ht="15">
      <c r="B11" s="16"/>
      <c r="C11" s="17"/>
      <c r="D11" s="12" t="s">
        <v>296</v>
      </c>
      <c r="E11" s="34">
        <f>SUM(E9:E10)</f>
        <v>29641.5</v>
      </c>
      <c r="F11" s="34">
        <f>SUM(F9:F10)</f>
        <v>59283</v>
      </c>
      <c r="G11" s="34">
        <f>SUM(G9:G10)</f>
        <v>64929</v>
      </c>
      <c r="H11" s="34">
        <f>SUM(H9:H10)</f>
        <v>64929</v>
      </c>
      <c r="I11" s="34">
        <f>SUM(I9:I10)</f>
        <v>64929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297</v>
      </c>
      <c r="E14" s="45">
        <f>+E6+E11</f>
        <v>19889.342894361</v>
      </c>
      <c r="F14" s="45">
        <f>+F6+F11</f>
        <v>62113.54087806991</v>
      </c>
      <c r="G14" s="45">
        <f>+G6+G11</f>
        <v>97390.22830181521</v>
      </c>
      <c r="H14" s="45">
        <f>+H6+H11</f>
        <v>106719.22691167015</v>
      </c>
      <c r="I14" s="45">
        <f>+I6+I11</f>
        <v>116617.31388170863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300</v>
      </c>
      <c r="E16" s="45">
        <f>+E14*$D$3</f>
        <v>775.6843728800791</v>
      </c>
      <c r="F16" s="45">
        <f>+F14*$D$3</f>
        <v>2422.4280942447263</v>
      </c>
      <c r="G16" s="45">
        <f>+G14*$D$3</f>
        <v>3798.218903770793</v>
      </c>
      <c r="H16" s="45">
        <f>+H14*$D$3</f>
        <v>4162.049849555136</v>
      </c>
      <c r="I16" s="45">
        <f>+I14*$D$3</f>
        <v>4548.075241386637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301</v>
      </c>
      <c r="E18" s="17">
        <v>0</v>
      </c>
      <c r="F18" s="45">
        <f>+E16*2</f>
        <v>1551.3687457601582</v>
      </c>
      <c r="G18" s="45">
        <f>+F16</f>
        <v>2422.4280942447263</v>
      </c>
      <c r="H18" s="45">
        <f>+G16</f>
        <v>3798.218903770793</v>
      </c>
      <c r="I18" s="45">
        <f>+H16</f>
        <v>4162.049849555136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302</v>
      </c>
      <c r="E20" s="45">
        <f>+IF($E$16-$E$18&gt;0,$E$16-$E$18,0)</f>
        <v>775.6843728800791</v>
      </c>
      <c r="F20" s="45">
        <f>+IF(SUM(E$16:F16)-SUM($E$18:$F$18)&gt;0,SUM($E$16:$F$16)-SUM($E$18:$F$18),0)</f>
        <v>1646.7437213646472</v>
      </c>
      <c r="G20" s="45">
        <f>+IF(SUM($E$16:$G$16)-SUM($E$18:$G$18)&gt;0,SUM($E$16:$G$16)-SUM($E$18:$G$18),0)</f>
        <v>3022.534530890714</v>
      </c>
      <c r="H20" s="45">
        <f>+IF(SUM($E$16:$H$16)-SUM($E$18:$H$18)&gt;0,SUM($E$16:$H$16)-SUM($E$18:$H$18),0)</f>
        <v>3386.365476675057</v>
      </c>
      <c r="I20" s="45">
        <f>+IF(SUM($E$16:$I$16)-SUM($E$18:$I$18)&gt;0,SUM($E$16:$I$16)-SUM($E$18:$I$18),0)</f>
        <v>3772.390868506558</v>
      </c>
      <c r="J20" s="15"/>
    </row>
    <row r="21" spans="2:10" ht="15">
      <c r="B21" s="16"/>
      <c r="C21" s="17"/>
      <c r="D21" s="17" t="s">
        <v>303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43</v>
      </c>
      <c r="E23" s="45">
        <f>+E18</f>
        <v>0</v>
      </c>
      <c r="F23" s="45">
        <f>+F18</f>
        <v>1551.3687457601582</v>
      </c>
      <c r="G23" s="45">
        <f>+G18</f>
        <v>2422.4280942447263</v>
      </c>
      <c r="H23" s="45">
        <f>+H18</f>
        <v>3798.218903770793</v>
      </c>
      <c r="I23" s="45">
        <f>+I18</f>
        <v>4162.049849555136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8" sqref="I18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279</v>
      </c>
      <c r="D3" s="93" t="str">
        <f>+Input!D5</f>
        <v>Anno 1</v>
      </c>
      <c r="E3" s="93" t="str">
        <f>+Input!E5</f>
        <v>Anno 2</v>
      </c>
      <c r="F3" s="93" t="str">
        <f>+Input!F5</f>
        <v>Anno 3</v>
      </c>
      <c r="G3" s="93" t="str">
        <f>+Input!G5</f>
        <v>Anno 4</v>
      </c>
      <c r="H3" s="93" t="str">
        <f>+Input!H5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257</v>
      </c>
      <c r="D5" s="88">
        <f>+'CE'!D47</f>
        <v>-9752.157105638998</v>
      </c>
      <c r="E5" s="88">
        <f>+'CE'!E47</f>
        <v>2830.540878069907</v>
      </c>
      <c r="F5" s="88">
        <f>+'CE'!F47</f>
        <v>32461.228301815212</v>
      </c>
      <c r="G5" s="88">
        <f>+'CE'!G47</f>
        <v>41790.22691167014</v>
      </c>
      <c r="H5" s="88">
        <f>+'CE'!H47</f>
        <v>51688.31388170863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280</v>
      </c>
      <c r="D7" s="94">
        <f>+Input!$D$16</f>
        <v>0.5</v>
      </c>
      <c r="E7" s="94">
        <f>+Input!$D$16</f>
        <v>0.5</v>
      </c>
      <c r="F7" s="94">
        <f>+Input!$D$16</f>
        <v>0.5</v>
      </c>
      <c r="G7" s="94">
        <f>+Input!$D$16</f>
        <v>0.5</v>
      </c>
      <c r="H7" s="94">
        <f>+Input!$D$16</f>
        <v>0.5</v>
      </c>
    </row>
    <row r="8" ht="15">
      <c r="A8" s="86"/>
    </row>
    <row r="9" spans="2:52" s="86" customFormat="1" ht="15">
      <c r="B9" s="87"/>
      <c r="C9" s="87" t="s">
        <v>281</v>
      </c>
      <c r="D9" s="94">
        <f>+Input!$D$16</f>
        <v>0.5</v>
      </c>
      <c r="E9" s="94">
        <f>+Input!$D$16</f>
        <v>0.5</v>
      </c>
      <c r="F9" s="94">
        <f>+Input!$D$16</f>
        <v>0.5</v>
      </c>
      <c r="G9" s="94">
        <f>+Input!$D$16</f>
        <v>0.5</v>
      </c>
      <c r="H9" s="94">
        <f>+Input!$D$16</f>
        <v>0.5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282</v>
      </c>
      <c r="D11" s="88">
        <f>+D5*D7*D9</f>
        <v>-2438.0392764097496</v>
      </c>
      <c r="E11" s="88">
        <f>+E5*E7*E9</f>
        <v>707.6352195174768</v>
      </c>
      <c r="F11" s="88">
        <f>+F5*F7*F9</f>
        <v>8115.307075453803</v>
      </c>
      <c r="G11" s="88">
        <f>+G5*G7*G9</f>
        <v>10447.556727917536</v>
      </c>
      <c r="H11" s="88">
        <f>+H5*H7*H9</f>
        <v>12922.078470427157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283</v>
      </c>
      <c r="D15" s="93">
        <f>+D11</f>
        <v>-2438.0392764097496</v>
      </c>
      <c r="E15" s="93">
        <f>+E11</f>
        <v>707.6352195174768</v>
      </c>
      <c r="F15" s="93">
        <f>+F11</f>
        <v>8115.307075453803</v>
      </c>
      <c r="G15" s="93">
        <f>+G11</f>
        <v>10447.556727917536</v>
      </c>
      <c r="H15" s="93">
        <f>+H11</f>
        <v>12922.078470427157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284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285</v>
      </c>
      <c r="D20" s="86"/>
      <c r="E20" s="86"/>
      <c r="F20" s="149" t="s">
        <v>268</v>
      </c>
      <c r="G20" s="150"/>
      <c r="H20" s="149" t="s">
        <v>269</v>
      </c>
      <c r="I20" s="150"/>
      <c r="J20" s="149" t="s">
        <v>270</v>
      </c>
      <c r="K20" s="150"/>
      <c r="L20" s="149" t="s">
        <v>271</v>
      </c>
      <c r="M20" s="150"/>
      <c r="N20" s="149" t="s">
        <v>272</v>
      </c>
      <c r="O20" s="150"/>
    </row>
    <row r="21" spans="1:15" ht="15">
      <c r="A21" s="92"/>
      <c r="B21" s="86"/>
      <c r="C21" s="95" t="s">
        <v>286</v>
      </c>
      <c r="D21" s="86" t="s">
        <v>287</v>
      </c>
      <c r="E21" s="86" t="s">
        <v>288</v>
      </c>
      <c r="F21" s="86" t="s">
        <v>289</v>
      </c>
      <c r="G21" s="91" t="s">
        <v>292</v>
      </c>
      <c r="H21" s="86" t="s">
        <v>289</v>
      </c>
      <c r="I21" s="91" t="s">
        <v>292</v>
      </c>
      <c r="J21" s="86" t="s">
        <v>289</v>
      </c>
      <c r="K21" s="91" t="s">
        <v>292</v>
      </c>
      <c r="L21" s="86" t="s">
        <v>289</v>
      </c>
      <c r="M21" s="91" t="s">
        <v>292</v>
      </c>
      <c r="N21" s="86" t="s">
        <v>289</v>
      </c>
      <c r="O21" s="91" t="s">
        <v>292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707.6352195174768</v>
      </c>
      <c r="I22" s="97">
        <f>+$E$22*H22</f>
        <v>162.75610048901967</v>
      </c>
      <c r="J22" s="97">
        <f>+IF(F15&gt;$D$22,$D22,F15)*J19</f>
        <v>8115.307075453803</v>
      </c>
      <c r="K22" s="97">
        <f>+$E$22*J22</f>
        <v>1866.5206273543747</v>
      </c>
      <c r="L22" s="97">
        <f>+IF(G15&gt;$D$22,$D22,G15)*L19</f>
        <v>10447.556727917536</v>
      </c>
      <c r="M22" s="97">
        <f>+$E$22*L22</f>
        <v>2402.9380474210334</v>
      </c>
      <c r="N22" s="97">
        <f>+IF(H15&gt;$D$22,$D22,H15)*N19</f>
        <v>12922.078470427157</v>
      </c>
      <c r="O22" s="97">
        <f>+$E$22*N22</f>
        <v>2972.0780481982465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0</v>
      </c>
      <c r="I23" s="97">
        <f>+$E$23*H23</f>
        <v>0</v>
      </c>
      <c r="J23" s="97">
        <f>+IF(J22=F15,0,IF(F15&gt;$D$23,$D$23-$C$23,F15-$C$23))*J19</f>
        <v>0</v>
      </c>
      <c r="K23" s="97">
        <f>+$E$23*J23</f>
        <v>0</v>
      </c>
      <c r="L23" s="97">
        <f>+IF(L22=G15,0,IF(G15&gt;$D$23,$D$23-$C$23,G15-$C$23))*L19</f>
        <v>0</v>
      </c>
      <c r="M23" s="97">
        <f>+$E$23*L23</f>
        <v>0</v>
      </c>
      <c r="N23" s="97">
        <f>+IF(N22=H15,0,IF(H15&gt;$D$23,$D$23-$C$23,H15-$C$23))*N19</f>
        <v>0</v>
      </c>
      <c r="O23" s="97">
        <f>+$E$23*N23</f>
        <v>0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0</v>
      </c>
      <c r="K24" s="97">
        <f>+$E$24*J24</f>
        <v>0</v>
      </c>
      <c r="L24" s="97">
        <f>+IF(L22+L23=G15,0,IF(G15&gt;$D$24,$D$24-$C$24,G15-$C$24))*L19</f>
        <v>0</v>
      </c>
      <c r="M24" s="97">
        <f>+$E$24*L24</f>
        <v>0</v>
      </c>
      <c r="N24" s="97">
        <f>+IF(N22+N23=H15,0,IF(H15&gt;$D$24,$D$24-$C$24,H15-$C$24))*N19</f>
        <v>0</v>
      </c>
      <c r="O24" s="97">
        <f>+$E$24*N24</f>
        <v>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0</v>
      </c>
      <c r="K25" s="97">
        <f>+$E$25*J25</f>
        <v>0</v>
      </c>
      <c r="L25" s="97">
        <f>+IF(L23+L24+L22=G15,0,IF(G15&gt;$D$25,$D$25-$C$25,G15-$C$25))*L19</f>
        <v>0</v>
      </c>
      <c r="M25" s="97">
        <f>+$E$25*L25</f>
        <v>0</v>
      </c>
      <c r="N25" s="97">
        <f>+IF(N23+N24+N22=H15,0,IF(H15&gt;$D$25,$D$25-$C$25,H15-$C$25))*N19</f>
        <v>0</v>
      </c>
      <c r="O25" s="97">
        <f>+$E$25*N25</f>
        <v>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20</v>
      </c>
      <c r="G27" s="98">
        <f>SUM(G22:G26)</f>
        <v>0</v>
      </c>
      <c r="H27" s="86" t="s">
        <v>20</v>
      </c>
      <c r="I27" s="98">
        <f>SUM(I22:I26)</f>
        <v>162.75610048901967</v>
      </c>
      <c r="J27" s="86" t="s">
        <v>20</v>
      </c>
      <c r="K27" s="98">
        <f>SUM(K22:K26)</f>
        <v>1866.5206273543747</v>
      </c>
      <c r="L27" s="86" t="s">
        <v>20</v>
      </c>
      <c r="M27" s="98">
        <f>SUM(M22:M26)</f>
        <v>2402.9380474210334</v>
      </c>
      <c r="N27" s="86" t="s">
        <v>20</v>
      </c>
      <c r="O27" s="98">
        <f>SUM(O22:O26)</f>
        <v>2972.0780481982465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279</v>
      </c>
      <c r="D3" s="93" t="str">
        <f>+Input!D5</f>
        <v>Anno 1</v>
      </c>
      <c r="E3" s="93" t="str">
        <f>+Input!E5</f>
        <v>Anno 2</v>
      </c>
      <c r="F3" s="93" t="str">
        <f>+Input!F5</f>
        <v>Anno 3</v>
      </c>
      <c r="G3" s="93" t="str">
        <f>+Input!G5</f>
        <v>Anno 4</v>
      </c>
      <c r="H3" s="93" t="str">
        <f>+Input!H5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257</v>
      </c>
      <c r="D5" s="88">
        <f>+'CE'!D47</f>
        <v>-9752.157105638998</v>
      </c>
      <c r="E5" s="88">
        <f>+'CE'!E47</f>
        <v>2830.540878069907</v>
      </c>
      <c r="F5" s="88">
        <f>+'CE'!F47</f>
        <v>32461.228301815212</v>
      </c>
      <c r="G5" s="88">
        <f>+'CE'!G47</f>
        <v>41790.22691167014</v>
      </c>
      <c r="H5" s="88">
        <f>+'CE'!H47</f>
        <v>51688.31388170863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280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368</v>
      </c>
      <c r="D9" s="94">
        <f>+Input!$D$16</f>
        <v>0.5</v>
      </c>
      <c r="E9" s="94">
        <f>+Input!$D$16</f>
        <v>0.5</v>
      </c>
      <c r="F9" s="94">
        <f>+Input!$D$16</f>
        <v>0.5</v>
      </c>
      <c r="G9" s="94">
        <f>+Input!$D$16</f>
        <v>0.5</v>
      </c>
      <c r="H9" s="94">
        <f>+Input!$D$16</f>
        <v>0.5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282</v>
      </c>
      <c r="D11" s="88">
        <f>+D5*D7*D9</f>
        <v>-4876.078552819499</v>
      </c>
      <c r="E11" s="88">
        <f>+E5*E7*E9</f>
        <v>1415.2704390349536</v>
      </c>
      <c r="F11" s="88">
        <f>+F5*F7*F9</f>
        <v>16230.614150907606</v>
      </c>
      <c r="G11" s="88">
        <f>+G5*G7*G9</f>
        <v>20895.11345583507</v>
      </c>
      <c r="H11" s="88">
        <f>+H5*H7*H9</f>
        <v>25844.156940854315</v>
      </c>
    </row>
    <row r="13" spans="3:8" ht="15">
      <c r="C13" t="s">
        <v>371</v>
      </c>
      <c r="D13" s="117">
        <f>+T23</f>
        <v>3192.89</v>
      </c>
      <c r="E13" s="117">
        <f>+U23</f>
        <v>3192.89</v>
      </c>
      <c r="F13" s="117">
        <f>+V23</f>
        <v>3470.875327879137</v>
      </c>
      <c r="G13" s="117">
        <f>+W23</f>
        <v>4468.611729203121</v>
      </c>
      <c r="H13" s="117">
        <f>+X23</f>
        <v>5527.212130648738</v>
      </c>
    </row>
    <row r="15" ht="15">
      <c r="H15" s="124"/>
    </row>
    <row r="18" spans="20:24" ht="15">
      <c r="T18" s="1" t="s">
        <v>268</v>
      </c>
      <c r="U18" s="1" t="s">
        <v>269</v>
      </c>
      <c r="V18" s="1" t="s">
        <v>270</v>
      </c>
      <c r="W18" s="1" t="s">
        <v>271</v>
      </c>
      <c r="X18" s="1" t="s">
        <v>272</v>
      </c>
    </row>
    <row r="19" spans="12:24" ht="25.5">
      <c r="L19" s="151" t="s">
        <v>369</v>
      </c>
      <c r="M19" s="152"/>
      <c r="N19" s="152"/>
      <c r="O19" s="153"/>
      <c r="P19" s="113" t="s">
        <v>374</v>
      </c>
      <c r="Q19" s="113" t="s">
        <v>372</v>
      </c>
      <c r="R19" s="113" t="s">
        <v>373</v>
      </c>
      <c r="S19" s="113" t="s">
        <v>375</v>
      </c>
      <c r="T19" s="119" t="s">
        <v>376</v>
      </c>
      <c r="U19" s="119" t="s">
        <v>376</v>
      </c>
      <c r="V19" s="119" t="s">
        <v>376</v>
      </c>
      <c r="W19" s="119" t="s">
        <v>376</v>
      </c>
      <c r="X19" s="119" t="s">
        <v>376</v>
      </c>
    </row>
    <row r="20" spans="12:24" ht="15">
      <c r="L20" s="151" t="s">
        <v>370</v>
      </c>
      <c r="M20" s="152"/>
      <c r="N20" s="152"/>
      <c r="O20" s="153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1" t="s">
        <v>370</v>
      </c>
      <c r="M21" s="152"/>
      <c r="N21" s="152"/>
      <c r="O21" s="153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0</v>
      </c>
      <c r="V21" s="120">
        <f>+IF(F11&lt;$P$21,0,IF(F11&gt;$Q$21,(($Q$21-$P$21)*$S$21),((F11-$P$21)*$S$21)))</f>
        <v>277.9853278791369</v>
      </c>
      <c r="W21" s="120">
        <f>+IF(G11&lt;$P$21,0,IF(G11&gt;$Q$21,(($Q$21-$P$21)*$S$21),((G11-$P$21)*$S$21)))</f>
        <v>1275.7217292031219</v>
      </c>
      <c r="X21" s="120">
        <f>+IF(H11&lt;$P$21,0,IF(H11&gt;$Q$21,(($Q$21-$P$21)*$S$21),((H11-$P$21)*$S$21)))</f>
        <v>2334.322130648738</v>
      </c>
    </row>
    <row r="22" spans="12:24" ht="15">
      <c r="L22" s="151" t="s">
        <v>370</v>
      </c>
      <c r="M22" s="152"/>
      <c r="N22" s="152"/>
      <c r="O22" s="153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0</v>
      </c>
      <c r="W22" s="120">
        <f>+IF(G11&lt;$P$22,0,(G11-$P$22)*$S$22)</f>
        <v>0</v>
      </c>
      <c r="X22" s="120">
        <f>+IF(H11&lt;$P$22,0,(H11-$P$22)*$S$22)</f>
        <v>0</v>
      </c>
    </row>
    <row r="23" spans="4:24" ht="15">
      <c r="D23" s="112"/>
      <c r="S23" s="6" t="s">
        <v>20</v>
      </c>
      <c r="T23" s="118">
        <f>SUM(T20:T22)</f>
        <v>3192.89</v>
      </c>
      <c r="U23" s="118">
        <f>SUM(U20:U22)</f>
        <v>3192.89</v>
      </c>
      <c r="V23" s="118">
        <f>SUM(V20:V22)</f>
        <v>3470.875327879137</v>
      </c>
      <c r="W23" s="118">
        <f>SUM(W20:W22)</f>
        <v>4468.611729203121</v>
      </c>
      <c r="X23" s="118">
        <f>SUM(X20:X22)</f>
        <v>5527.212130648738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K19" sqref="K19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42</v>
      </c>
      <c r="C3" s="25">
        <f>+MCL!D69+finanziamento!E33+Input!D21</f>
        <v>300447.912268174</v>
      </c>
      <c r="D3" s="25">
        <f>+MCL!E69+finanziamento!F33+Input!E21+C3</f>
        <v>584586.162268174</v>
      </c>
      <c r="E3" s="25">
        <f>+MCL!F69+finanziamento!G33+Input!F21+D3</f>
        <v>957659.684518174</v>
      </c>
      <c r="F3" s="25">
        <f>+MCL!G69+finanziamento!H33+Input!G21+E3</f>
        <v>1353304.154864299</v>
      </c>
      <c r="G3" s="25">
        <f>+MCL!H69+finanziamento!I33+Input!H21+F3</f>
        <v>1772885.1156663648</v>
      </c>
    </row>
    <row r="4" spans="2:7" ht="15">
      <c r="B4" t="s">
        <v>67</v>
      </c>
      <c r="C4" s="25">
        <f>+MCL!M69+Inve!M20+Personale!D23+finanziamento!E34+'Altri costi'!D51+Iva!C27+Irap!E23+Input!D22</f>
        <v>299838.2368421053</v>
      </c>
      <c r="D4" s="25">
        <f>+MCL!N69+Inve!N20+Personale!E23+finanziamento!F34+'Altri costi'!E51+Iva!D27+Irap!F23+Input!E22+C4</f>
        <v>565640.5409074108</v>
      </c>
      <c r="E4" s="25">
        <f>+MCL!O69+Inve!O20+Personale!F23+finanziamento!G34+'Altri costi'!F51+Iva!E27+Irap!G23+Input!F22+D4</f>
        <v>897681.4962477359</v>
      </c>
      <c r="F4" s="25">
        <f>+MCL!P69+Inve!P20+Personale!G23+finanziamento!H34+'Altri costi'!G51+Iva!F27+Irap!H23+Input!G22+E4</f>
        <v>1275560.9301313097</v>
      </c>
      <c r="G4" s="25">
        <f>+MCL!Q69+Inve!Q20+Personale!H23+finanziamento!I34+'Altri costi'!H51+Iva!G27+Irap!I23+Input!H22+F4</f>
        <v>1677300.9252546593</v>
      </c>
    </row>
    <row r="6" spans="2:7" ht="15">
      <c r="B6" t="s">
        <v>339</v>
      </c>
      <c r="C6" s="85">
        <f>+IF((C3-C4)&gt;0,(C3-C4),0)</f>
        <v>609.6754260687158</v>
      </c>
      <c r="D6" s="85">
        <f>+IF((D3-D4)&gt;0,(D3-D4),0)</f>
        <v>18945.62136076321</v>
      </c>
      <c r="E6" s="85">
        <f>+IF((E3-E4)&gt;0,(E3-E4),0)</f>
        <v>59978.18827043811</v>
      </c>
      <c r="F6" s="85">
        <f>+IF((F3-F4)&gt;0,(F3-F4),0)</f>
        <v>77743.22473298945</v>
      </c>
      <c r="G6" s="85">
        <f>+IF((G3-G4)&gt;0,(G3-G4),0)</f>
        <v>95584.19041170552</v>
      </c>
    </row>
    <row r="7" spans="2:7" ht="15">
      <c r="B7" t="s">
        <v>340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341</v>
      </c>
      <c r="C9" s="85">
        <f>+C7*Input!$D$117</f>
        <v>0</v>
      </c>
      <c r="D9" s="85">
        <f>+D7*Input!$D$117</f>
        <v>0</v>
      </c>
      <c r="E9" s="85">
        <f>+E7*Input!$D$117</f>
        <v>0</v>
      </c>
      <c r="F9" s="85">
        <f>+F7*Input!$D$117</f>
        <v>0</v>
      </c>
      <c r="G9" s="85">
        <f>+G7*Input!$D$117</f>
        <v>0</v>
      </c>
    </row>
    <row r="10" spans="2:7" ht="15">
      <c r="B10" t="s">
        <v>348</v>
      </c>
      <c r="C10" s="85">
        <f>+C6*Input!D119</f>
        <v>18.290262782061472</v>
      </c>
      <c r="D10" s="85">
        <f>+D6*Input!E119</f>
        <v>0</v>
      </c>
      <c r="E10" s="85">
        <f>+E6*Input!F119</f>
        <v>0</v>
      </c>
      <c r="F10" s="85">
        <f>+F6*Input!G119</f>
        <v>0</v>
      </c>
      <c r="G10" s="85">
        <f>+G6*Input!H119</f>
        <v>0</v>
      </c>
    </row>
    <row r="12" ht="15">
      <c r="B12" t="s">
        <v>351</v>
      </c>
    </row>
    <row r="13" spans="2:7" ht="15">
      <c r="B13" t="s">
        <v>341</v>
      </c>
      <c r="C13" s="85">
        <f>+C7*Input!$D$117</f>
        <v>0</v>
      </c>
      <c r="D13" s="85">
        <f>+D7*Input!$D$117+C13</f>
        <v>0</v>
      </c>
      <c r="E13" s="85">
        <f>+E7*Input!$D$117+D13</f>
        <v>0</v>
      </c>
      <c r="F13" s="85">
        <f>+F7*Input!$D$117+E13</f>
        <v>0</v>
      </c>
      <c r="G13" s="85">
        <f>+G7*Input!$D$117+F13</f>
        <v>0</v>
      </c>
    </row>
    <row r="14" spans="2:7" ht="15">
      <c r="B14" t="s">
        <v>348</v>
      </c>
      <c r="C14" s="85">
        <f>+C6*Input!D119</f>
        <v>18.290262782061472</v>
      </c>
      <c r="D14" s="85">
        <f>+D6*Input!E119+C14</f>
        <v>18.290262782061472</v>
      </c>
      <c r="E14" s="85">
        <f>+E6*Input!F119+D14</f>
        <v>18.290262782061472</v>
      </c>
      <c r="F14" s="85">
        <f>+F6*Input!G119+E14</f>
        <v>18.290262782061472</v>
      </c>
      <c r="G14" s="85">
        <f>+G6*Input!H119+F14</f>
        <v>18.290262782061472</v>
      </c>
    </row>
    <row r="16" spans="2:7" ht="15">
      <c r="B16" t="s">
        <v>343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</row>
    <row r="17" spans="2:7" ht="15">
      <c r="B17" t="s">
        <v>349</v>
      </c>
      <c r="C17" s="85">
        <f>+C14</f>
        <v>18.290262782061472</v>
      </c>
      <c r="D17" s="85">
        <f t="shared" si="0"/>
        <v>18.290262782061472</v>
      </c>
      <c r="E17" s="85">
        <f t="shared" si="0"/>
        <v>18.290262782061472</v>
      </c>
      <c r="F17" s="85">
        <f t="shared" si="0"/>
        <v>18.290262782061472</v>
      </c>
      <c r="G17" s="85">
        <f t="shared" si="0"/>
        <v>18.290262782061472</v>
      </c>
    </row>
    <row r="18" spans="3:7" ht="15">
      <c r="C18" s="85"/>
      <c r="D18" s="85"/>
      <c r="E18" s="85"/>
      <c r="F18" s="85"/>
      <c r="G18" s="85"/>
    </row>
    <row r="19" spans="2:7" ht="15">
      <c r="B19" t="s">
        <v>350</v>
      </c>
      <c r="C19" s="85"/>
      <c r="D19" s="85"/>
      <c r="E19" s="85"/>
      <c r="F19" s="85"/>
      <c r="G19" s="85"/>
    </row>
    <row r="20" spans="2:7" ht="15">
      <c r="B20" t="s">
        <v>42</v>
      </c>
      <c r="C20" s="85">
        <f>+C3+C17</f>
        <v>300466.20253095607</v>
      </c>
      <c r="D20" s="85">
        <f>+D3+D17</f>
        <v>584604.452530956</v>
      </c>
      <c r="E20" s="85">
        <f>+E3+E17</f>
        <v>957677.974780956</v>
      </c>
      <c r="F20" s="85">
        <f>+F3+F17</f>
        <v>1353322.4451270811</v>
      </c>
      <c r="G20" s="85">
        <f>+G3+G17</f>
        <v>1772903.4059291468</v>
      </c>
    </row>
    <row r="21" spans="2:7" ht="15">
      <c r="B21" t="s">
        <v>67</v>
      </c>
      <c r="C21" s="85">
        <f>+C4+C16</f>
        <v>299838.2368421053</v>
      </c>
      <c r="D21" s="85">
        <f>+D4+D16</f>
        <v>565640.5409074108</v>
      </c>
      <c r="E21" s="85">
        <f>+E4+E16</f>
        <v>897681.4962477359</v>
      </c>
      <c r="F21" s="85">
        <f>+F4+F16</f>
        <v>1275560.9301313097</v>
      </c>
      <c r="G21" s="85">
        <f>+G4+G16</f>
        <v>1677300.9252546593</v>
      </c>
    </row>
    <row r="23" spans="2:7" ht="15">
      <c r="B23" t="s">
        <v>339</v>
      </c>
      <c r="C23" s="85">
        <f>+IF((C20-C21)&gt;0,(C20-C21),0)</f>
        <v>627.9656888507889</v>
      </c>
      <c r="D23" s="85">
        <f>+IF((D20-D21)&gt;0,(D20-D21),0)</f>
        <v>18963.911623545224</v>
      </c>
      <c r="E23" s="85">
        <f>+IF((E20-E21)&gt;0,(E20-E21),0)</f>
        <v>59996.47853322013</v>
      </c>
      <c r="F23" s="85">
        <f>+IF((F20-F21)&gt;0,(F20-F21),0)</f>
        <v>77761.51499577146</v>
      </c>
      <c r="G23" s="85">
        <f>+IF((G20-G21)&gt;0,(G20-G21),0)</f>
        <v>95602.48067448754</v>
      </c>
    </row>
    <row r="24" spans="2:7" ht="15">
      <c r="B24" t="s">
        <v>340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3"/>
  <sheetViews>
    <sheetView showGridLines="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6" sqref="L26"/>
    </sheetView>
  </sheetViews>
  <sheetFormatPr defaultColWidth="9.140625" defaultRowHeight="15"/>
  <cols>
    <col min="2" max="2" width="26.57421875" style="0" bestFit="1" customWidth="1"/>
    <col min="3" max="4" width="10.57421875" style="0" bestFit="1" customWidth="1"/>
    <col min="5" max="7" width="11.28125" style="0" bestFit="1" customWidth="1"/>
  </cols>
  <sheetData>
    <row r="1" ht="15">
      <c r="A1" s="105" t="s">
        <v>354</v>
      </c>
    </row>
    <row r="3" spans="3:7" ht="15">
      <c r="C3" s="7" t="str">
        <f>+Input!J26</f>
        <v>Anno 1</v>
      </c>
      <c r="D3" s="7" t="str">
        <f>+Input!K26</f>
        <v>Anno 2</v>
      </c>
      <c r="E3" s="7" t="str">
        <f>+Input!L26</f>
        <v>Anno 3</v>
      </c>
      <c r="F3" s="7" t="str">
        <f>+Input!M26</f>
        <v>Anno 4</v>
      </c>
      <c r="G3" s="7" t="str">
        <f>+Input!N26</f>
        <v>Anno 5</v>
      </c>
    </row>
    <row r="4" spans="2:12" ht="15">
      <c r="B4" s="6" t="s">
        <v>38</v>
      </c>
      <c r="C4" s="35">
        <f>+Banca!C23</f>
        <v>627.9656888507889</v>
      </c>
      <c r="D4" s="35">
        <f>+Banca!D23</f>
        <v>18963.911623545224</v>
      </c>
      <c r="E4" s="35">
        <f>+Banca!E23</f>
        <v>59996.47853322013</v>
      </c>
      <c r="F4" s="35">
        <f>+Banca!F23</f>
        <v>77761.51499577146</v>
      </c>
      <c r="G4" s="35">
        <f>+Banca!G23</f>
        <v>95602.48067448754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334</v>
      </c>
      <c r="C6" s="35">
        <f>SUM(C7:C9)</f>
        <v>4713.894736842107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23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29</v>
      </c>
      <c r="C8" s="26">
        <f>+Iva!C25</f>
        <v>4713.894736842107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305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44</v>
      </c>
      <c r="C11" s="35">
        <f>+MCL!M27</f>
        <v>0</v>
      </c>
      <c r="D11" s="35">
        <f>+MCL!N27</f>
        <v>0</v>
      </c>
      <c r="E11" s="35">
        <f>+MCL!O27</f>
        <v>0</v>
      </c>
      <c r="F11" s="35">
        <f>+MCL!P27</f>
        <v>0</v>
      </c>
      <c r="G11" s="35">
        <f>+MCL!Q27</f>
        <v>0</v>
      </c>
      <c r="H11" s="25"/>
    </row>
    <row r="13" spans="2:7" ht="15">
      <c r="B13" s="7" t="s">
        <v>45</v>
      </c>
      <c r="C13" s="35">
        <f>+C14+C15-C16-C17</f>
        <v>108000</v>
      </c>
      <c r="D13" s="35">
        <f>+D14+D15-D16-D17</f>
        <v>96000</v>
      </c>
      <c r="E13" s="35">
        <f>+E14+E15-E16-E17</f>
        <v>84000</v>
      </c>
      <c r="F13" s="35">
        <f>+F14+F15-F16-F17</f>
        <v>72000</v>
      </c>
      <c r="G13" s="35">
        <f>+G14+G15-G16-G17</f>
        <v>60000</v>
      </c>
    </row>
    <row r="14" spans="2:7" ht="15">
      <c r="B14" t="s">
        <v>59</v>
      </c>
      <c r="C14" s="26">
        <f>+Input!E54</f>
        <v>100000</v>
      </c>
      <c r="D14" s="26">
        <f>+Input!F54+C14</f>
        <v>100000</v>
      </c>
      <c r="E14" s="26">
        <f>+Input!G54+D14</f>
        <v>100000</v>
      </c>
      <c r="F14" s="26">
        <f>+Input!H54+E14</f>
        <v>100000</v>
      </c>
      <c r="G14" s="26">
        <f>+Input!I54+F14</f>
        <v>100000</v>
      </c>
    </row>
    <row r="15" spans="2:7" ht="15">
      <c r="B15" t="s">
        <v>60</v>
      </c>
      <c r="C15" s="26">
        <f>+Input!E55</f>
        <v>20000</v>
      </c>
      <c r="D15" s="26">
        <f>+Input!F55+C15</f>
        <v>20000</v>
      </c>
      <c r="E15" s="26">
        <f>+Input!G55+D15</f>
        <v>20000</v>
      </c>
      <c r="F15" s="26">
        <f>+Input!H55+E15</f>
        <v>20000</v>
      </c>
      <c r="G15" s="26">
        <f>+Input!I55+F15</f>
        <v>20000</v>
      </c>
    </row>
    <row r="16" spans="2:7" ht="15">
      <c r="B16" t="s">
        <v>61</v>
      </c>
      <c r="C16" s="26">
        <f>+Inve!D59</f>
        <v>10000</v>
      </c>
      <c r="D16" s="26">
        <f>+Inve!E59</f>
        <v>20000</v>
      </c>
      <c r="E16" s="26">
        <f>+Inve!F59</f>
        <v>30000</v>
      </c>
      <c r="F16" s="26">
        <f>+Inve!G59</f>
        <v>40000</v>
      </c>
      <c r="G16" s="26">
        <f>+Inve!H59</f>
        <v>50000</v>
      </c>
    </row>
    <row r="17" spans="2:7" ht="15">
      <c r="B17" t="s">
        <v>62</v>
      </c>
      <c r="C17" s="26">
        <f>+Inve!D60</f>
        <v>2000</v>
      </c>
      <c r="D17" s="26">
        <f>+Inve!E60</f>
        <v>4000</v>
      </c>
      <c r="E17" s="26">
        <f>+Inve!F60</f>
        <v>6000</v>
      </c>
      <c r="F17" s="26">
        <f>+Inve!G60</f>
        <v>8000</v>
      </c>
      <c r="G17" s="26">
        <f>+Inve!H60</f>
        <v>10000</v>
      </c>
    </row>
    <row r="19" spans="2:12" ht="15">
      <c r="B19" s="6" t="s">
        <v>34</v>
      </c>
      <c r="C19" s="35">
        <f>+C13+C11+C6+C4</f>
        <v>113341.8604256929</v>
      </c>
      <c r="D19" s="35">
        <f>+D4+D7+D8+D11+D13+D9</f>
        <v>114963.91162354522</v>
      </c>
      <c r="E19" s="35">
        <f>+E4+E7+E8+E11+E13+E9</f>
        <v>143996.47853322013</v>
      </c>
      <c r="F19" s="35">
        <f>+F4+F7+F8+F11+F13+F9</f>
        <v>149761.51499577146</v>
      </c>
      <c r="G19" s="35">
        <f>+G4+G7+G8+G11+G13+G9</f>
        <v>155602.48067448754</v>
      </c>
      <c r="H19" s="35"/>
      <c r="L19" s="25"/>
    </row>
    <row r="21" ht="15">
      <c r="D21" s="25"/>
    </row>
    <row r="22" spans="4:12" ht="15">
      <c r="D22" s="25"/>
      <c r="L22" s="25"/>
    </row>
    <row r="23" spans="2:8" ht="15">
      <c r="B23" s="6" t="s">
        <v>39</v>
      </c>
      <c r="C23" s="35">
        <f>+Banca!C24</f>
        <v>0</v>
      </c>
      <c r="D23" s="35">
        <f>+Banca!D24</f>
        <v>0</v>
      </c>
      <c r="E23" s="35">
        <f>+Banca!E24</f>
        <v>0</v>
      </c>
      <c r="F23" s="35">
        <f>+Banca!F24</f>
        <v>0</v>
      </c>
      <c r="G23" s="35">
        <f>+Banca!G24</f>
        <v>0</v>
      </c>
      <c r="H23" s="25"/>
    </row>
    <row r="24" spans="2:8" ht="15">
      <c r="B24" s="6"/>
      <c r="C24" s="26"/>
      <c r="D24" s="26"/>
      <c r="E24" s="26"/>
      <c r="F24" s="26"/>
      <c r="G24" s="26"/>
      <c r="H24" s="25"/>
    </row>
    <row r="25" spans="2:8" ht="15">
      <c r="B25" s="6" t="s">
        <v>335</v>
      </c>
      <c r="C25" s="35">
        <f>SUM(C26:C29)</f>
        <v>3467.789636037974</v>
      </c>
      <c r="D25" s="35">
        <f>SUM(D26:D29)</f>
        <v>8156.461923119034</v>
      </c>
      <c r="E25" s="35">
        <f>SUM(E26:E29)</f>
        <v>12165.54467891703</v>
      </c>
      <c r="F25" s="35">
        <f>SUM(F26:F29)</f>
        <v>13097.98548865697</v>
      </c>
      <c r="G25" s="35">
        <f>SUM(G26:G29)</f>
        <v>14087.021641213372</v>
      </c>
      <c r="H25" s="25"/>
    </row>
    <row r="26" spans="2:12" ht="15">
      <c r="B26" t="s">
        <v>28</v>
      </c>
      <c r="C26" s="26">
        <f>+MCL!D55</f>
        <v>2692.105263157895</v>
      </c>
      <c r="D26" s="26">
        <f>+MCL!E55</f>
        <v>4078.539473684211</v>
      </c>
      <c r="E26" s="26">
        <f>+MCL!F55</f>
        <v>5355.122328947368</v>
      </c>
      <c r="F26" s="26">
        <f>+MCL!G55</f>
        <v>5679.107229848685</v>
      </c>
      <c r="G26" s="26">
        <f>+MCL!H55</f>
        <v>6022.693217254529</v>
      </c>
      <c r="L26" s="25"/>
    </row>
    <row r="27" spans="2:12" ht="15">
      <c r="B27" t="s">
        <v>68</v>
      </c>
      <c r="C27" s="26">
        <f>+Inve!M13</f>
        <v>0</v>
      </c>
      <c r="D27" s="26">
        <f>+Inve!N13+C27</f>
        <v>0</v>
      </c>
      <c r="E27" s="26">
        <f>+Inve!O13+D27</f>
        <v>0</v>
      </c>
      <c r="F27" s="26">
        <f>+Inve!P13+E27</f>
        <v>0</v>
      </c>
      <c r="G27" s="26">
        <f>+Inve!Q13+F27</f>
        <v>0</v>
      </c>
      <c r="L27" s="25"/>
    </row>
    <row r="28" spans="2:12" ht="15">
      <c r="B28" t="s">
        <v>306</v>
      </c>
      <c r="C28" s="26">
        <f>+Irap!E20</f>
        <v>775.6843728800791</v>
      </c>
      <c r="D28" s="26">
        <f>+Irap!F20</f>
        <v>1646.7437213646472</v>
      </c>
      <c r="E28" s="26">
        <f>+Irap!G20</f>
        <v>3022.534530890714</v>
      </c>
      <c r="F28" s="26">
        <f>+Irap!H20</f>
        <v>3386.365476675057</v>
      </c>
      <c r="G28" s="26">
        <f>+Irap!I20</f>
        <v>3772.390868506558</v>
      </c>
      <c r="L28" s="25"/>
    </row>
    <row r="29" spans="2:8" ht="15">
      <c r="B29" t="s">
        <v>25</v>
      </c>
      <c r="C29" s="26">
        <f>+Iva!C26</f>
        <v>0</v>
      </c>
      <c r="D29" s="26">
        <f>+Iva!D26</f>
        <v>2431.1787280701756</v>
      </c>
      <c r="E29" s="26">
        <f>+Iva!E26</f>
        <v>3787.8878190789474</v>
      </c>
      <c r="F29" s="26">
        <f>+Iva!F26</f>
        <v>4032.512782133228</v>
      </c>
      <c r="G29" s="26">
        <f>+Iva!G26</f>
        <v>4291.937555452285</v>
      </c>
      <c r="H29" s="25"/>
    </row>
    <row r="30" spans="3:8" ht="15">
      <c r="C30" s="26"/>
      <c r="D30" s="26"/>
      <c r="E30" s="26"/>
      <c r="F30" s="26"/>
      <c r="G30" s="26"/>
      <c r="H30" s="25"/>
    </row>
    <row r="31" spans="2:8" ht="15">
      <c r="B31" s="6" t="s">
        <v>338</v>
      </c>
      <c r="C31" s="35">
        <f>SUM(C32:C34)</f>
        <v>120401.912268174</v>
      </c>
      <c r="D31" s="35">
        <f>SUM(D32:D34)</f>
        <v>116927.17839512017</v>
      </c>
      <c r="E31" s="35">
        <f>SUM(E32:E34)</f>
        <v>113287.65315095258</v>
      </c>
      <c r="F31" s="35">
        <f>SUM(F32:F34)</f>
        <v>109155.08113969325</v>
      </c>
      <c r="G31" s="35">
        <f>SUM(G32:G34)</f>
        <v>104494.94908764577</v>
      </c>
      <c r="H31" s="25"/>
    </row>
    <row r="32" spans="2:8" ht="15">
      <c r="B32" t="s">
        <v>336</v>
      </c>
      <c r="C32" s="26">
        <f>+Personale!D22</f>
        <v>1554</v>
      </c>
      <c r="D32" s="26">
        <f>+Personale!E22+C32</f>
        <v>4662</v>
      </c>
      <c r="E32" s="26">
        <f>+Personale!F22+D32</f>
        <v>8066</v>
      </c>
      <c r="F32" s="26">
        <f>+Personale!G22+E32</f>
        <v>11470</v>
      </c>
      <c r="G32" s="26">
        <f>+Personale!H22+F32</f>
        <v>14874</v>
      </c>
      <c r="H32" s="25"/>
    </row>
    <row r="33" spans="2:8" ht="15">
      <c r="B33" t="s">
        <v>229</v>
      </c>
      <c r="C33" s="102">
        <f>+finanziamento!E22</f>
        <v>78847.912268174</v>
      </c>
      <c r="D33" s="102">
        <f>+finanziamento!F22</f>
        <v>72265.17839512017</v>
      </c>
      <c r="E33" s="102">
        <f>+finanziamento!G22</f>
        <v>65221.65315095258</v>
      </c>
      <c r="F33" s="102">
        <f>+finanziamento!H22</f>
        <v>57685.081139693255</v>
      </c>
      <c r="G33" s="102">
        <f>+finanziamento!I22</f>
        <v>49620.94908764577</v>
      </c>
      <c r="H33" s="25"/>
    </row>
    <row r="34" spans="2:8" ht="15">
      <c r="B34" t="s">
        <v>337</v>
      </c>
      <c r="C34" s="102">
        <f>+Input!D21</f>
        <v>40000</v>
      </c>
      <c r="D34" s="102">
        <f>+C34+Input!E21</f>
        <v>40000</v>
      </c>
      <c r="E34" s="102">
        <f>+D34+Input!F21</f>
        <v>40000</v>
      </c>
      <c r="F34" s="102">
        <f>+E34+Input!G21</f>
        <v>40000</v>
      </c>
      <c r="G34" s="102">
        <f>+F34+Input!H21</f>
        <v>40000</v>
      </c>
      <c r="H34" s="25"/>
    </row>
    <row r="36" spans="2:7" ht="15">
      <c r="B36" s="6" t="s">
        <v>257</v>
      </c>
      <c r="C36" s="35">
        <f>SUM(C37:C38)</f>
        <v>-10527.841478519078</v>
      </c>
      <c r="D36" s="35">
        <f>SUM(D37:D38)</f>
        <v>-10119.728694693897</v>
      </c>
      <c r="E36" s="35">
        <f>SUM(E37:E38)</f>
        <v>18543.280703350523</v>
      </c>
      <c r="F36" s="35">
        <f>SUM(F37:F38)</f>
        <v>27508.44836742111</v>
      </c>
      <c r="G36" s="35">
        <f>SUM(G37:G38)</f>
        <v>37020.5099456281</v>
      </c>
    </row>
    <row r="37" spans="2:8" ht="15">
      <c r="B37" t="s">
        <v>37</v>
      </c>
      <c r="D37" s="26">
        <f>+C37+C38</f>
        <v>-10527.841478519078</v>
      </c>
      <c r="E37" s="26">
        <f>+D37+D38</f>
        <v>-10119.728694693897</v>
      </c>
      <c r="F37" s="26">
        <f>+E37+E38</f>
        <v>18543.280703350523</v>
      </c>
      <c r="G37" s="26">
        <f>+F37+F38</f>
        <v>27508.44836742111</v>
      </c>
      <c r="H37" s="25"/>
    </row>
    <row r="38" spans="2:9" ht="15">
      <c r="B38" t="s">
        <v>36</v>
      </c>
      <c r="C38" s="26">
        <f>+'CE'!D51</f>
        <v>-10527.841478519078</v>
      </c>
      <c r="D38" s="26">
        <f>+'CE'!E51-Input!E22</f>
        <v>408.11278382518094</v>
      </c>
      <c r="E38" s="26">
        <f>+'CE'!F51-Input!F22</f>
        <v>28663.009398044418</v>
      </c>
      <c r="F38" s="26">
        <f>+'CE'!G51-Input!G22</f>
        <v>8965.167664070588</v>
      </c>
      <c r="G38" s="26">
        <f>+'CE'!H51-Input!H22</f>
        <v>9512.061578206987</v>
      </c>
      <c r="H38" s="25"/>
      <c r="I38" s="25"/>
    </row>
    <row r="39" spans="2:8" ht="15">
      <c r="B39" s="6" t="s">
        <v>35</v>
      </c>
      <c r="C39" s="35">
        <f>+C23+C25+C31+C36</f>
        <v>113341.86042569288</v>
      </c>
      <c r="D39" s="35">
        <f>+D23+D25+D31+D36</f>
        <v>114963.9116235453</v>
      </c>
      <c r="E39" s="35">
        <f>+E23+E25+E31+E36</f>
        <v>143996.47853322013</v>
      </c>
      <c r="F39" s="35">
        <f>+F23+F25+F31+F36</f>
        <v>149761.51499577134</v>
      </c>
      <c r="G39" s="35">
        <f>+G23+G25+G31+G36</f>
        <v>155602.48067448725</v>
      </c>
      <c r="H39" s="35"/>
    </row>
    <row r="41" spans="2:7" ht="15">
      <c r="B41" s="6" t="s">
        <v>330</v>
      </c>
      <c r="C41" s="25">
        <f>+C19-C39</f>
        <v>0</v>
      </c>
      <c r="D41" s="25">
        <f>+D19-D39</f>
        <v>0</v>
      </c>
      <c r="E41" s="25">
        <f>+E19-E39</f>
        <v>0</v>
      </c>
      <c r="F41" s="25">
        <f>+F19-F39</f>
        <v>0</v>
      </c>
      <c r="G41" s="25">
        <f>+G19-G39</f>
        <v>2.9103830456733704E-10</v>
      </c>
    </row>
    <row r="42" spans="3:7" ht="15">
      <c r="C42" s="25"/>
      <c r="D42" s="25"/>
      <c r="E42" s="25"/>
      <c r="F42" s="25"/>
      <c r="G42" s="25"/>
    </row>
    <row r="43" spans="5:7" ht="15"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2" sqref="B22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354</v>
      </c>
    </row>
    <row r="2" spans="4:8" ht="15">
      <c r="D2" s="7" t="str">
        <f>+Input!J26</f>
        <v>Anno 1</v>
      </c>
      <c r="E2" s="7" t="str">
        <f>+Input!K26</f>
        <v>Anno 2</v>
      </c>
      <c r="F2" s="7" t="str">
        <f>+Input!L26</f>
        <v>Anno 3</v>
      </c>
      <c r="G2" s="7" t="str">
        <f>+Input!M26</f>
        <v>Anno 4</v>
      </c>
      <c r="H2" s="7" t="str">
        <f>+Input!N26</f>
        <v>Anno 5</v>
      </c>
    </row>
    <row r="3" spans="2:8" ht="15">
      <c r="B3" s="6" t="s">
        <v>0</v>
      </c>
      <c r="C3" s="6"/>
      <c r="D3" s="35">
        <f>+MCL!D13</f>
        <v>155000</v>
      </c>
      <c r="E3" s="35">
        <f>+MCL!E13</f>
        <v>234825</v>
      </c>
      <c r="F3" s="35">
        <f>+MCL!F13</f>
        <v>308325.225</v>
      </c>
      <c r="G3" s="35">
        <f>+MCL!G13</f>
        <v>326978.9011125</v>
      </c>
      <c r="H3" s="35">
        <f>+MCL!H13</f>
        <v>346761.12462980626</v>
      </c>
    </row>
    <row r="5" spans="2:8" ht="15">
      <c r="B5" s="6" t="s">
        <v>21</v>
      </c>
      <c r="C5" s="6"/>
      <c r="D5" s="35">
        <f>+D7-D8+D6</f>
        <v>81578.94736842105</v>
      </c>
      <c r="E5" s="35">
        <f>+E7-E8+E6</f>
        <v>123592.10526315791</v>
      </c>
      <c r="F5" s="35">
        <f>+F7-F8+F6</f>
        <v>162276.43421052635</v>
      </c>
      <c r="G5" s="35">
        <f>+G7-G8+G6</f>
        <v>172094.15848026317</v>
      </c>
      <c r="H5" s="35">
        <f>+H7-H8+H6</f>
        <v>182505.8550683191</v>
      </c>
    </row>
    <row r="6" spans="2:8" ht="15">
      <c r="B6" t="s">
        <v>18</v>
      </c>
      <c r="D6" s="26">
        <v>0</v>
      </c>
      <c r="E6" s="26">
        <f>+D8</f>
        <v>0</v>
      </c>
      <c r="F6" s="26">
        <f>+E8</f>
        <v>0</v>
      </c>
      <c r="G6" s="26">
        <f>+F8</f>
        <v>0</v>
      </c>
      <c r="H6" s="26">
        <f>+G8</f>
        <v>0</v>
      </c>
    </row>
    <row r="7" spans="2:8" ht="15">
      <c r="B7" t="s">
        <v>17</v>
      </c>
      <c r="D7" s="26">
        <f>+MCL!D27+MCL!M27</f>
        <v>81578.94736842105</v>
      </c>
      <c r="E7" s="26">
        <f>+MCL!E27+MCL!N27-MCL!M27</f>
        <v>123592.10526315791</v>
      </c>
      <c r="F7" s="26">
        <f>+MCL!F27+MCL!O27-MCL!N27</f>
        <v>162276.43421052635</v>
      </c>
      <c r="G7" s="26">
        <f>+MCL!G27+MCL!P27-MCL!O27</f>
        <v>172094.15848026317</v>
      </c>
      <c r="H7" s="26">
        <f>+MCL!H27+MCL!Q27-MCL!P27</f>
        <v>182505.8550683191</v>
      </c>
    </row>
    <row r="8" spans="2:8" ht="15">
      <c r="B8" t="s">
        <v>19</v>
      </c>
      <c r="D8" s="26">
        <f>+MCL!M27</f>
        <v>0</v>
      </c>
      <c r="E8" s="26">
        <f>+MCL!N27</f>
        <v>0</v>
      </c>
      <c r="F8" s="26">
        <f>+MCL!O27</f>
        <v>0</v>
      </c>
      <c r="G8" s="26">
        <f>+MCL!P27</f>
        <v>0</v>
      </c>
      <c r="H8" s="26">
        <f>+MCL!Q27</f>
        <v>0</v>
      </c>
    </row>
    <row r="9" spans="4:8" ht="15">
      <c r="D9" s="26"/>
      <c r="E9" s="26"/>
      <c r="F9" s="26"/>
      <c r="G9" s="26"/>
      <c r="H9" s="26"/>
    </row>
    <row r="10" spans="2:8" ht="15">
      <c r="B10" s="6" t="s">
        <v>331</v>
      </c>
      <c r="C10" s="6"/>
      <c r="D10" s="35">
        <f>+D3-D5</f>
        <v>73421.05263157895</v>
      </c>
      <c r="E10" s="35">
        <f>+E3-E5</f>
        <v>111232.89473684209</v>
      </c>
      <c r="F10" s="35">
        <f>+F3-F5</f>
        <v>146048.79078947363</v>
      </c>
      <c r="G10" s="35">
        <f>+G3-G5</f>
        <v>154884.74263223683</v>
      </c>
      <c r="H10" s="35">
        <f>+H3-H5</f>
        <v>164255.26956148716</v>
      </c>
    </row>
    <row r="12" spans="2:8" ht="15">
      <c r="B12" s="6" t="s">
        <v>231</v>
      </c>
      <c r="C12" s="6"/>
      <c r="D12" s="35">
        <f>SUM(D13:D33)</f>
        <v>35600</v>
      </c>
      <c r="E12" s="35">
        <f>SUM(E13:E33)</f>
        <v>31600</v>
      </c>
      <c r="F12" s="35">
        <f>SUM(F13:F33)</f>
        <v>31600</v>
      </c>
      <c r="G12" s="35">
        <f>SUM(G13:G33)</f>
        <v>31600</v>
      </c>
      <c r="H12" s="35">
        <f>SUM(H13:H33)</f>
        <v>31600</v>
      </c>
    </row>
    <row r="13" spans="2:8" ht="15">
      <c r="B13" t="str">
        <f>+Input!C91</f>
        <v>spese utenze</v>
      </c>
      <c r="D13" s="26">
        <f>+Input!F91</f>
        <v>12000</v>
      </c>
      <c r="E13" s="26">
        <f>+Input!G91</f>
        <v>12000</v>
      </c>
      <c r="F13" s="26">
        <f>+Input!H91</f>
        <v>12000</v>
      </c>
      <c r="G13" s="26">
        <f>+Input!I91</f>
        <v>12000</v>
      </c>
      <c r="H13" s="26">
        <f>+Input!J91</f>
        <v>12000</v>
      </c>
    </row>
    <row r="14" spans="2:8" ht="15">
      <c r="B14" t="str">
        <f>+Input!C92</f>
        <v>spese di rappresentanza</v>
      </c>
      <c r="D14" s="26">
        <f>+Input!F92</f>
        <v>0</v>
      </c>
      <c r="E14" s="26">
        <f>+Input!G92</f>
        <v>0</v>
      </c>
      <c r="F14" s="26">
        <f>+Input!H92</f>
        <v>0</v>
      </c>
      <c r="G14" s="26">
        <f>+Input!I92</f>
        <v>0</v>
      </c>
      <c r="H14" s="26">
        <f>+Input!J92</f>
        <v>0</v>
      </c>
    </row>
    <row r="15" spans="2:8" ht="15">
      <c r="B15" t="str">
        <f>+Input!C93</f>
        <v>spese di pubblicità e promozioni</v>
      </c>
      <c r="D15" s="26">
        <f>+Input!F93</f>
        <v>5000</v>
      </c>
      <c r="E15" s="26">
        <f>+Input!G93</f>
        <v>1000</v>
      </c>
      <c r="F15" s="26">
        <f>+Input!H93</f>
        <v>1000</v>
      </c>
      <c r="G15" s="26">
        <f>+Input!I93</f>
        <v>1000</v>
      </c>
      <c r="H15" s="26">
        <f>+Input!J93</f>
        <v>1000</v>
      </c>
    </row>
    <row r="16" spans="2:8" ht="15">
      <c r="B16" t="str">
        <f>+Input!C94</f>
        <v>beni strumentali inf. al milione</v>
      </c>
      <c r="D16" s="26">
        <f>+Input!F94</f>
        <v>0</v>
      </c>
      <c r="E16" s="26">
        <f>+Input!G94</f>
        <v>0</v>
      </c>
      <c r="F16" s="26">
        <f>+Input!H94</f>
        <v>0</v>
      </c>
      <c r="G16" s="26">
        <f>+Input!I94</f>
        <v>0</v>
      </c>
      <c r="H16" s="26">
        <f>+Input!J94</f>
        <v>0</v>
      </c>
    </row>
    <row r="17" spans="2:8" ht="15">
      <c r="B17" t="str">
        <f>+Input!C95</f>
        <v>spese di trasporto</v>
      </c>
      <c r="D17" s="26">
        <f>+Input!F95</f>
        <v>0</v>
      </c>
      <c r="E17" s="26">
        <f>+Input!G95</f>
        <v>0</v>
      </c>
      <c r="F17" s="26">
        <f>+Input!H95</f>
        <v>0</v>
      </c>
      <c r="G17" s="26">
        <f>+Input!I95</f>
        <v>0</v>
      </c>
      <c r="H17" s="26">
        <f>+Input!J95</f>
        <v>0</v>
      </c>
    </row>
    <row r="18" spans="2:8" ht="15">
      <c r="B18" t="str">
        <f>+Input!C96</f>
        <v>lavorazioni presso terzi</v>
      </c>
      <c r="D18" s="26">
        <f>+Input!F96</f>
        <v>0</v>
      </c>
      <c r="E18" s="26">
        <f>+Input!G96</f>
        <v>0</v>
      </c>
      <c r="F18" s="26">
        <f>+Input!H96</f>
        <v>0</v>
      </c>
      <c r="G18" s="26">
        <f>+Input!I96</f>
        <v>0</v>
      </c>
      <c r="H18" s="26">
        <f>+Input!J96</f>
        <v>0</v>
      </c>
    </row>
    <row r="19" spans="2:8" ht="15">
      <c r="B19" t="str">
        <f>+Input!C97</f>
        <v>consulenze legali, fiscali, notarili, ecc…</v>
      </c>
      <c r="D19" s="26">
        <f>+Input!F97</f>
        <v>600</v>
      </c>
      <c r="E19" s="26">
        <f>+Input!G97</f>
        <v>600</v>
      </c>
      <c r="F19" s="26">
        <f>+Input!H97</f>
        <v>600</v>
      </c>
      <c r="G19" s="26">
        <f>+Input!I97</f>
        <v>600</v>
      </c>
      <c r="H19" s="26">
        <f>+Input!J97</f>
        <v>600</v>
      </c>
    </row>
    <row r="20" spans="2:8" ht="15">
      <c r="B20" t="str">
        <f>+Input!C98</f>
        <v>compensi amministratori</v>
      </c>
      <c r="D20" s="26">
        <f>+Input!F98</f>
        <v>0</v>
      </c>
      <c r="E20" s="26">
        <f>+Input!G98</f>
        <v>0</v>
      </c>
      <c r="F20" s="26">
        <f>+Input!H98</f>
        <v>0</v>
      </c>
      <c r="G20" s="26">
        <f>+Input!I98</f>
        <v>0</v>
      </c>
      <c r="H20" s="26">
        <f>+Input!J98</f>
        <v>0</v>
      </c>
    </row>
    <row r="21" spans="2:8" ht="15">
      <c r="B21" t="str">
        <f>+Input!C99</f>
        <v>affitti </v>
      </c>
      <c r="D21" s="26">
        <f>+Input!F99</f>
        <v>15000</v>
      </c>
      <c r="E21" s="26">
        <f>+Input!G99</f>
        <v>15000</v>
      </c>
      <c r="F21" s="26">
        <f>+Input!H99</f>
        <v>15000</v>
      </c>
      <c r="G21" s="26">
        <f>+Input!I99</f>
        <v>15000</v>
      </c>
      <c r="H21" s="26">
        <f>+Input!J99</f>
        <v>15000</v>
      </c>
    </row>
    <row r="22" spans="2:8" ht="15">
      <c r="B22" t="str">
        <f>+Input!C100</f>
        <v>altri costi amministrativi</v>
      </c>
      <c r="D22" s="26">
        <f>+Input!F100</f>
        <v>0</v>
      </c>
      <c r="E22" s="26">
        <f>+Input!G100</f>
        <v>0</v>
      </c>
      <c r="F22" s="26">
        <f>+Input!H100</f>
        <v>0</v>
      </c>
      <c r="G22" s="26">
        <f>+Input!I100</f>
        <v>0</v>
      </c>
      <c r="H22" s="26">
        <f>+Input!J100</f>
        <v>0</v>
      </c>
    </row>
    <row r="23" spans="2:8" ht="15">
      <c r="B23" t="str">
        <f>+Input!C101</f>
        <v>Costi diversi</v>
      </c>
      <c r="D23" s="26">
        <f>+Input!F101</f>
        <v>1000</v>
      </c>
      <c r="E23" s="26">
        <f>+Input!G101</f>
        <v>1000</v>
      </c>
      <c r="F23" s="26">
        <f>+Input!H101</f>
        <v>1000</v>
      </c>
      <c r="G23" s="26">
        <f>+Input!I101</f>
        <v>1000</v>
      </c>
      <c r="H23" s="26">
        <f>+Input!J101</f>
        <v>1000</v>
      </c>
    </row>
    <row r="24" spans="2:8" ht="15">
      <c r="B24" t="str">
        <f>+Input!C102</f>
        <v>Premi assicurativi</v>
      </c>
      <c r="D24" s="26">
        <f>+Input!F102</f>
        <v>2000</v>
      </c>
      <c r="E24" s="26">
        <f>+Input!G102</f>
        <v>2000</v>
      </c>
      <c r="F24" s="26">
        <f>+Input!H102</f>
        <v>2000</v>
      </c>
      <c r="G24" s="26">
        <f>+Input!I102</f>
        <v>2000</v>
      </c>
      <c r="H24" s="26">
        <f>+Input!J102</f>
        <v>2000</v>
      </c>
    </row>
    <row r="25" spans="2:8" ht="15">
      <c r="B25" t="str">
        <f>+Input!C103</f>
        <v>Altri costi 1</v>
      </c>
      <c r="D25" s="26">
        <f>+Input!F103</f>
        <v>0</v>
      </c>
      <c r="E25" s="26">
        <f>+Input!G103</f>
        <v>0</v>
      </c>
      <c r="F25" s="26">
        <f>+Input!H103</f>
        <v>0</v>
      </c>
      <c r="G25" s="26">
        <f>+Input!I103</f>
        <v>0</v>
      </c>
      <c r="H25" s="26">
        <f>+Input!J103</f>
        <v>0</v>
      </c>
    </row>
    <row r="26" spans="2:8" ht="15">
      <c r="B26" t="str">
        <f>+Input!C104</f>
        <v>Altri costi 2</v>
      </c>
      <c r="D26" s="26">
        <f>+Input!F104</f>
        <v>0</v>
      </c>
      <c r="E26" s="26">
        <f>+Input!G104</f>
        <v>0</v>
      </c>
      <c r="F26" s="26">
        <f>+Input!H104</f>
        <v>0</v>
      </c>
      <c r="G26" s="26">
        <f>+Input!I104</f>
        <v>0</v>
      </c>
      <c r="H26" s="26">
        <f>+Input!J104</f>
        <v>0</v>
      </c>
    </row>
    <row r="27" spans="2:8" ht="15">
      <c r="B27" t="str">
        <f>+Input!C105</f>
        <v>Altri costi 3</v>
      </c>
      <c r="D27" s="26">
        <f>+Input!F105</f>
        <v>0</v>
      </c>
      <c r="E27" s="26">
        <f>+Input!G105</f>
        <v>0</v>
      </c>
      <c r="F27" s="26">
        <f>+Input!H105</f>
        <v>0</v>
      </c>
      <c r="G27" s="26">
        <f>+Input!I105</f>
        <v>0</v>
      </c>
      <c r="H27" s="26">
        <f>+Input!J105</f>
        <v>0</v>
      </c>
    </row>
    <row r="28" spans="2:8" ht="15">
      <c r="B28" t="str">
        <f>+Input!C106</f>
        <v>Altri costi 4</v>
      </c>
      <c r="D28" s="26">
        <f>+Input!F106</f>
        <v>0</v>
      </c>
      <c r="E28" s="26">
        <f>+Input!G106</f>
        <v>0</v>
      </c>
      <c r="F28" s="26">
        <f>+Input!H106</f>
        <v>0</v>
      </c>
      <c r="G28" s="26">
        <f>+Input!I106</f>
        <v>0</v>
      </c>
      <c r="H28" s="26">
        <f>+Input!J106</f>
        <v>0</v>
      </c>
    </row>
    <row r="29" spans="2:8" ht="15">
      <c r="B29" t="str">
        <f>+Input!C107</f>
        <v>Altri costi 5</v>
      </c>
      <c r="D29" s="26">
        <f>+Input!F107</f>
        <v>0</v>
      </c>
      <c r="E29" s="26">
        <f>+Input!G107</f>
        <v>0</v>
      </c>
      <c r="F29" s="26">
        <f>+Input!H107</f>
        <v>0</v>
      </c>
      <c r="G29" s="26">
        <f>+Input!I107</f>
        <v>0</v>
      </c>
      <c r="H29" s="26">
        <f>+Input!J107</f>
        <v>0</v>
      </c>
    </row>
    <row r="30" spans="2:8" ht="15">
      <c r="B30" t="str">
        <f>+Input!C108</f>
        <v>Altri costi 6</v>
      </c>
      <c r="D30" s="26">
        <f>+Input!F108</f>
        <v>0</v>
      </c>
      <c r="E30" s="26">
        <f>+Input!G108</f>
        <v>0</v>
      </c>
      <c r="F30" s="26">
        <f>+Input!H108</f>
        <v>0</v>
      </c>
      <c r="G30" s="26">
        <f>+Input!I108</f>
        <v>0</v>
      </c>
      <c r="H30" s="26">
        <f>+Input!J108</f>
        <v>0</v>
      </c>
    </row>
    <row r="31" spans="2:8" ht="15">
      <c r="B31" t="str">
        <f>+Input!C109</f>
        <v>Altri costi 7</v>
      </c>
      <c r="D31" s="26">
        <f>+Input!F109</f>
        <v>0</v>
      </c>
      <c r="E31" s="26">
        <f>+Input!G109</f>
        <v>0</v>
      </c>
      <c r="F31" s="26">
        <f>+Input!H109</f>
        <v>0</v>
      </c>
      <c r="G31" s="26">
        <f>+Input!I109</f>
        <v>0</v>
      </c>
      <c r="H31" s="26">
        <f>+Input!J109</f>
        <v>0</v>
      </c>
    </row>
    <row r="32" spans="2:8" ht="15">
      <c r="B32" t="str">
        <f>+Input!C110</f>
        <v>Altri costi 8</v>
      </c>
      <c r="D32" s="26">
        <f>+Input!F110</f>
        <v>0</v>
      </c>
      <c r="E32" s="26">
        <f>+Input!G110</f>
        <v>0</v>
      </c>
      <c r="F32" s="26">
        <f>+Input!H110</f>
        <v>0</v>
      </c>
      <c r="G32" s="26">
        <f>+Input!I110</f>
        <v>0</v>
      </c>
      <c r="H32" s="26">
        <f>+Input!J110</f>
        <v>0</v>
      </c>
    </row>
    <row r="33" spans="2:8" ht="15">
      <c r="B33" t="str">
        <f>+Input!C111</f>
        <v>Altri costi 9</v>
      </c>
      <c r="D33" s="26">
        <f>+Input!F111</f>
        <v>0</v>
      </c>
      <c r="E33" s="26">
        <f>+Input!G111</f>
        <v>0</v>
      </c>
      <c r="F33" s="26">
        <f>+Input!H111</f>
        <v>0</v>
      </c>
      <c r="G33" s="26">
        <f>+Input!I111</f>
        <v>0</v>
      </c>
      <c r="H33" s="26">
        <f>+Input!J111</f>
        <v>0</v>
      </c>
    </row>
    <row r="35" spans="2:8" ht="15">
      <c r="B35" s="6" t="s">
        <v>333</v>
      </c>
      <c r="C35" s="6"/>
      <c r="D35" s="35">
        <f>SUM(D36:D37)</f>
        <v>12000</v>
      </c>
      <c r="E35" s="35">
        <f>SUM(E36:E37)</f>
        <v>12000</v>
      </c>
      <c r="F35" s="35">
        <f>SUM(F36:F37)</f>
        <v>12000</v>
      </c>
      <c r="G35" s="35">
        <f>SUM(G36:G37)</f>
        <v>12000</v>
      </c>
      <c r="H35" s="35">
        <f>SUM(H36:H37)</f>
        <v>12000</v>
      </c>
    </row>
    <row r="36" spans="2:8" ht="15">
      <c r="B36" t="s">
        <v>57</v>
      </c>
      <c r="D36" s="26">
        <f>+Inve!D54</f>
        <v>10000</v>
      </c>
      <c r="E36" s="26">
        <f>+Inve!E54</f>
        <v>10000</v>
      </c>
      <c r="F36" s="26">
        <f>+Inve!F54</f>
        <v>10000</v>
      </c>
      <c r="G36" s="26">
        <f>+Inve!G54</f>
        <v>10000</v>
      </c>
      <c r="H36" s="26">
        <f>+Inve!H54</f>
        <v>10000</v>
      </c>
    </row>
    <row r="37" spans="2:8" ht="15">
      <c r="B37" t="s">
        <v>58</v>
      </c>
      <c r="D37" s="26">
        <f>+Inve!D55</f>
        <v>2000</v>
      </c>
      <c r="E37" s="26">
        <f>+Inve!E55</f>
        <v>2000</v>
      </c>
      <c r="F37" s="26">
        <f>+Inve!F55</f>
        <v>2000</v>
      </c>
      <c r="G37" s="26">
        <f>+Inve!G55</f>
        <v>2000</v>
      </c>
      <c r="H37" s="26">
        <f>+Inve!H55</f>
        <v>2000</v>
      </c>
    </row>
    <row r="38" spans="4:8" ht="15">
      <c r="D38" s="26"/>
      <c r="E38" s="26"/>
      <c r="F38" s="26"/>
      <c r="G38" s="26"/>
      <c r="H38" s="26"/>
    </row>
    <row r="39" spans="2:8" ht="15">
      <c r="B39" s="6" t="s">
        <v>81</v>
      </c>
      <c r="C39" s="6"/>
      <c r="D39" s="35">
        <f>+Personale!D8</f>
        <v>29641.5</v>
      </c>
      <c r="E39" s="35">
        <f>+Personale!E8</f>
        <v>59283</v>
      </c>
      <c r="F39" s="35">
        <f>+Personale!F8</f>
        <v>64929</v>
      </c>
      <c r="G39" s="35">
        <f>+Personale!G8</f>
        <v>64929</v>
      </c>
      <c r="H39" s="35">
        <f>+Personale!H8</f>
        <v>64929</v>
      </c>
    </row>
    <row r="40" spans="4:8" ht="15">
      <c r="D40" s="26"/>
      <c r="E40" s="26"/>
      <c r="F40" s="26"/>
      <c r="G40" s="26"/>
      <c r="H40" s="26"/>
    </row>
    <row r="41" spans="2:8" ht="15">
      <c r="B41" s="6" t="s">
        <v>332</v>
      </c>
      <c r="C41" s="6"/>
      <c r="D41" s="35">
        <f>+D10-D12-D35-D39</f>
        <v>-3820.4473684210534</v>
      </c>
      <c r="E41" s="35">
        <f>+E10-E12-E35-E39</f>
        <v>8349.894736842092</v>
      </c>
      <c r="F41" s="35">
        <f>+F10-F12-F35-F39</f>
        <v>37519.79078947363</v>
      </c>
      <c r="G41" s="35">
        <f>+G10-G12-G35-G39</f>
        <v>46355.74263223683</v>
      </c>
      <c r="H41" s="35">
        <f>+H10-H12-H35-H39</f>
        <v>55726.26956148716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347</v>
      </c>
      <c r="C43" s="6"/>
      <c r="D43" s="35">
        <f>-D44+D45</f>
        <v>-5931.709737217944</v>
      </c>
      <c r="E43" s="35">
        <f>-E44+E45</f>
        <v>-5519.353858772185</v>
      </c>
      <c r="F43" s="35">
        <f>-F44+F45</f>
        <v>-5058.562487658416</v>
      </c>
      <c r="G43" s="35">
        <f>-G44+G45</f>
        <v>-4565.515720566685</v>
      </c>
      <c r="H43" s="35">
        <f>-H44+H45</f>
        <v>-4037.9556797785312</v>
      </c>
    </row>
    <row r="44" spans="2:8" ht="15">
      <c r="B44" t="s">
        <v>135</v>
      </c>
      <c r="D44" s="26">
        <f>+finanziamento!E28+Banca!C9</f>
        <v>5950.0000000000055</v>
      </c>
      <c r="E44" s="26">
        <f>+finanziamento!F28+Banca!D9</f>
        <v>5519.353858772185</v>
      </c>
      <c r="F44" s="26">
        <f>+finanziamento!G28+Banca!E9</f>
        <v>5058.562487658416</v>
      </c>
      <c r="G44" s="26">
        <f>+finanziamento!H28+Banca!F9</f>
        <v>4565.515720566685</v>
      </c>
      <c r="H44" s="26">
        <f>+finanziamento!I28+Banca!G9</f>
        <v>4037.9556797785312</v>
      </c>
    </row>
    <row r="45" spans="2:8" ht="15">
      <c r="B45" t="s">
        <v>346</v>
      </c>
      <c r="D45" s="26">
        <f>+Banca!C10</f>
        <v>18.290262782061472</v>
      </c>
      <c r="E45" s="26">
        <f>+Banca!D10</f>
        <v>0</v>
      </c>
      <c r="F45" s="26">
        <f>+Banca!E10</f>
        <v>0</v>
      </c>
      <c r="G45" s="26">
        <f>+Banca!F10</f>
        <v>0</v>
      </c>
      <c r="H45" s="26">
        <f>+Banca!G10</f>
        <v>0</v>
      </c>
    </row>
    <row r="47" spans="2:8" ht="15">
      <c r="B47" s="6" t="s">
        <v>255</v>
      </c>
      <c r="C47" s="6"/>
      <c r="D47" s="35">
        <f>+D41+D43</f>
        <v>-9752.157105638998</v>
      </c>
      <c r="E47" s="35">
        <f>+E41+E43</f>
        <v>2830.540878069907</v>
      </c>
      <c r="F47" s="35">
        <f>+F41+F43</f>
        <v>32461.228301815212</v>
      </c>
      <c r="G47" s="35">
        <f>+G41+G43</f>
        <v>41790.22691167014</v>
      </c>
      <c r="H47" s="35">
        <f>+H41+H43</f>
        <v>51688.31388170863</v>
      </c>
    </row>
    <row r="49" spans="2:8" ht="15">
      <c r="B49" t="s">
        <v>298</v>
      </c>
      <c r="D49" s="35">
        <f>+Irap!E16</f>
        <v>775.6843728800791</v>
      </c>
      <c r="E49" s="35">
        <f>+Irap!F16</f>
        <v>2422.4280942447263</v>
      </c>
      <c r="F49" s="35">
        <f>+Irap!G16</f>
        <v>3798.218903770793</v>
      </c>
      <c r="G49" s="35">
        <f>+Irap!H16</f>
        <v>4162.049849555136</v>
      </c>
      <c r="H49" s="35">
        <f>+Irap!I16</f>
        <v>4548.075241386637</v>
      </c>
    </row>
    <row r="51" spans="2:8" ht="15">
      <c r="B51" s="6" t="s">
        <v>304</v>
      </c>
      <c r="D51" s="35">
        <f>+D47-D49</f>
        <v>-10527.841478519078</v>
      </c>
      <c r="E51" s="35">
        <f>+E47-E49</f>
        <v>408.11278382518094</v>
      </c>
      <c r="F51" s="35">
        <f>+F47-F49</f>
        <v>28663.009398044418</v>
      </c>
      <c r="G51" s="35">
        <f>+G47-G49</f>
        <v>37628.177062115006</v>
      </c>
      <c r="H51" s="35">
        <f>+H47-H49</f>
        <v>47140.23864032199</v>
      </c>
    </row>
    <row r="52" spans="4:8" ht="15">
      <c r="D52" s="35"/>
      <c r="E52" s="35"/>
      <c r="F52" s="35"/>
      <c r="G52" s="35"/>
      <c r="H52" s="35"/>
    </row>
    <row r="53" spans="4:8" ht="15">
      <c r="D53" s="35"/>
      <c r="E53" s="35"/>
      <c r="F53" s="35"/>
      <c r="G53" s="35"/>
      <c r="H53" s="35"/>
    </row>
    <row r="54" ht="15.75" thickBot="1"/>
    <row r="55" spans="2:8" ht="15">
      <c r="B55" s="8"/>
      <c r="C55" s="9"/>
      <c r="D55" s="9"/>
      <c r="E55" s="9"/>
      <c r="F55" s="9"/>
      <c r="G55" s="9"/>
      <c r="H55" s="10"/>
    </row>
    <row r="56" spans="2:8" ht="15">
      <c r="B56" s="11" t="s">
        <v>367</v>
      </c>
      <c r="C56" s="12"/>
      <c r="D56" s="17"/>
      <c r="E56" s="17"/>
      <c r="F56" s="17"/>
      <c r="G56" s="17"/>
      <c r="H56" s="15"/>
    </row>
    <row r="57" spans="2:8" ht="15">
      <c r="B57" s="16" t="s">
        <v>366</v>
      </c>
      <c r="C57" s="121">
        <f>+Input!D16</f>
        <v>0.5</v>
      </c>
      <c r="D57" s="34">
        <f>+'Irpef socio'!G27</f>
        <v>0</v>
      </c>
      <c r="E57" s="34">
        <f>+'Irpef socio'!I27</f>
        <v>162.75610048901967</v>
      </c>
      <c r="F57" s="34">
        <f>+'Irpef socio'!K27</f>
        <v>1866.5206273543747</v>
      </c>
      <c r="G57" s="34">
        <f>+'Irpef socio'!M27</f>
        <v>2402.9380474210334</v>
      </c>
      <c r="H57" s="122">
        <f>+'Irpef socio'!O27</f>
        <v>2972.0780481982465</v>
      </c>
    </row>
    <row r="58" spans="2:8" ht="15">
      <c r="B58" s="16" t="s">
        <v>377</v>
      </c>
      <c r="C58" s="121">
        <f>+Input!D16</f>
        <v>0.5</v>
      </c>
      <c r="D58" s="34">
        <f>+'Inps socio'!T23</f>
        <v>3192.89</v>
      </c>
      <c r="E58" s="34">
        <f>+'Inps socio'!U23</f>
        <v>3192.89</v>
      </c>
      <c r="F58" s="34">
        <f>+'Inps socio'!V23</f>
        <v>3470.875327879137</v>
      </c>
      <c r="G58" s="34">
        <f>+'Inps socio'!W23</f>
        <v>4468.611729203121</v>
      </c>
      <c r="H58" s="122">
        <f>+'Inps socio'!X23</f>
        <v>5527.212130648738</v>
      </c>
    </row>
    <row r="59" spans="2:8" ht="15">
      <c r="B59" s="123" t="s">
        <v>365</v>
      </c>
      <c r="C59" s="121">
        <f>+Input!D16</f>
        <v>0.5</v>
      </c>
      <c r="D59" s="34">
        <f>+(D51*$C$59)-D57-D58</f>
        <v>-8456.81073925954</v>
      </c>
      <c r="E59" s="34">
        <f>+(E51*$C$59)-E57-E58</f>
        <v>-3151.589708576429</v>
      </c>
      <c r="F59" s="34">
        <f>+(F51*$C$59)-F57-F58</f>
        <v>8994.108743788696</v>
      </c>
      <c r="G59" s="34">
        <f>+(G51*$C$59)-G57-G58</f>
        <v>11942.538754433348</v>
      </c>
      <c r="H59" s="122">
        <f>+(H51*$C$59)-H57-H58</f>
        <v>15070.82914131401</v>
      </c>
    </row>
    <row r="60" spans="2:8" ht="15">
      <c r="B60" s="16"/>
      <c r="C60" s="17"/>
      <c r="D60" s="17"/>
      <c r="E60" s="17"/>
      <c r="F60" s="17"/>
      <c r="G60" s="17"/>
      <c r="H60" s="15"/>
    </row>
    <row r="61" spans="2:8" ht="15">
      <c r="B61" s="16"/>
      <c r="C61" s="17"/>
      <c r="D61" s="17"/>
      <c r="E61" s="17"/>
      <c r="F61" s="17"/>
      <c r="G61" s="17"/>
      <c r="H61" s="15"/>
    </row>
    <row r="62" spans="2:8" ht="15.75" thickBot="1">
      <c r="B62" s="18"/>
      <c r="C62" s="19"/>
      <c r="D62" s="19"/>
      <c r="E62" s="19"/>
      <c r="F62" s="19"/>
      <c r="G62" s="19"/>
      <c r="H62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37"/>
  <sheetViews>
    <sheetView showGridLines="0" zoomScalePageLayoutView="0" workbookViewId="0" topLeftCell="A9">
      <selection activeCell="C35" sqref="C35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354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307</v>
      </c>
    </row>
    <row r="3" spans="2:7" ht="15">
      <c r="B3" s="6" t="s">
        <v>308</v>
      </c>
      <c r="C3" s="101">
        <f>+'CE'!D41</f>
        <v>-3820.4473684210534</v>
      </c>
      <c r="D3" s="101">
        <f>+'CE'!E41</f>
        <v>8349.894736842092</v>
      </c>
      <c r="E3" s="101">
        <f>+'CE'!F41</f>
        <v>37519.79078947363</v>
      </c>
      <c r="F3" s="101">
        <f>+'CE'!G41</f>
        <v>46355.74263223683</v>
      </c>
      <c r="G3" s="101">
        <f>+'CE'!H41</f>
        <v>55726.26956148716</v>
      </c>
    </row>
    <row r="4" spans="2:7" ht="15">
      <c r="B4" t="s">
        <v>309</v>
      </c>
      <c r="C4" s="25">
        <f>+SP!C32</f>
        <v>1554</v>
      </c>
      <c r="D4" s="25">
        <f>+SP!D32-SP!C32</f>
        <v>3108</v>
      </c>
      <c r="E4" s="25">
        <f>+SP!E32-SP!D32</f>
        <v>3404</v>
      </c>
      <c r="F4" s="25">
        <f>+SP!F32-SP!E32</f>
        <v>3404</v>
      </c>
      <c r="G4" s="25">
        <f>+SP!G32-SP!F32</f>
        <v>3404</v>
      </c>
    </row>
    <row r="5" spans="2:7" ht="15">
      <c r="B5" t="s">
        <v>310</v>
      </c>
      <c r="C5" s="25">
        <f>+'CE'!D35</f>
        <v>12000</v>
      </c>
      <c r="D5" s="25">
        <f>+'CE'!E35</f>
        <v>12000</v>
      </c>
      <c r="E5" s="25">
        <f>+'CE'!F35</f>
        <v>12000</v>
      </c>
      <c r="F5" s="25">
        <f>+'CE'!G35</f>
        <v>12000</v>
      </c>
      <c r="G5" s="25">
        <f>+'CE'!H35</f>
        <v>12000</v>
      </c>
    </row>
    <row r="6" spans="2:7" ht="15">
      <c r="B6" t="s">
        <v>311</v>
      </c>
      <c r="C6" s="101">
        <f>+C3+C4+C5</f>
        <v>9733.552631578947</v>
      </c>
      <c r="D6" s="101">
        <f>+D3+D4+D5</f>
        <v>23457.894736842092</v>
      </c>
      <c r="E6" s="101">
        <f>+E3+E4+E5</f>
        <v>52923.79078947363</v>
      </c>
      <c r="F6" s="101">
        <f>+F3+F4+F5</f>
        <v>61759.74263223683</v>
      </c>
      <c r="G6" s="101">
        <f>+G3+G4+G5</f>
        <v>71130.26956148716</v>
      </c>
    </row>
    <row r="8" spans="2:7" ht="15">
      <c r="B8" s="6" t="s">
        <v>312</v>
      </c>
      <c r="C8" s="101">
        <f>SUM(C9:C13)</f>
        <v>-1246.1051008041327</v>
      </c>
      <c r="D8" s="101">
        <f>SUM(D9:D13)</f>
        <v>9402.567023923168</v>
      </c>
      <c r="E8" s="101">
        <f>SUM(E9:E13)</f>
        <v>4009.082755797996</v>
      </c>
      <c r="F8" s="101">
        <f>SUM(F9:F13)</f>
        <v>932.4408097399405</v>
      </c>
      <c r="G8" s="101">
        <f>SUM(G9:G13)</f>
        <v>989.0361525564022</v>
      </c>
    </row>
    <row r="9" spans="2:7" ht="15">
      <c r="B9" t="s">
        <v>313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314</v>
      </c>
      <c r="C10" s="25">
        <f>-SP!C8+SP!C29</f>
        <v>-4713.894736842107</v>
      </c>
      <c r="D10" s="25">
        <f>+SP!C8-SP!D8+SP!D29-SP!C29</f>
        <v>7145.073464912282</v>
      </c>
      <c r="E10" s="25">
        <f>+SP!D8-SP!E8+SP!E29-SP!D29</f>
        <v>1356.7090910087718</v>
      </c>
      <c r="F10" s="25">
        <f>+SP!E8-SP!F8+SP!F29-SP!E29</f>
        <v>244.62496305428067</v>
      </c>
      <c r="G10" s="25">
        <f>+SP!F8-SP!G8+SP!G29-SP!F29</f>
        <v>259.42477331905684</v>
      </c>
    </row>
    <row r="11" spans="2:7" ht="15">
      <c r="B11" t="s">
        <v>315</v>
      </c>
      <c r="C11" s="25">
        <f>-SP!C11</f>
        <v>0</v>
      </c>
      <c r="D11" s="25">
        <f>+SP!C11-SP!D11</f>
        <v>0</v>
      </c>
      <c r="E11" s="25">
        <f>+SP!D11-SP!E11</f>
        <v>0</v>
      </c>
      <c r="F11" s="25">
        <f>+SP!E11-SP!F11</f>
        <v>0</v>
      </c>
      <c r="G11" s="25">
        <f>+SP!F11-SP!G11</f>
        <v>0</v>
      </c>
    </row>
    <row r="12" spans="2:7" ht="15">
      <c r="B12" t="s">
        <v>316</v>
      </c>
      <c r="C12" s="25">
        <f>+SP!C26</f>
        <v>2692.105263157895</v>
      </c>
      <c r="D12" s="25">
        <f>+SP!D26-SP!C26</f>
        <v>1386.4342105263158</v>
      </c>
      <c r="E12" s="25">
        <f>+SP!E26-SP!D26</f>
        <v>1276.5828552631574</v>
      </c>
      <c r="F12" s="25">
        <f>+SP!F26-SP!E26</f>
        <v>323.9849009013169</v>
      </c>
      <c r="G12" s="25">
        <f>+SP!G26-SP!F26</f>
        <v>343.5859874058442</v>
      </c>
    </row>
    <row r="13" spans="2:7" ht="15">
      <c r="B13" t="s">
        <v>314</v>
      </c>
      <c r="C13" s="25">
        <f>+SP!C28-SP!C9</f>
        <v>775.6843728800791</v>
      </c>
      <c r="D13" s="25">
        <f>+SP!D28-SP!C28+SP!C9-SP!D9</f>
        <v>871.0593484845681</v>
      </c>
      <c r="E13" s="25">
        <f>+SP!E28-SP!D28+SP!D9-SP!E9</f>
        <v>1375.7908095260668</v>
      </c>
      <c r="F13" s="25">
        <f>+SP!F28-SP!E28+SP!E9-SP!F9</f>
        <v>363.83094578434293</v>
      </c>
      <c r="G13" s="25">
        <f>+SP!G28-SP!F28+SP!F9-SP!G9</f>
        <v>386.0253918315011</v>
      </c>
    </row>
    <row r="14" ht="15">
      <c r="A14" s="105"/>
    </row>
    <row r="15" spans="2:7" ht="15">
      <c r="B15" s="6" t="s">
        <v>317</v>
      </c>
      <c r="C15" s="101">
        <f>+C6+C8</f>
        <v>8487.447530774814</v>
      </c>
      <c r="D15" s="101">
        <f>+D6+D8</f>
        <v>32860.46176076526</v>
      </c>
      <c r="E15" s="101">
        <f>+E6+E8</f>
        <v>56932.87354527162</v>
      </c>
      <c r="F15" s="101">
        <f>+F6+F8</f>
        <v>62692.18344197677</v>
      </c>
      <c r="G15" s="101">
        <f>+G6+G8</f>
        <v>72119.30571404357</v>
      </c>
    </row>
    <row r="17" spans="2:7" ht="15">
      <c r="B17" s="6" t="s">
        <v>318</v>
      </c>
      <c r="C17" s="101">
        <f>SUM(C18:C19)</f>
        <v>-120000</v>
      </c>
      <c r="D17" s="101">
        <f>SUM(D18:D19)</f>
        <v>0</v>
      </c>
      <c r="E17" s="101">
        <f>SUM(E18:E19)</f>
        <v>0</v>
      </c>
      <c r="F17" s="101">
        <f>SUM(F18:F19)</f>
        <v>0</v>
      </c>
      <c r="G17" s="101">
        <f>SUM(G18:G19)</f>
        <v>0</v>
      </c>
    </row>
    <row r="18" spans="2:7" ht="15">
      <c r="B18" t="s">
        <v>319</v>
      </c>
      <c r="C18" s="25">
        <f>-SP!C14</f>
        <v>-100000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320</v>
      </c>
      <c r="C19" s="25">
        <f>-SP!C15</f>
        <v>-20000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1" spans="2:7" ht="15">
      <c r="B21" s="6" t="s">
        <v>321</v>
      </c>
      <c r="C21" s="101">
        <f>+C15+C17</f>
        <v>-111512.5524692252</v>
      </c>
      <c r="D21" s="101">
        <f>+D15+D17</f>
        <v>32860.46176076526</v>
      </c>
      <c r="E21" s="101">
        <f>+E15+E17</f>
        <v>56932.87354527162</v>
      </c>
      <c r="F21" s="101">
        <f>+F15+F17</f>
        <v>62692.18344197677</v>
      </c>
      <c r="G21" s="101">
        <f>+G15+G17</f>
        <v>72119.30571404357</v>
      </c>
    </row>
    <row r="23" spans="2:7" ht="15">
      <c r="B23" t="s">
        <v>322</v>
      </c>
      <c r="C23" s="101">
        <f>SUM(C24:C26)</f>
        <v>118847.912268174</v>
      </c>
      <c r="D23" s="101">
        <f>SUM(D24:D26)</f>
        <v>-6582.733873053832</v>
      </c>
      <c r="E23" s="101">
        <f>SUM(E24:E26)</f>
        <v>-7043.525244167584</v>
      </c>
      <c r="F23" s="101">
        <f>SUM(F24:F26)</f>
        <v>-7536.572011259326</v>
      </c>
      <c r="G23" s="101">
        <f>SUM(G24:G26)</f>
        <v>-8064.132052047484</v>
      </c>
    </row>
    <row r="24" spans="2:7" ht="15">
      <c r="B24" t="s">
        <v>323</v>
      </c>
      <c r="C24" s="25">
        <f>+SP!C33</f>
        <v>78847.912268174</v>
      </c>
      <c r="D24" s="25">
        <f>+SP!D33-SP!C33</f>
        <v>-6582.733873053832</v>
      </c>
      <c r="E24" s="25">
        <f>+SP!E33-SP!D33</f>
        <v>-7043.525244167584</v>
      </c>
      <c r="F24" s="25">
        <f>+SP!F33-SP!E33</f>
        <v>-7536.572011259326</v>
      </c>
      <c r="G24" s="25">
        <f>+SP!G33-SP!F33</f>
        <v>-8064.132052047484</v>
      </c>
    </row>
    <row r="25" spans="2:7" ht="15">
      <c r="B25" t="s">
        <v>324</v>
      </c>
      <c r="C25" s="25">
        <f>+SP!C34</f>
        <v>40000</v>
      </c>
      <c r="D25" s="25">
        <f>+SP!D34-SP!C34</f>
        <v>0</v>
      </c>
      <c r="E25" s="25">
        <f>+SP!E34-SP!D34</f>
        <v>0</v>
      </c>
      <c r="F25" s="25">
        <f>+SP!F34-SP!E34</f>
        <v>0</v>
      </c>
      <c r="G25" s="25">
        <f>+SP!G34-SP!F34</f>
        <v>0</v>
      </c>
    </row>
    <row r="26" spans="2:7" ht="15">
      <c r="B26" t="s">
        <v>325</v>
      </c>
      <c r="C26" s="25">
        <f>+SP!C27</f>
        <v>0</v>
      </c>
      <c r="D26" s="25">
        <f>+SP!D27-SP!C27</f>
        <v>0</v>
      </c>
      <c r="E26" s="25">
        <f>+SP!E27-SP!D27</f>
        <v>0</v>
      </c>
      <c r="F26" s="25">
        <f>+SP!F27-SP!E27</f>
        <v>0</v>
      </c>
      <c r="G26" s="25">
        <f>+SP!G27-SP!F27</f>
        <v>0</v>
      </c>
    </row>
    <row r="29" spans="2:7" ht="15">
      <c r="B29" t="s">
        <v>326</v>
      </c>
      <c r="C29" s="101">
        <f>+'CE'!D43</f>
        <v>-5931.709737217944</v>
      </c>
      <c r="D29" s="6">
        <f>+'CE'!E43</f>
        <v>-5519.353858772185</v>
      </c>
      <c r="E29" s="6">
        <f>+'CE'!F43</f>
        <v>-5058.562487658416</v>
      </c>
      <c r="F29" s="6">
        <f>+'CE'!G43</f>
        <v>-4565.515720566685</v>
      </c>
      <c r="G29" s="6">
        <f>+'CE'!H43</f>
        <v>-4037.9556797785312</v>
      </c>
    </row>
    <row r="30" spans="2:7" ht="15">
      <c r="B30" t="s">
        <v>327</v>
      </c>
      <c r="C30" s="101">
        <f>-'CE'!D49</f>
        <v>-775.6843728800791</v>
      </c>
      <c r="D30" s="101">
        <f>-'CE'!E49</f>
        <v>-2422.4280942447263</v>
      </c>
      <c r="E30" s="101">
        <f>-'CE'!F49</f>
        <v>-3798.218903770793</v>
      </c>
      <c r="F30" s="101">
        <f>-'CE'!G49</f>
        <v>-4162.049849555136</v>
      </c>
      <c r="G30" s="101">
        <f>-'CE'!H49</f>
        <v>-4548.075241386637</v>
      </c>
    </row>
    <row r="33" spans="2:7" ht="15">
      <c r="B33" t="s">
        <v>328</v>
      </c>
      <c r="C33" s="101">
        <f>+SP!C37</f>
        <v>0</v>
      </c>
      <c r="D33" s="101">
        <f>+SP!D37-SP!C37-SP!C38</f>
        <v>0</v>
      </c>
      <c r="E33" s="101">
        <f>+SP!E37-SP!D37-SP!D38</f>
        <v>4.547473508864641E-13</v>
      </c>
      <c r="F33" s="101">
        <f>+SP!F37-SP!E37-SP!E38</f>
        <v>0</v>
      </c>
      <c r="G33" s="101">
        <f>+SP!G37-SP!F37-SP!F38</f>
        <v>0</v>
      </c>
    </row>
    <row r="35" spans="2:7" ht="15">
      <c r="B35" s="6" t="s">
        <v>329</v>
      </c>
      <c r="C35" s="101">
        <f>+C21+C23+C29+C30+C33</f>
        <v>627.9656888507811</v>
      </c>
      <c r="D35" s="101">
        <f>+D21+D23+D29+D30+D33</f>
        <v>18335.94593469452</v>
      </c>
      <c r="E35" s="101">
        <f>+E21+E23+E29+E30+E33</f>
        <v>41032.566909674824</v>
      </c>
      <c r="F35" s="101">
        <f>+F21+F23+F29+F30+F33</f>
        <v>46428.04586059562</v>
      </c>
      <c r="G35" s="101">
        <f>+G21+G23+G29+G30+G33</f>
        <v>55469.14274083092</v>
      </c>
    </row>
    <row r="37" spans="2:7" ht="15">
      <c r="B37" t="s">
        <v>330</v>
      </c>
      <c r="C37" s="25">
        <f>+SP!C4-SP!C23</f>
        <v>627.9656888507889</v>
      </c>
      <c r="D37" s="25">
        <f>+SP!D23-SP!C23+SP!C4-SP!D4</f>
        <v>-18335.945934694435</v>
      </c>
      <c r="E37" s="25">
        <f>+SP!E23-SP!D23+SP!D4-SP!E4</f>
        <v>-41032.566909674904</v>
      </c>
      <c r="F37" s="25">
        <f>+SP!F23-SP!E23+SP!E4-SP!F4</f>
        <v>-17765.036462551332</v>
      </c>
      <c r="G37" s="25">
        <f>+SP!G23-SP!F23+SP!F4-SP!G4</f>
        <v>-17840.96567871608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70"/>
  <sheetViews>
    <sheetView showGridLines="0" zoomScalePageLayoutView="0" workbookViewId="0" topLeftCell="A44">
      <selection activeCell="D60" sqref="D60"/>
    </sheetView>
  </sheetViews>
  <sheetFormatPr defaultColWidth="9.140625" defaultRowHeight="15"/>
  <cols>
    <col min="2" max="2" width="3.8515625" style="0" customWidth="1"/>
    <col min="3" max="3" width="20.7109375" style="0" customWidth="1"/>
    <col min="4" max="5" width="10.57421875" style="0" bestFit="1" customWidth="1"/>
    <col min="7" max="8" width="10.57421875" style="0" bestFit="1" customWidth="1"/>
    <col min="9" max="9" width="3.421875" style="0" customWidth="1"/>
    <col min="12" max="12" width="13.7109375" style="0" bestFit="1" customWidth="1"/>
    <col min="13" max="13" width="11.57421875" style="0" bestFit="1" customWidth="1"/>
    <col min="14" max="15" width="10.57421875" style="0" bestFit="1" customWidth="1"/>
    <col min="16" max="17" width="11.57421875" style="0" bestFit="1" customWidth="1"/>
    <col min="21" max="21" width="20.8515625" style="0" bestFit="1" customWidth="1"/>
    <col min="22" max="26" width="11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0" t="s">
        <v>386</v>
      </c>
      <c r="E2" s="130" t="s">
        <v>387</v>
      </c>
      <c r="F2" s="130" t="s">
        <v>388</v>
      </c>
      <c r="G2" s="130" t="s">
        <v>389</v>
      </c>
      <c r="H2" s="130" t="s">
        <v>390</v>
      </c>
      <c r="I2" s="10"/>
    </row>
    <row r="3" spans="2:9" ht="15">
      <c r="B3" s="16"/>
      <c r="C3" s="12" t="s">
        <v>0</v>
      </c>
      <c r="D3" s="13" t="str">
        <f>+Input!J26</f>
        <v>Anno 1</v>
      </c>
      <c r="E3" s="13" t="str">
        <f>+Input!K26</f>
        <v>Anno 2</v>
      </c>
      <c r="F3" s="13" t="str">
        <f>+Input!L26</f>
        <v>Anno 3</v>
      </c>
      <c r="G3" s="13" t="str">
        <f>+Input!M26</f>
        <v>Anno 4</v>
      </c>
      <c r="H3" s="13" t="str">
        <f>+Input!N26</f>
        <v>Anno 5</v>
      </c>
      <c r="I3" s="15"/>
    </row>
    <row r="4" spans="2:9" ht="15">
      <c r="B4" s="16"/>
      <c r="C4" s="17" t="str">
        <f>+Input!C27</f>
        <v>Gelato (cono/coppetta)</v>
      </c>
      <c r="D4" s="33">
        <f>+Input!J27*Input!P27</f>
        <v>50000</v>
      </c>
      <c r="E4" s="33">
        <f>+Input!K27*Input!Q27</f>
        <v>75750</v>
      </c>
      <c r="F4" s="33">
        <f>+Input!L27*Input!R27</f>
        <v>99459.75</v>
      </c>
      <c r="G4" s="33">
        <f>+Input!M27*Input!S27</f>
        <v>105477.06487500001</v>
      </c>
      <c r="H4" s="33">
        <f>+Input!N27*Input!T27</f>
        <v>111858.42729993751</v>
      </c>
      <c r="I4" s="15"/>
    </row>
    <row r="5" spans="2:9" ht="15">
      <c r="B5" s="16"/>
      <c r="C5" s="17" t="str">
        <f>+Input!C28</f>
        <v>Frullati</v>
      </c>
      <c r="D5" s="33">
        <f>+Input!J28*Input!P28</f>
        <v>15000</v>
      </c>
      <c r="E5" s="33">
        <f>+Input!K28*Input!Q28</f>
        <v>22725.000000000004</v>
      </c>
      <c r="F5" s="33">
        <f>+Input!L28*Input!R28</f>
        <v>29837.925000000003</v>
      </c>
      <c r="G5" s="33">
        <f>+Input!M28*Input!S28</f>
        <v>31643.119462500003</v>
      </c>
      <c r="H5" s="33">
        <f>+Input!N28*Input!T28</f>
        <v>33557.528189981254</v>
      </c>
      <c r="I5" s="15"/>
    </row>
    <row r="6" spans="2:9" ht="15">
      <c r="B6" s="16"/>
      <c r="C6" s="17" t="str">
        <f>+Input!C29</f>
        <v>Semifreddo</v>
      </c>
      <c r="D6" s="33">
        <f>+Input!J29*Input!P29</f>
        <v>15000</v>
      </c>
      <c r="E6" s="33">
        <f>+Input!K29*Input!Q29</f>
        <v>22725.000000000004</v>
      </c>
      <c r="F6" s="33">
        <f>+Input!L29*Input!R29</f>
        <v>29837.925000000003</v>
      </c>
      <c r="G6" s="33">
        <f>+Input!M29*Input!S29</f>
        <v>31643.119462500003</v>
      </c>
      <c r="H6" s="33">
        <f>+Input!N29*Input!T29</f>
        <v>33557.528189981254</v>
      </c>
      <c r="I6" s="15"/>
    </row>
    <row r="7" spans="2:9" ht="15">
      <c r="B7" s="16"/>
      <c r="C7" s="17" t="str">
        <f>+Input!C30</f>
        <v>Torte</v>
      </c>
      <c r="D7" s="33">
        <f>+Input!J30*Input!P30</f>
        <v>75000</v>
      </c>
      <c r="E7" s="33">
        <f>+Input!K30*Input!Q30</f>
        <v>113625</v>
      </c>
      <c r="F7" s="33">
        <f>+Input!L30*Input!R30</f>
        <v>149189.625</v>
      </c>
      <c r="G7" s="33">
        <f>+Input!M30*Input!S30</f>
        <v>158215.5973125</v>
      </c>
      <c r="H7" s="33">
        <f>+Input!N30*Input!T30</f>
        <v>167787.64094990626</v>
      </c>
      <c r="I7" s="15"/>
    </row>
    <row r="8" spans="2:9" ht="15">
      <c r="B8" s="16"/>
      <c r="C8" s="17" t="str">
        <f>+Input!C31</f>
        <v>Bibite</v>
      </c>
      <c r="D8" s="33">
        <f>+Input!J31*Input!P31</f>
        <v>0</v>
      </c>
      <c r="E8" s="33">
        <f>+Input!K31*Input!Q31</f>
        <v>0</v>
      </c>
      <c r="F8" s="33">
        <f>+Input!L31*Input!R31</f>
        <v>0</v>
      </c>
      <c r="G8" s="33">
        <f>+Input!M31*Input!S31</f>
        <v>0</v>
      </c>
      <c r="H8" s="33">
        <f>+Input!N31*Input!T31</f>
        <v>0</v>
      </c>
      <c r="I8" s="15"/>
    </row>
    <row r="9" spans="2:9" ht="15">
      <c r="B9" s="16"/>
      <c r="C9" s="17" t="str">
        <f>+Input!C32</f>
        <v>Varie</v>
      </c>
      <c r="D9" s="33">
        <f>+Input!J32*Input!P32</f>
        <v>0</v>
      </c>
      <c r="E9" s="33">
        <f>+Input!K32*Input!Q32</f>
        <v>0</v>
      </c>
      <c r="F9" s="33">
        <f>+Input!L32*Input!R32</f>
        <v>0</v>
      </c>
      <c r="G9" s="33">
        <f>+Input!M32*Input!S32</f>
        <v>0</v>
      </c>
      <c r="H9" s="33">
        <f>+Input!N32*Input!T32</f>
        <v>0</v>
      </c>
      <c r="I9" s="15"/>
    </row>
    <row r="10" spans="2:12" ht="15">
      <c r="B10" s="16"/>
      <c r="C10" s="17" t="str">
        <f>+Input!C33</f>
        <v>Bibite</v>
      </c>
      <c r="D10" s="33">
        <f>+Input!J33*Input!P33</f>
        <v>0</v>
      </c>
      <c r="E10" s="33">
        <f>+Input!K33*Input!Q33</f>
        <v>0</v>
      </c>
      <c r="F10" s="33">
        <f>+Input!L33*Input!R33</f>
        <v>0</v>
      </c>
      <c r="G10" s="33">
        <f>+Input!M33*Input!S33</f>
        <v>0</v>
      </c>
      <c r="H10" s="33">
        <f>+Input!N33*Input!T33</f>
        <v>0</v>
      </c>
      <c r="I10" s="15"/>
      <c r="L10" s="147">
        <f>30/360</f>
        <v>0.08333333333333333</v>
      </c>
    </row>
    <row r="11" spans="2:9" ht="15">
      <c r="B11" s="16"/>
      <c r="C11" s="17" t="str">
        <f>+Input!C34</f>
        <v>Prodotto 8</v>
      </c>
      <c r="D11" s="33">
        <f>+Input!J34*Input!P34</f>
        <v>0</v>
      </c>
      <c r="E11" s="33">
        <f>+Input!K34*Input!Q34</f>
        <v>0</v>
      </c>
      <c r="F11" s="33">
        <f>+Input!L34*Input!R34</f>
        <v>0</v>
      </c>
      <c r="G11" s="33">
        <f>+Input!M34*Input!S34</f>
        <v>0</v>
      </c>
      <c r="H11" s="33">
        <f>+Input!N34*Input!T34</f>
        <v>0</v>
      </c>
      <c r="I11" s="15"/>
    </row>
    <row r="12" spans="2:9" ht="15">
      <c r="B12" s="16"/>
      <c r="C12" s="17" t="str">
        <f>+Input!C35</f>
        <v>Prodotto 9</v>
      </c>
      <c r="D12" s="33">
        <f>+Input!J35*Input!P35</f>
        <v>0</v>
      </c>
      <c r="E12" s="33">
        <f>+Input!K35*Input!Q35</f>
        <v>0</v>
      </c>
      <c r="F12" s="33">
        <f>+Input!L35*Input!R35</f>
        <v>0</v>
      </c>
      <c r="G12" s="33">
        <f>+Input!M35*Input!S35</f>
        <v>0</v>
      </c>
      <c r="H12" s="33">
        <f>+Input!N35*Input!T35</f>
        <v>0</v>
      </c>
      <c r="I12" s="15"/>
    </row>
    <row r="13" spans="2:9" ht="15">
      <c r="B13" s="16"/>
      <c r="C13" s="12" t="s">
        <v>20</v>
      </c>
      <c r="D13" s="34">
        <f>SUM(D4:D12)</f>
        <v>155000</v>
      </c>
      <c r="E13" s="34">
        <f>SUM(E4:E12)</f>
        <v>234825</v>
      </c>
      <c r="F13" s="34">
        <f>SUM(F4:F12)</f>
        <v>308325.225</v>
      </c>
      <c r="G13" s="34">
        <f>SUM(G4:G12)</f>
        <v>326978.9011125</v>
      </c>
      <c r="H13" s="34">
        <f>SUM(H4:H12)</f>
        <v>346761.12462980626</v>
      </c>
      <c r="I13" s="15"/>
    </row>
    <row r="14" spans="2:13" ht="15.75" thickBot="1">
      <c r="B14" s="18"/>
      <c r="C14" s="19"/>
      <c r="D14" s="19"/>
      <c r="E14" s="19"/>
      <c r="F14" s="19"/>
      <c r="G14" s="19"/>
      <c r="H14" s="19"/>
      <c r="I14" s="20"/>
      <c r="K14" s="25"/>
      <c r="M14" s="146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22</v>
      </c>
      <c r="D17" s="13" t="str">
        <f>+Input!J26</f>
        <v>Anno 1</v>
      </c>
      <c r="E17" s="13" t="str">
        <f>+Input!K26</f>
        <v>Anno 2</v>
      </c>
      <c r="F17" s="13" t="str">
        <f>+Input!L26</f>
        <v>Anno 3</v>
      </c>
      <c r="G17" s="13" t="str">
        <f>+Input!M26</f>
        <v>Anno 4</v>
      </c>
      <c r="H17" s="13" t="str">
        <f>+Input!N26</f>
        <v>Anno 5</v>
      </c>
      <c r="I17" s="15"/>
      <c r="K17" s="31"/>
      <c r="L17" s="12" t="s">
        <v>16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27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+Input!C40</f>
        <v>Mp xGelato (cono/coppetta)</v>
      </c>
      <c r="D18" s="33">
        <f>+D4/(1+(Input!$E27))</f>
        <v>26315.78947368421</v>
      </c>
      <c r="E18" s="33">
        <f>+E4/(1+(Input!$E27))</f>
        <v>39868.42105263158</v>
      </c>
      <c r="F18" s="33">
        <f>+F4/(1+(Input!$E27))</f>
        <v>52347.23684210527</v>
      </c>
      <c r="G18" s="33">
        <f>+G4/(1+(Input!$E27))</f>
        <v>55514.24467105264</v>
      </c>
      <c r="H18" s="33">
        <f>+H4/(1+(Input!$E27))</f>
        <v>58872.85647365132</v>
      </c>
      <c r="I18" s="15"/>
      <c r="K18" s="31"/>
      <c r="L18" s="17" t="str">
        <f aca="true" t="shared" si="0" ref="L18:L26">+C18</f>
        <v>Mp xGelato (cono/coppetta)</v>
      </c>
      <c r="M18" s="29">
        <f>(IF(Input!$F40=0,0,IF(Input!$F40=30,Input!$O$19*D18,IF(Input!$F40=60,(Input!$O$19+Input!$N$19*D18),IF(Input!$F40=90,(Input!$O$19+Input!$N$19+Input!$M$19)*D18,IF(Input!$F40=120,(Input!$O$19+Input!$N$19+Input!$M$19+Input!$L$19)*D18,IF(Input!$F40=150,(Input!$O$19+Input!$N$19+Input!$M$19+Input!$L$19+Input!$K$19)*D18,(Input!$O$19+Input!$N$19+Input!$M$19+Input!$L$19+Input!$K$19+Input!$J$19)*D18)))))))</f>
        <v>0</v>
      </c>
      <c r="N18" s="29">
        <f>(IF(Input!$F40=0,0,IF(Input!$F40=30,Input!$O$19*E18,IF(Input!$F40=60,(Input!$O$19+Input!$N$19*E18),IF(Input!$F40=90,(Input!$O$19+Input!$N$19+Input!$M$19)*E18,IF(Input!$F40=120,(Input!$O$19+Input!$N$19+Input!$M$19+Input!$L$19)*E18,IF(Input!$F40=150,(Input!$O$19+Input!$N$19+Input!$M$19+Input!$L$19+Input!$K$19)*E18,(Input!$O$19+Input!$N$19+Input!$M$19+Input!$L$19+Input!$K$19+Input!$J$19)*E18)))))))</f>
        <v>0</v>
      </c>
      <c r="O18" s="29">
        <f>(IF(Input!$F40=0,0,IF(Input!$F40=30,Input!$O$19*F18,IF(Input!$F40=60,(Input!$O$19+Input!$N$19*F18),IF(Input!$F40=90,(Input!$O$19+Input!$N$19+Input!$M$19)*F18,IF(Input!$F40=120,(Input!$O$19+Input!$N$19+Input!$M$19+Input!$L$19)*F18,IF(Input!$F40=150,(Input!$O$19+Input!$N$19+Input!$M$19+Input!$L$19+Input!$K$19)*F18,(Input!$O$19+Input!$N$19+Input!$M$19+Input!$L$19+Input!$K$19+Input!$J$19)*F18)))))))</f>
        <v>0</v>
      </c>
      <c r="P18" s="29">
        <f>(IF(Input!$F40=0,0,IF(Input!$F40=30,Input!$O$19*G18,IF(Input!$F40=60,(Input!$O$19+Input!$N$19*G18),IF(Input!$F40=90,(Input!$O$19+Input!$N$19+Input!$M$19)*G18,IF(Input!$F40=120,(Input!$O$19+Input!$N$19+Input!$M$19+Input!$L$19)*G18,IF(Input!$F40=150,(Input!$O$19+Input!$N$19+Input!$M$19+Input!$L$19+Input!$K$19)*G18,(Input!$O$19+Input!$N$19+Input!$M$19+Input!$L$19+Input!$K$19+Input!$J$19)*G18)))))))</f>
        <v>0</v>
      </c>
      <c r="Q18" s="29">
        <f>(IF(Input!$F40=0,0,IF(Input!$F40=30,Input!$O$19*H18,IF(Input!$F40=60,(Input!$O$19+Input!$N$19*H18),IF(Input!$F40=90,(Input!$O$19+Input!$N$19+Input!$M$19)*H18,IF(Input!$F40=120,(Input!$O$19+Input!$N$19+Input!$M$19+Input!$L$19)*H18,IF(Input!$F40=150,(Input!$O$19+Input!$N$19+Input!$M$19+Input!$L$19+Input!$K$19)*H18,(Input!$O$19+Input!$N$19+Input!$M$19+Input!$L$19+Input!$K$19+Input!$J$19)*H18)))))))</f>
        <v>0</v>
      </c>
      <c r="R18" s="32"/>
      <c r="T18" s="31"/>
      <c r="U18" s="17" t="str">
        <f aca="true" t="shared" si="1" ref="U18:U26">+L18</f>
        <v>Mp xGelato (cono/coppetta)</v>
      </c>
      <c r="V18" s="29">
        <f>+D18+M18</f>
        <v>26315.78947368421</v>
      </c>
      <c r="W18" s="29">
        <f>+E18+N18-M18</f>
        <v>39868.42105263158</v>
      </c>
      <c r="X18" s="29">
        <f aca="true" t="shared" si="2" ref="X18:Z26">+F18+O18-N18</f>
        <v>52347.23684210527</v>
      </c>
      <c r="Y18" s="29">
        <f t="shared" si="2"/>
        <v>55514.24467105264</v>
      </c>
      <c r="Z18" s="29">
        <f t="shared" si="2"/>
        <v>58872.85647365132</v>
      </c>
      <c r="AA18" s="32"/>
    </row>
    <row r="19" spans="2:27" ht="15">
      <c r="B19" s="16"/>
      <c r="C19" s="17" t="str">
        <f>+Input!C41</f>
        <v>Mp xFrullati</v>
      </c>
      <c r="D19" s="33">
        <f>+D5/(1+(Input!$E28))</f>
        <v>7894.736842105263</v>
      </c>
      <c r="E19" s="33">
        <f>+E5/(1+(Input!$E28))</f>
        <v>11960.526315789477</v>
      </c>
      <c r="F19" s="33">
        <f>+F5/(1+(Input!$E28))</f>
        <v>15704.171052631582</v>
      </c>
      <c r="G19" s="33">
        <f>+G5/(1+(Input!$E28))</f>
        <v>16654.273401315793</v>
      </c>
      <c r="H19" s="33">
        <f>+H5/(1+(Input!$E28))</f>
        <v>17661.856942095397</v>
      </c>
      <c r="I19" s="15"/>
      <c r="K19" s="31"/>
      <c r="L19" s="17" t="str">
        <f t="shared" si="0"/>
        <v>Mp xFrullati</v>
      </c>
      <c r="M19" s="29">
        <f>(IF(Input!$F41=0,0,IF(Input!$F41=30,Input!$O$19*D19,IF(Input!$F41=60,(Input!$O$19+Input!$N$19*D19),IF(Input!$F41=90,(Input!$O$19+Input!$N$19+Input!$M$19)*D19,IF(Input!$F41=120,(Input!$O$19+Input!$N$19+Input!$M$19+Input!$L$19)*D19,IF(Input!$F41=150,(Input!$O$19+Input!$N$19+Input!$M$19+Input!$L$19+Input!$K$19)*D19,(Input!$O$19+Input!$N$19+Input!$M$19+Input!$L$19+Input!$K$19+Input!$J$19)*D19)))))))</f>
        <v>0</v>
      </c>
      <c r="N19" s="29">
        <f>(IF(Input!$F41=0,0,IF(Input!$F41=30,Input!$O$19*E19,IF(Input!$F41=60,(Input!$O$19+Input!$N$19*E19),IF(Input!$F41=90,(Input!$O$19+Input!$N$19+Input!$M$19)*E19,IF(Input!$F41=120,(Input!$O$19+Input!$N$19+Input!$M$19+Input!$L$19)*E19,IF(Input!$F41=150,(Input!$O$19+Input!$N$19+Input!$M$19+Input!$L$19+Input!$K$19)*E19,(Input!$O$19+Input!$N$19+Input!$M$19+Input!$L$19+Input!$K$19+Input!$J$19)*E19)))))))</f>
        <v>0</v>
      </c>
      <c r="O19" s="29">
        <f>(IF(Input!$F41=0,0,IF(Input!$F41=30,Input!$O$19*F19,IF(Input!$F41=60,(Input!$O$19+Input!$N$19*F19),IF(Input!$F41=90,(Input!$O$19+Input!$N$19+Input!$M$19)*F19,IF(Input!$F41=120,(Input!$O$19+Input!$N$19+Input!$M$19+Input!$L$19)*F19,IF(Input!$F41=150,(Input!$O$19+Input!$N$19+Input!$M$19+Input!$L$19+Input!$K$19)*F19,(Input!$O$19+Input!$N$19+Input!$M$19+Input!$L$19+Input!$K$19+Input!$J$19)*F19)))))))</f>
        <v>0</v>
      </c>
      <c r="P19" s="29">
        <f>(IF(Input!$F41=0,0,IF(Input!$F41=30,Input!$O$19*G19,IF(Input!$F41=60,(Input!$O$19+Input!$N$19*G19),IF(Input!$F41=90,(Input!$O$19+Input!$N$19+Input!$M$19)*G19,IF(Input!$F41=120,(Input!$O$19+Input!$N$19+Input!$M$19+Input!$L$19)*G19,IF(Input!$F41=150,(Input!$O$19+Input!$N$19+Input!$M$19+Input!$L$19+Input!$K$19)*G19,(Input!$O$19+Input!$N$19+Input!$M$19+Input!$L$19+Input!$K$19+Input!$J$19)*G19)))))))</f>
        <v>0</v>
      </c>
      <c r="Q19" s="29">
        <f>(IF(Input!$F41=0,0,IF(Input!$F41=30,Input!$O$19*H19,IF(Input!$F41=60,(Input!$O$19+Input!$N$19*H19),IF(Input!$F41=90,(Input!$O$19+Input!$N$19+Input!$M$19)*H19,IF(Input!$F41=120,(Input!$O$19+Input!$N$19+Input!$M$19+Input!$L$19)*H19,IF(Input!$F41=150,(Input!$O$19+Input!$N$19+Input!$M$19+Input!$L$19+Input!$K$19)*H19,(Input!$O$19+Input!$N$19+Input!$M$19+Input!$L$19+Input!$K$19+Input!$J$19)*H19)))))))</f>
        <v>0</v>
      </c>
      <c r="R19" s="32"/>
      <c r="T19" s="31"/>
      <c r="U19" s="17" t="str">
        <f t="shared" si="1"/>
        <v>Mp xFrullati</v>
      </c>
      <c r="V19" s="29">
        <f aca="true" t="shared" si="3" ref="V19:V26">+D19+M19</f>
        <v>7894.736842105263</v>
      </c>
      <c r="W19" s="29">
        <f aca="true" t="shared" si="4" ref="W19:W26">+E19+N19-M19</f>
        <v>11960.526315789477</v>
      </c>
      <c r="X19" s="29">
        <f t="shared" si="2"/>
        <v>15704.171052631582</v>
      </c>
      <c r="Y19" s="29">
        <f t="shared" si="2"/>
        <v>16654.273401315793</v>
      </c>
      <c r="Z19" s="29">
        <f t="shared" si="2"/>
        <v>17661.856942095397</v>
      </c>
      <c r="AA19" s="32"/>
    </row>
    <row r="20" spans="2:27" ht="15">
      <c r="B20" s="16"/>
      <c r="C20" s="17" t="str">
        <f>+Input!C42</f>
        <v>Mp xSemifreddo</v>
      </c>
      <c r="D20" s="33">
        <f>+D6/(1+(Input!$E29))</f>
        <v>7894.736842105263</v>
      </c>
      <c r="E20" s="33">
        <f>+E6/(1+(Input!$E29))</f>
        <v>11960.526315789477</v>
      </c>
      <c r="F20" s="33">
        <f>+F6/(1+(Input!$E29))</f>
        <v>15704.171052631582</v>
      </c>
      <c r="G20" s="33">
        <f>+G6/(1+(Input!$E29))</f>
        <v>16654.273401315793</v>
      </c>
      <c r="H20" s="33">
        <f>+H6/(1+(Input!$E29))</f>
        <v>17661.856942095397</v>
      </c>
      <c r="I20" s="15"/>
      <c r="K20" s="31"/>
      <c r="L20" s="17" t="str">
        <f t="shared" si="0"/>
        <v>Mp xSemifreddo</v>
      </c>
      <c r="M20" s="29">
        <f>(IF(Input!$F42=0,0,IF(Input!$F42=30,Input!$O$19*D20,IF(Input!$F42=60,(Input!$O$19+Input!$N$19*D20),IF(Input!$F42=90,(Input!$O$19+Input!$N$19+Input!$M$19)*D20,IF(Input!$F42=120,(Input!$O$19+Input!$N$19+Input!$M$19+Input!$L$19)*D20,IF(Input!$F42=150,(Input!$O$19+Input!$N$19+Input!$M$19+Input!$L$19+Input!$K$19)*D20,(Input!$O$19+Input!$N$19+Input!$M$19+Input!$L$19+Input!$K$19+Input!$J$19)*D20)))))))</f>
        <v>0</v>
      </c>
      <c r="N20" s="29">
        <f>(IF(Input!$F42=0,0,IF(Input!$F42=30,Input!$O$19*E20,IF(Input!$F42=60,(Input!$O$19+Input!$N$19*E20),IF(Input!$F42=90,(Input!$O$19+Input!$N$19+Input!$M$19)*E20,IF(Input!$F42=120,(Input!$O$19+Input!$N$19+Input!$M$19+Input!$L$19)*E20,IF(Input!$F42=150,(Input!$O$19+Input!$N$19+Input!$M$19+Input!$L$19+Input!$K$19)*E20,(Input!$O$19+Input!$N$19+Input!$M$19+Input!$L$19+Input!$K$19+Input!$J$19)*E20)))))))</f>
        <v>0</v>
      </c>
      <c r="O20" s="29">
        <f>(IF(Input!$F42=0,0,IF(Input!$F42=30,Input!$O$19*F20,IF(Input!$F42=60,(Input!$O$19+Input!$N$19*F20),IF(Input!$F42=90,(Input!$O$19+Input!$N$19+Input!$M$19)*F20,IF(Input!$F42=120,(Input!$O$19+Input!$N$19+Input!$M$19+Input!$L$19)*F20,IF(Input!$F42=150,(Input!$O$19+Input!$N$19+Input!$M$19+Input!$L$19+Input!$K$19)*F20,(Input!$O$19+Input!$N$19+Input!$M$19+Input!$L$19+Input!$K$19+Input!$J$19)*F20)))))))</f>
        <v>0</v>
      </c>
      <c r="P20" s="29">
        <f>(IF(Input!$F42=0,0,IF(Input!$F42=30,Input!$O$19*G20,IF(Input!$F42=60,(Input!$O$19+Input!$N$19*G20),IF(Input!$F42=90,(Input!$O$19+Input!$N$19+Input!$M$19)*G20,IF(Input!$F42=120,(Input!$O$19+Input!$N$19+Input!$M$19+Input!$L$19)*G20,IF(Input!$F42=150,(Input!$O$19+Input!$N$19+Input!$M$19+Input!$L$19+Input!$K$19)*G20,(Input!$O$19+Input!$N$19+Input!$M$19+Input!$L$19+Input!$K$19+Input!$J$19)*G20)))))))</f>
        <v>0</v>
      </c>
      <c r="Q20" s="29">
        <f>(IF(Input!$F42=0,0,IF(Input!$F42=30,Input!$O$19*H20,IF(Input!$F42=60,(Input!$O$19+Input!$N$19*H20),IF(Input!$F42=90,(Input!$O$19+Input!$N$19+Input!$M$19)*H20,IF(Input!$F42=120,(Input!$O$19+Input!$N$19+Input!$M$19+Input!$L$19)*H20,IF(Input!$F42=150,(Input!$O$19+Input!$N$19+Input!$M$19+Input!$L$19+Input!$K$19)*H20,(Input!$O$19+Input!$N$19+Input!$M$19+Input!$L$19+Input!$K$19+Input!$J$19)*H20)))))))</f>
        <v>0</v>
      </c>
      <c r="R20" s="32"/>
      <c r="T20" s="31"/>
      <c r="U20" s="17" t="str">
        <f t="shared" si="1"/>
        <v>Mp xSemifreddo</v>
      </c>
      <c r="V20" s="29">
        <f t="shared" si="3"/>
        <v>7894.736842105263</v>
      </c>
      <c r="W20" s="29">
        <f t="shared" si="4"/>
        <v>11960.526315789477</v>
      </c>
      <c r="X20" s="29">
        <f t="shared" si="2"/>
        <v>15704.171052631582</v>
      </c>
      <c r="Y20" s="29">
        <f t="shared" si="2"/>
        <v>16654.273401315793</v>
      </c>
      <c r="Z20" s="29">
        <f t="shared" si="2"/>
        <v>17661.856942095397</v>
      </c>
      <c r="AA20" s="32"/>
    </row>
    <row r="21" spans="2:27" ht="15">
      <c r="B21" s="16"/>
      <c r="C21" s="17" t="str">
        <f>+Input!C43</f>
        <v>Mp xTorte</v>
      </c>
      <c r="D21" s="33">
        <f>+D7/(1+(Input!$E30))</f>
        <v>39473.68421052632</v>
      </c>
      <c r="E21" s="33">
        <f>+E7/(1+(Input!$E30))</f>
        <v>59802.631578947374</v>
      </c>
      <c r="F21" s="33">
        <f>+F7/(1+(Input!$E30))</f>
        <v>78520.8552631579</v>
      </c>
      <c r="G21" s="33">
        <f>+G7/(1+(Input!$E30))</f>
        <v>83271.36700657895</v>
      </c>
      <c r="H21" s="33">
        <f>+H7/(1+(Input!$E30))</f>
        <v>88309.28471047698</v>
      </c>
      <c r="I21" s="15"/>
      <c r="K21" s="31"/>
      <c r="L21" s="17" t="str">
        <f t="shared" si="0"/>
        <v>Mp xTorte</v>
      </c>
      <c r="M21" s="29">
        <f>(IF(Input!$F43=0,0,IF(Input!$F43=30,Input!$O$19*D21,IF(Input!$F43=60,(Input!$O$19+Input!$N$19*D21),IF(Input!$F43=90,(Input!$O$19+Input!$N$19+Input!$M$19)*D21,IF(Input!$F43=120,(Input!$O$19+Input!$N$19+Input!$M$19+Input!$L$19)*D21,IF(Input!$F43=150,(Input!$O$19+Input!$N$19+Input!$M$19+Input!$L$19+Input!$K$19)*D21,(Input!$O$19+Input!$N$19+Input!$M$19+Input!$L$19+Input!$K$19+Input!$J$19)*D21)))))))</f>
        <v>0</v>
      </c>
      <c r="N21" s="29">
        <f>(IF(Input!$F43=0,0,IF(Input!$F43=30,Input!$O$19*E21,IF(Input!$F43=60,(Input!$O$19+Input!$N$19*E21),IF(Input!$F43=90,(Input!$O$19+Input!$N$19+Input!$M$19)*E21,IF(Input!$F43=120,(Input!$O$19+Input!$N$19+Input!$M$19+Input!$L$19)*E21,IF(Input!$F43=150,(Input!$O$19+Input!$N$19+Input!$M$19+Input!$L$19+Input!$K$19)*E21,(Input!$O$19+Input!$N$19+Input!$M$19+Input!$L$19+Input!$K$19+Input!$J$19)*E21)))))))</f>
        <v>0</v>
      </c>
      <c r="O21" s="29">
        <f>(IF(Input!$F43=0,0,IF(Input!$F43=30,Input!$O$19*F21,IF(Input!$F43=60,(Input!$O$19+Input!$N$19*F21),IF(Input!$F43=90,(Input!$O$19+Input!$N$19+Input!$M$19)*F21,IF(Input!$F43=120,(Input!$O$19+Input!$N$19+Input!$M$19+Input!$L$19)*F21,IF(Input!$F43=150,(Input!$O$19+Input!$N$19+Input!$M$19+Input!$L$19+Input!$K$19)*F21,(Input!$O$19+Input!$N$19+Input!$M$19+Input!$L$19+Input!$K$19+Input!$J$19)*F21)))))))</f>
        <v>0</v>
      </c>
      <c r="P21" s="29">
        <f>(IF(Input!$F43=0,0,IF(Input!$F43=30,Input!$O$19*G21,IF(Input!$F43=60,(Input!$O$19+Input!$N$19*G21),IF(Input!$F43=90,(Input!$O$19+Input!$N$19+Input!$M$19)*G21,IF(Input!$F43=120,(Input!$O$19+Input!$N$19+Input!$M$19+Input!$L$19)*G21,IF(Input!$F43=150,(Input!$O$19+Input!$N$19+Input!$M$19+Input!$L$19+Input!$K$19)*G21,(Input!$O$19+Input!$N$19+Input!$M$19+Input!$L$19+Input!$K$19+Input!$J$19)*G21)))))))</f>
        <v>0</v>
      </c>
      <c r="Q21" s="29">
        <f>(IF(Input!$F43=0,0,IF(Input!$F43=30,Input!$O$19*H21,IF(Input!$F43=60,(Input!$O$19+Input!$N$19*H21),IF(Input!$F43=90,(Input!$O$19+Input!$N$19+Input!$M$19)*H21,IF(Input!$F43=120,(Input!$O$19+Input!$N$19+Input!$M$19+Input!$L$19)*H21,IF(Input!$F43=150,(Input!$O$19+Input!$N$19+Input!$M$19+Input!$L$19+Input!$K$19)*H21,(Input!$O$19+Input!$N$19+Input!$M$19+Input!$L$19+Input!$K$19+Input!$J$19)*H21)))))))</f>
        <v>0</v>
      </c>
      <c r="R21" s="32"/>
      <c r="T21" s="31"/>
      <c r="U21" s="17" t="str">
        <f t="shared" si="1"/>
        <v>Mp xTorte</v>
      </c>
      <c r="V21" s="29">
        <f t="shared" si="3"/>
        <v>39473.68421052632</v>
      </c>
      <c r="W21" s="29">
        <f t="shared" si="4"/>
        <v>59802.631578947374</v>
      </c>
      <c r="X21" s="29">
        <f t="shared" si="2"/>
        <v>78520.8552631579</v>
      </c>
      <c r="Y21" s="29">
        <f t="shared" si="2"/>
        <v>83271.36700657895</v>
      </c>
      <c r="Z21" s="29">
        <f t="shared" si="2"/>
        <v>88309.28471047698</v>
      </c>
      <c r="AA21" s="32"/>
    </row>
    <row r="22" spans="2:27" ht="15">
      <c r="B22" s="16"/>
      <c r="C22" s="17" t="str">
        <f>+Input!C44</f>
        <v>Mp xBibite</v>
      </c>
      <c r="D22" s="33">
        <f>+D8/(1+(Input!$E31))</f>
        <v>0</v>
      </c>
      <c r="E22" s="33">
        <f>+E8/(1+(Input!$E31))</f>
        <v>0</v>
      </c>
      <c r="F22" s="33">
        <f>+F8/(1+(Input!$E31))</f>
        <v>0</v>
      </c>
      <c r="G22" s="33">
        <f>+G8/(1+(Input!$E31))</f>
        <v>0</v>
      </c>
      <c r="H22" s="33">
        <f>+H8/(1+(Input!$E31))</f>
        <v>0</v>
      </c>
      <c r="I22" s="15"/>
      <c r="K22" s="31"/>
      <c r="L22" s="17" t="str">
        <f t="shared" si="0"/>
        <v>Mp xBibite</v>
      </c>
      <c r="M22" s="29">
        <f>(IF(Input!$F44=0,0,IF(Input!$F44=30,Input!$O$19*D22,IF(Input!$F44=60,(Input!$O$19+Input!$N$19*D22),IF(Input!$F44=90,(Input!$O$19+Input!$N$19+Input!$M$19)*D22,IF(Input!$F44=120,(Input!$O$19+Input!$N$19+Input!$M$19+Input!$L$19)*D22,IF(Input!$F44=150,(Input!$O$19+Input!$N$19+Input!$M$19+Input!$L$19+Input!$K$19)*D22,(Input!$O$19+Input!$N$19+Input!$M$19+Input!$L$19+Input!$K$19+Input!$J$19)*D22)))))))</f>
        <v>0</v>
      </c>
      <c r="N22" s="29">
        <f>(IF(Input!$F44=0,0,IF(Input!$F44=30,Input!$O$19*E22,IF(Input!$F44=60,(Input!$O$19+Input!$N$19*E22),IF(Input!$F44=90,(Input!$O$19+Input!$N$19+Input!$M$19)*E22,IF(Input!$F44=120,(Input!$O$19+Input!$N$19+Input!$M$19+Input!$L$19)*E22,IF(Input!$F44=150,(Input!$O$19+Input!$N$19+Input!$M$19+Input!$L$19+Input!$K$19)*E22,(Input!$O$19+Input!$N$19+Input!$M$19+Input!$L$19+Input!$K$19+Input!$J$19)*E22)))))))</f>
        <v>0</v>
      </c>
      <c r="O22" s="29">
        <f>(IF(Input!$F44=0,0,IF(Input!$F44=30,Input!$O$19*F22,IF(Input!$F44=60,(Input!$O$19+Input!$N$19*F22),IF(Input!$F44=90,(Input!$O$19+Input!$N$19+Input!$M$19)*F22,IF(Input!$F44=120,(Input!$O$19+Input!$N$19+Input!$M$19+Input!$L$19)*F22,IF(Input!$F44=150,(Input!$O$19+Input!$N$19+Input!$M$19+Input!$L$19+Input!$K$19)*F22,(Input!$O$19+Input!$N$19+Input!$M$19+Input!$L$19+Input!$K$19+Input!$J$19)*F22)))))))</f>
        <v>0</v>
      </c>
      <c r="P22" s="29">
        <f>(IF(Input!$F44=0,0,IF(Input!$F44=30,Input!$O$19*G22,IF(Input!$F44=60,(Input!$O$19+Input!$N$19*G22),IF(Input!$F44=90,(Input!$O$19+Input!$N$19+Input!$M$19)*G22,IF(Input!$F44=120,(Input!$O$19+Input!$N$19+Input!$M$19+Input!$L$19)*G22,IF(Input!$F44=150,(Input!$O$19+Input!$N$19+Input!$M$19+Input!$L$19+Input!$K$19)*G22,(Input!$O$19+Input!$N$19+Input!$M$19+Input!$L$19+Input!$K$19+Input!$J$19)*G22)))))))</f>
        <v>0</v>
      </c>
      <c r="Q22" s="29">
        <f>(IF(Input!$F44=0,0,IF(Input!$F44=30,Input!$O$19*H22,IF(Input!$F44=60,(Input!$O$19+Input!$N$19*H22),IF(Input!$F44=90,(Input!$O$19+Input!$N$19+Input!$M$19)*H22,IF(Input!$F44=120,(Input!$O$19+Input!$N$19+Input!$M$19+Input!$L$19)*H22,IF(Input!$F44=150,(Input!$O$19+Input!$N$19+Input!$M$19+Input!$L$19+Input!$K$19)*H22,(Input!$O$19+Input!$N$19+Input!$M$19+Input!$L$19+Input!$K$19+Input!$J$19)*H22)))))))</f>
        <v>0</v>
      </c>
      <c r="R22" s="32"/>
      <c r="T22" s="31"/>
      <c r="U22" s="17" t="str">
        <f t="shared" si="1"/>
        <v>Mp xBibite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+Input!C45</f>
        <v>Mp xVarie</v>
      </c>
      <c r="D23" s="33">
        <f>+D9/(1+(Input!$E32))</f>
        <v>0</v>
      </c>
      <c r="E23" s="33">
        <f>+E9/(1+(Input!$E32))</f>
        <v>0</v>
      </c>
      <c r="F23" s="33">
        <f>+F9/(1+(Input!$E32))</f>
        <v>0</v>
      </c>
      <c r="G23" s="33">
        <f>+G9/(1+(Input!$E32))</f>
        <v>0</v>
      </c>
      <c r="H23" s="33">
        <f>+H9/(1+(Input!$E32))</f>
        <v>0</v>
      </c>
      <c r="I23" s="15"/>
      <c r="K23" s="31"/>
      <c r="L23" s="17" t="str">
        <f t="shared" si="0"/>
        <v>Mp xVarie</v>
      </c>
      <c r="M23" s="29">
        <f>(IF(Input!$F45=0,0,IF(Input!$F45=30,Input!$O$19*D23,IF(Input!$F45=60,(Input!$O$19+Input!$N$19*D23),IF(Input!$F45=90,(Input!$O$19+Input!$N$19+Input!$M$19)*D23,IF(Input!$F45=120,(Input!$O$19+Input!$N$19+Input!$M$19+Input!$L$19)*D23,IF(Input!$F45=150,(Input!$O$19+Input!$N$19+Input!$M$19+Input!$L$19+Input!$K$19)*D23,(Input!$O$19+Input!$N$19+Input!$M$19+Input!$L$19+Input!$K$19+Input!$J$19)*D23)))))))</f>
        <v>0</v>
      </c>
      <c r="N23" s="29">
        <f>(IF(Input!$F45=0,0,IF(Input!$F45=30,Input!$O$19*E23,IF(Input!$F45=60,(Input!$O$19+Input!$N$19*E23),IF(Input!$F45=90,(Input!$O$19+Input!$N$19+Input!$M$19)*E23,IF(Input!$F45=120,(Input!$O$19+Input!$N$19+Input!$M$19+Input!$L$19)*E23,IF(Input!$F45=150,(Input!$O$19+Input!$N$19+Input!$M$19+Input!$L$19+Input!$K$19)*E23,(Input!$O$19+Input!$N$19+Input!$M$19+Input!$L$19+Input!$K$19+Input!$J$19)*E23)))))))</f>
        <v>0</v>
      </c>
      <c r="O23" s="29">
        <f>(IF(Input!$F45=0,0,IF(Input!$F45=30,Input!$O$19*F23,IF(Input!$F45=60,(Input!$O$19+Input!$N$19*F23),IF(Input!$F45=90,(Input!$O$19+Input!$N$19+Input!$M$19)*F23,IF(Input!$F45=120,(Input!$O$19+Input!$N$19+Input!$M$19+Input!$L$19)*F23,IF(Input!$F45=150,(Input!$O$19+Input!$N$19+Input!$M$19+Input!$L$19+Input!$K$19)*F23,(Input!$O$19+Input!$N$19+Input!$M$19+Input!$L$19+Input!$K$19+Input!$J$19)*F23)))))))</f>
        <v>0</v>
      </c>
      <c r="P23" s="29">
        <f>(IF(Input!$F45=0,0,IF(Input!$F45=30,Input!$O$19*G23,IF(Input!$F45=60,(Input!$O$19+Input!$N$19*G23),IF(Input!$F45=90,(Input!$O$19+Input!$N$19+Input!$M$19)*G23,IF(Input!$F45=120,(Input!$O$19+Input!$N$19+Input!$M$19+Input!$L$19)*G23,IF(Input!$F45=150,(Input!$O$19+Input!$N$19+Input!$M$19+Input!$L$19+Input!$K$19)*G23,(Input!$O$19+Input!$N$19+Input!$M$19+Input!$L$19+Input!$K$19+Input!$J$19)*G23)))))))</f>
        <v>0</v>
      </c>
      <c r="Q23" s="29">
        <f>(IF(Input!$F45=0,0,IF(Input!$F45=30,Input!$O$19*H23,IF(Input!$F45=60,(Input!$O$19+Input!$N$19*H23),IF(Input!$F45=90,(Input!$O$19+Input!$N$19+Input!$M$19)*H23,IF(Input!$F45=120,(Input!$O$19+Input!$N$19+Input!$M$19+Input!$L$19)*H23,IF(Input!$F45=150,(Input!$O$19+Input!$N$19+Input!$M$19+Input!$L$19+Input!$K$19)*H23,(Input!$O$19+Input!$N$19+Input!$M$19+Input!$L$19+Input!$K$19+Input!$J$19)*H23)))))))</f>
        <v>0</v>
      </c>
      <c r="R23" s="32"/>
      <c r="T23" s="31"/>
      <c r="U23" s="17" t="str">
        <f t="shared" si="1"/>
        <v>Mp xVarie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+Input!C46</f>
        <v>Mp xBibite</v>
      </c>
      <c r="D24" s="33">
        <f>+D10/(1+(Input!$E33))</f>
        <v>0</v>
      </c>
      <c r="E24" s="33">
        <f>+E10/(1+(Input!$E33))</f>
        <v>0</v>
      </c>
      <c r="F24" s="33">
        <f>+F10/(1+(Input!$E33))</f>
        <v>0</v>
      </c>
      <c r="G24" s="33">
        <f>+G10/(1+(Input!$E33))</f>
        <v>0</v>
      </c>
      <c r="H24" s="33">
        <f>+H10/(1+(Input!$E33))</f>
        <v>0</v>
      </c>
      <c r="I24" s="15"/>
      <c r="K24" s="31"/>
      <c r="L24" s="17" t="str">
        <f t="shared" si="0"/>
        <v>Mp xBibite</v>
      </c>
      <c r="M24" s="29">
        <f>(IF(Input!$F46=0,0,IF(Input!$F46=30,Input!$O$19*D24,IF(Input!$F46=60,(Input!$O$19+Input!$N$19*D24),IF(Input!$F46=90,(Input!$O$19+Input!$N$19+Input!$M$19)*D24,IF(Input!$F46=120,(Input!$O$19+Input!$N$19+Input!$M$19+Input!$L$19)*D24,IF(Input!$F46=150,(Input!$O$19+Input!$N$19+Input!$M$19+Input!$L$19+Input!$K$19)*D24,(Input!$O$19+Input!$N$19+Input!$M$19+Input!$L$19+Input!$K$19+Input!$J$19)*D24)))))))</f>
        <v>0</v>
      </c>
      <c r="N24" s="29">
        <f>(IF(Input!$F46=0,0,IF(Input!$F46=30,Input!$O$19*E24,IF(Input!$F46=60,(Input!$O$19+Input!$N$19*E24),IF(Input!$F46=90,(Input!$O$19+Input!$N$19+Input!$M$19)*E24,IF(Input!$F46=120,(Input!$O$19+Input!$N$19+Input!$M$19+Input!$L$19)*E24,IF(Input!$F46=150,(Input!$O$19+Input!$N$19+Input!$M$19+Input!$L$19+Input!$K$19)*E24,(Input!$O$19+Input!$N$19+Input!$M$19+Input!$L$19+Input!$K$19+Input!$J$19)*E24)))))))</f>
        <v>0</v>
      </c>
      <c r="O24" s="29">
        <f>(IF(Input!$F46=0,0,IF(Input!$F46=30,Input!$O$19*F24,IF(Input!$F46=60,(Input!$O$19+Input!$N$19*F24),IF(Input!$F46=90,(Input!$O$19+Input!$N$19+Input!$M$19)*F24,IF(Input!$F46=120,(Input!$O$19+Input!$N$19+Input!$M$19+Input!$L$19)*F24,IF(Input!$F46=150,(Input!$O$19+Input!$N$19+Input!$M$19+Input!$L$19+Input!$K$19)*F24,(Input!$O$19+Input!$N$19+Input!$M$19+Input!$L$19+Input!$K$19+Input!$J$19)*F24)))))))</f>
        <v>0</v>
      </c>
      <c r="P24" s="29">
        <f>(IF(Input!$F46=0,0,IF(Input!$F46=30,Input!$O$19*G24,IF(Input!$F46=60,(Input!$O$19+Input!$N$19*G24),IF(Input!$F46=90,(Input!$O$19+Input!$N$19+Input!$M$19)*G24,IF(Input!$F46=120,(Input!$O$19+Input!$N$19+Input!$M$19+Input!$L$19)*G24,IF(Input!$F46=150,(Input!$O$19+Input!$N$19+Input!$M$19+Input!$L$19+Input!$K$19)*G24,(Input!$O$19+Input!$N$19+Input!$M$19+Input!$L$19+Input!$K$19+Input!$J$19)*G24)))))))</f>
        <v>0</v>
      </c>
      <c r="Q24" s="29">
        <f>(IF(Input!$F46=0,0,IF(Input!$F46=30,Input!$O$19*H24,IF(Input!$F46=60,(Input!$O$19+Input!$N$19*H24),IF(Input!$F46=90,(Input!$O$19+Input!$N$19+Input!$M$19)*H24,IF(Input!$F46=120,(Input!$O$19+Input!$N$19+Input!$M$19+Input!$L$19)*H24,IF(Input!$F46=150,(Input!$O$19+Input!$N$19+Input!$M$19+Input!$L$19+Input!$K$19)*H24,(Input!$O$19+Input!$N$19+Input!$M$19+Input!$L$19+Input!$K$19+Input!$J$19)*H24)))))))</f>
        <v>0</v>
      </c>
      <c r="R24" s="32"/>
      <c r="T24" s="31"/>
      <c r="U24" s="17" t="str">
        <f t="shared" si="1"/>
        <v>Mp xBibite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+Input!C47</f>
        <v>Mp xProdotto 8</v>
      </c>
      <c r="D25" s="33">
        <f>+D11/(1+(Input!$E34))</f>
        <v>0</v>
      </c>
      <c r="E25" s="33">
        <f>+E11/(1+(Input!$E34))</f>
        <v>0</v>
      </c>
      <c r="F25" s="33">
        <f>+F11/(1+(Input!$E34))</f>
        <v>0</v>
      </c>
      <c r="G25" s="33">
        <f>+G11/(1+(Input!$E34))</f>
        <v>0</v>
      </c>
      <c r="H25" s="33">
        <f>+H11/(1+(Input!$E34))</f>
        <v>0</v>
      </c>
      <c r="I25" s="15"/>
      <c r="K25" s="16"/>
      <c r="L25" s="17" t="str">
        <f t="shared" si="0"/>
        <v>Mp xProdotto 8</v>
      </c>
      <c r="M25" s="29">
        <f>(IF(Input!$F47=0,0,IF(Input!$F47=30,Input!$O$19*D25,IF(Input!$F47=60,(Input!$O$19+Input!$N$19*D25),IF(Input!$F47=90,(Input!$O$19+Input!$N$19+Input!$M$19)*D25,IF(Input!$F47=120,(Input!$O$19+Input!$N$19+Input!$M$19+Input!$L$19)*D25,IF(Input!$F47=150,(Input!$O$19+Input!$N$19+Input!$M$19+Input!$L$19+Input!$K$19)*D25,(Input!$O$19+Input!$N$19+Input!$M$19+Input!$L$19+Input!$K$19+Input!$J$19)*D25)))))))</f>
        <v>0</v>
      </c>
      <c r="N25" s="29">
        <f>(IF(Input!$F47=0,0,IF(Input!$F47=30,Input!$O$19*E25,IF(Input!$F47=60,(Input!$O$19+Input!$N$19*E25),IF(Input!$F47=90,(Input!$O$19+Input!$N$19+Input!$M$19)*E25,IF(Input!$F47=120,(Input!$O$19+Input!$N$19+Input!$M$19+Input!$L$19)*E25,IF(Input!$F47=150,(Input!$O$19+Input!$N$19+Input!$M$19+Input!$L$19+Input!$K$19)*E25,(Input!$O$19+Input!$N$19+Input!$M$19+Input!$L$19+Input!$K$19+Input!$J$19)*E25)))))))</f>
        <v>0</v>
      </c>
      <c r="O25" s="29">
        <f>(IF(Input!$F47=0,0,IF(Input!$F47=30,Input!$O$19*F25,IF(Input!$F47=60,(Input!$O$19+Input!$N$19*F25),IF(Input!$F47=90,(Input!$O$19+Input!$N$19+Input!$M$19)*F25,IF(Input!$F47=120,(Input!$O$19+Input!$N$19+Input!$M$19+Input!$L$19)*F25,IF(Input!$F47=150,(Input!$O$19+Input!$N$19+Input!$M$19+Input!$L$19+Input!$K$19)*F25,(Input!$O$19+Input!$N$19+Input!$M$19+Input!$L$19+Input!$K$19+Input!$J$19)*F25)))))))</f>
        <v>0</v>
      </c>
      <c r="P25" s="29">
        <f>(IF(Input!$F47=0,0,IF(Input!$F47=30,Input!$O$19*G25,IF(Input!$F47=60,(Input!$O$19+Input!$N$19*G25),IF(Input!$F47=90,(Input!$O$19+Input!$N$19+Input!$M$19)*G25,IF(Input!$F47=120,(Input!$O$19+Input!$N$19+Input!$M$19+Input!$L$19)*G25,IF(Input!$F47=150,(Input!$O$19+Input!$N$19+Input!$M$19+Input!$L$19+Input!$K$19)*G25,(Input!$O$19+Input!$N$19+Input!$M$19+Input!$L$19+Input!$K$19+Input!$J$19)*G25)))))))</f>
        <v>0</v>
      </c>
      <c r="Q25" s="29">
        <f>(IF(Input!$F47=0,0,IF(Input!$F47=30,Input!$O$19*H25,IF(Input!$F47=60,(Input!$O$19+Input!$N$19*H25),IF(Input!$F47=90,(Input!$O$19+Input!$N$19+Input!$M$19)*H25,IF(Input!$F47=120,(Input!$O$19+Input!$N$19+Input!$M$19+Input!$L$19)*H25,IF(Input!$F47=150,(Input!$O$19+Input!$N$19+Input!$M$19+Input!$L$19+Input!$K$19)*H25,(Input!$O$19+Input!$N$19+Input!$M$19+Input!$L$19+Input!$K$19+Input!$J$19)*H25)))))))</f>
        <v>0</v>
      </c>
      <c r="R25" s="32"/>
      <c r="T25" s="16"/>
      <c r="U25" s="17" t="str">
        <f t="shared" si="1"/>
        <v>Mp xProdotto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+Input!C48</f>
        <v>Mp xProdotto 9</v>
      </c>
      <c r="D26" s="33">
        <f>+D12/(1+(Input!$E35))</f>
        <v>0</v>
      </c>
      <c r="E26" s="33">
        <f>+E12/(1+(Input!$E35))</f>
        <v>0</v>
      </c>
      <c r="F26" s="33">
        <f>+F12/(1+(Input!$E35))</f>
        <v>0</v>
      </c>
      <c r="G26" s="33">
        <f>+G12/(1+(Input!$E35))</f>
        <v>0</v>
      </c>
      <c r="H26" s="33">
        <f>+H12/(1+(Input!$E35))</f>
        <v>0</v>
      </c>
      <c r="I26" s="15"/>
      <c r="K26" s="16"/>
      <c r="L26" s="17" t="str">
        <f t="shared" si="0"/>
        <v>Mp xProdotto 9</v>
      </c>
      <c r="M26" s="29">
        <f>(IF(Input!$F48=0,0,IF(Input!$F48=30,Input!$O$19*D26,IF(Input!$F48=60,(Input!$O$19+Input!$N$19*D26),IF(Input!$F48=90,(Input!$O$19+Input!$N$19+Input!$M$19)*D26,IF(Input!$F48=120,(Input!$O$19+Input!$N$19+Input!$M$19+Input!$L$19)*D26,IF(Input!$F48=150,(Input!$O$19+Input!$N$19+Input!$M$19+Input!$L$19+Input!$K$19)*D26,(Input!$O$19+Input!$N$19+Input!$M$19+Input!$L$19+Input!$K$19+Input!$J$19)*D26)))))))</f>
        <v>0</v>
      </c>
      <c r="N26" s="29">
        <f>(IF(Input!$F48=0,0,IF(Input!$F48=30,Input!$O$19*E26,IF(Input!$F48=60,(Input!$O$19+Input!$N$19*E26),IF(Input!$F48=90,(Input!$O$19+Input!$N$19+Input!$M$19)*E26,IF(Input!$F48=120,(Input!$O$19+Input!$N$19+Input!$M$19+Input!$L$19)*E26,IF(Input!$F48=150,(Input!$O$19+Input!$N$19+Input!$M$19+Input!$L$19+Input!$K$19)*E26,(Input!$O$19+Input!$N$19+Input!$M$19+Input!$L$19+Input!$K$19+Input!$J$19)*E26)))))))</f>
        <v>0</v>
      </c>
      <c r="O26" s="29">
        <f>(IF(Input!$F48=0,0,IF(Input!$F48=30,Input!$O$19*F26,IF(Input!$F48=60,(Input!$O$19+Input!$N$19*F26),IF(Input!$F48=90,(Input!$O$19+Input!$N$19+Input!$M$19)*F26,IF(Input!$F48=120,(Input!$O$19+Input!$N$19+Input!$M$19+Input!$L$19)*F26,IF(Input!$F48=150,(Input!$O$19+Input!$N$19+Input!$M$19+Input!$L$19+Input!$K$19)*F26,(Input!$O$19+Input!$N$19+Input!$M$19+Input!$L$19+Input!$K$19+Input!$J$19)*F26)))))))</f>
        <v>0</v>
      </c>
      <c r="P26" s="29">
        <f>(IF(Input!$F48=0,0,IF(Input!$F48=30,Input!$O$19*G26,IF(Input!$F48=60,(Input!$O$19+Input!$N$19*G26),IF(Input!$F48=90,(Input!$O$19+Input!$N$19+Input!$M$19)*G26,IF(Input!$F48=120,(Input!$O$19+Input!$N$19+Input!$M$19+Input!$L$19)*G26,IF(Input!$F48=150,(Input!$O$19+Input!$N$19+Input!$M$19+Input!$L$19+Input!$K$19)*G26,(Input!$O$19+Input!$N$19+Input!$M$19+Input!$L$19+Input!$K$19+Input!$J$19)*G26)))))))</f>
        <v>0</v>
      </c>
      <c r="Q26" s="29">
        <f>(IF(Input!$F48=0,0,IF(Input!$F48=30,Input!$O$19*H26,IF(Input!$F48=60,(Input!$O$19+Input!$N$19*H26),IF(Input!$F48=90,(Input!$O$19+Input!$N$19+Input!$M$19)*H26,IF(Input!$F48=120,(Input!$O$19+Input!$N$19+Input!$M$19+Input!$L$19)*H26,IF(Input!$F48=150,(Input!$O$19+Input!$N$19+Input!$M$19+Input!$L$19+Input!$K$19)*H26,(Input!$O$19+Input!$N$19+Input!$M$19+Input!$L$19+Input!$K$19+Input!$J$19)*H26)))))))</f>
        <v>0</v>
      </c>
      <c r="R26" s="32"/>
      <c r="T26" s="16"/>
      <c r="U26" s="17" t="str">
        <f t="shared" si="1"/>
        <v>Mp xProdotto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20</v>
      </c>
      <c r="D27" s="34">
        <f>SUM(D18:D26)</f>
        <v>81578.94736842105</v>
      </c>
      <c r="E27" s="34">
        <f>SUM(E18:E26)</f>
        <v>123592.10526315791</v>
      </c>
      <c r="F27" s="34">
        <f>SUM(F18:F26)</f>
        <v>162276.43421052635</v>
      </c>
      <c r="G27" s="34">
        <f>SUM(G18:G26)</f>
        <v>172094.15848026317</v>
      </c>
      <c r="H27" s="34">
        <f>SUM(H18:H26)</f>
        <v>182505.8550683191</v>
      </c>
      <c r="I27" s="15"/>
      <c r="K27" s="16"/>
      <c r="L27" s="12" t="s">
        <v>20</v>
      </c>
      <c r="M27" s="34">
        <f>SUM(M18:M26)</f>
        <v>0</v>
      </c>
      <c r="N27" s="34">
        <f>SUM(N18:N26)</f>
        <v>0</v>
      </c>
      <c r="O27" s="34">
        <f>SUM(O18:O26)</f>
        <v>0</v>
      </c>
      <c r="P27" s="34">
        <f>SUM(P18:P26)</f>
        <v>0</v>
      </c>
      <c r="Q27" s="34">
        <f>SUM(Q18:Q26)</f>
        <v>0</v>
      </c>
      <c r="R27" s="32"/>
      <c r="T27" s="16"/>
      <c r="U27" s="12" t="s">
        <v>20</v>
      </c>
      <c r="V27" s="34">
        <f>SUM(V18:V26)</f>
        <v>81578.94736842105</v>
      </c>
      <c r="W27" s="34">
        <f>SUM(W18:W26)</f>
        <v>123592.10526315791</v>
      </c>
      <c r="X27" s="34">
        <f>SUM(X18:X26)</f>
        <v>162276.43421052635</v>
      </c>
      <c r="Y27" s="34">
        <f>SUM(Y18:Y26)</f>
        <v>172094.15848026317</v>
      </c>
      <c r="Z27" s="34">
        <f>SUM(Z18:Z26)</f>
        <v>182505.8550683191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spans="4:5" ht="15.75" thickBot="1">
      <c r="D29" s="25">
        <f>+D4+M32</f>
        <v>60500</v>
      </c>
      <c r="E29">
        <f>+D29/12</f>
        <v>5041.666666666667</v>
      </c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23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24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409</v>
      </c>
      <c r="V31" s="13" t="str">
        <f>+M31</f>
        <v>Anno 1</v>
      </c>
      <c r="W31" s="13" t="str">
        <f>+N31</f>
        <v>Anno 2</v>
      </c>
      <c r="X31" s="13" t="str">
        <f>+O31</f>
        <v>Anno 3</v>
      </c>
      <c r="Y31" s="13" t="str">
        <f>+P31</f>
        <v>Anno 4</v>
      </c>
      <c r="Z31" s="13" t="str">
        <f>+Q31</f>
        <v>Anno 5</v>
      </c>
      <c r="AA31" s="36"/>
    </row>
    <row r="32" spans="2:27" ht="15">
      <c r="B32" s="16"/>
      <c r="C32" s="17" t="str">
        <f>+C18</f>
        <v>Mp xGelato (cono/coppetta)</v>
      </c>
      <c r="D32" s="33">
        <f>+IF(Input!$G27=0,0,IF(Input!$G27=30,((D4+V32))*Input!$O$19,IF(Input!$G27=60,((D4+V32))*(Input!$O$19+Input!$N$19),IF(Input!$G27=90,((D4+V32))*(Input!$O$19+Input!$N$19+Input!$M$19),IF(Input!$G27=120,((D4+V32))*(Input!$O$19+Input!$N$19+Input!$M$19+Input!$L$19),IF(Input!$G27=150,((D4+V32))*(Input!$O$19+Input!$N$19+Input!$M$19+Input!$L$19+Input!$K$19),((D4+V32)/(Input!$O$19+Input!$N$19+Input!$M$19+Input!$L$19+Input!$K$19+Input!$J$19))))))))</f>
        <v>0</v>
      </c>
      <c r="E32" s="33">
        <f>+IF(Input!$G27=0,0,IF(Input!$G27=30,((E4+W32))*Input!$O$19,IF(Input!$G27=60,((E4+W32))*(Input!$O$19+Input!$N$19),IF(Input!$G27=90,((E4+W32))*(Input!$O$19+Input!$N$19+Input!$M$19),IF(Input!$G27=120,((E4+W32))*(Input!$O$19+Input!$N$19+Input!$M$19+Input!$L$19),IF(Input!$G27=150,((E4+W32))*(Input!$O$19+Input!$N$19+Input!$M$19+Input!$L$19+Input!$K$19),((E4+W32)/(Input!$O$19+Input!$N$19+Input!$M$19+Input!$L$19+Input!$K$19+Input!$J$19))))))))</f>
        <v>0</v>
      </c>
      <c r="F32" s="33">
        <f>+IF(Input!$G27=0,0,IF(Input!$G27=30,((F4+X32))*Input!$O$19,IF(Input!$G27=60,((F4+X32))*(Input!$O$19+Input!$N$19),IF(Input!$G27=90,((F4+X32))*(Input!$O$19+Input!$N$19+Input!$M$19),IF(Input!$G27=120,((F4+X32))*(Input!$O$19+Input!$N$19+Input!$M$19+Input!$L$19),IF(Input!$G27=150,((F4+X32))*(Input!$O$19+Input!$N$19+Input!$M$19+Input!$L$19+Input!$K$19),((F4+X32)/(Input!$O$19+Input!$N$19+Input!$M$19+Input!$L$19+Input!$K$19+Input!$J$19))))))))</f>
        <v>0</v>
      </c>
      <c r="G32" s="33">
        <f>+IF(Input!$G27=0,0,IF(Input!$G27=30,((G4+Y32))*Input!$O$19,IF(Input!$G27=60,((G4+Y32))*(Input!$O$19+Input!$N$19),IF(Input!$G27=90,((G4+Y32))*(Input!$O$19+Input!$N$19+Input!$M$19),IF(Input!$G27=120,((G4+Y32))*(Input!$O$19+Input!$N$19+Input!$M$19+Input!$L$19),IF(Input!$G27=150,((G4+Y32))*(Input!$O$19+Input!$N$19+Input!$M$19+Input!$L$19+Input!$K$19),((G4+Y32)/(Input!$O$19+Input!$N$19+Input!$M$19+Input!$L$19+Input!$K$19+Input!$J$19))))))))</f>
        <v>0</v>
      </c>
      <c r="H32" s="33">
        <f>+IF(Input!$G27=0,0,IF(Input!$G27=30,((H4+Z32))*Input!$O$19,IF(Input!$G27=60,((H4+Z32))*(Input!$O$19+Input!$N$19),IF(Input!$G27=90,((H4+Z32))*(Input!$O$19+Input!$N$19+Input!$M$19),IF(Input!$G27=120,((H4+Z32))*(Input!$O$19+Input!$N$19+Input!$M$19+Input!$L$19),IF(Input!$G27=150,((H4+Z32))*(Input!$O$19+Input!$N$19+Input!$M$19+Input!$L$19+Input!$K$19),((H4+Z32)/(Input!$O$19+Input!$N$19+Input!$M$19+Input!$L$19+Input!$K$19+Input!$J$19))))))))</f>
        <v>0</v>
      </c>
      <c r="I32" s="15"/>
      <c r="K32" s="16"/>
      <c r="L32" s="17" t="str">
        <f>+L18</f>
        <v>Mp xGelato (cono/coppetta)</v>
      </c>
      <c r="M32" s="33">
        <f>+Input!$F27*D4</f>
        <v>10500</v>
      </c>
      <c r="N32" s="33">
        <f>+Input!$F27*E4</f>
        <v>15907.5</v>
      </c>
      <c r="O32" s="33">
        <f>+Input!$F27*F4</f>
        <v>20886.5475</v>
      </c>
      <c r="P32" s="33">
        <f>+Input!$F27*G4</f>
        <v>22150.183623750003</v>
      </c>
      <c r="Q32" s="33">
        <f>+Input!$F27*H4</f>
        <v>23490.269732986875</v>
      </c>
      <c r="R32" s="15"/>
      <c r="T32" s="16"/>
      <c r="U32" t="str">
        <f>+L32</f>
        <v>Mp xGelato (cono/coppetta)</v>
      </c>
      <c r="V32" s="33">
        <f>+M32*Input!$O$19</f>
        <v>315</v>
      </c>
      <c r="W32" s="33">
        <f>+N32*Input!$O$19</f>
        <v>477.22499999999997</v>
      </c>
      <c r="X32" s="33">
        <f>+O32*Input!$O$19</f>
        <v>626.596425</v>
      </c>
      <c r="Y32" s="33">
        <f>+P32*Input!$O$19</f>
        <v>664.5055087125</v>
      </c>
      <c r="Z32" s="33">
        <f>+Q32*Input!$O$19</f>
        <v>704.7080919896063</v>
      </c>
      <c r="AA32" s="15"/>
    </row>
    <row r="33" spans="2:27" ht="15">
      <c r="B33" s="16"/>
      <c r="C33" s="17" t="str">
        <f aca="true" t="shared" si="5" ref="C33:C40">+C19</f>
        <v>Mp xFrullati</v>
      </c>
      <c r="D33" s="33">
        <f>+IF(Input!$G28=0,0,IF(Input!$G28=30,((D5+V33))*Input!$O$19,IF(Input!$G28=60,((D5+V33))*(Input!$O$19+Input!$N$19),IF(Input!$G28=90,((D5+V33))*(Input!$O$19+Input!$N$19+Input!$M$19),IF(Input!$G28=120,((D5+V33))*(Input!$O$19+Input!$N$19+Input!$M$19+Input!$L$19),IF(Input!$G28=150,((D5+V33))*(Input!$O$19+Input!$N$19+Input!$M$19+Input!$L$19+Input!$K$19),((D5+V33)/(Input!$O$19+Input!$N$19+Input!$M$19+Input!$L$19+Input!$K$19+Input!$J$19))))))))</f>
        <v>0</v>
      </c>
      <c r="E33" s="33">
        <f>+IF(Input!$G28=0,0,IF(Input!$G28=30,((E5+W33))*Input!$O$19,IF(Input!$G28=60,((E5+W33))*(Input!$O$19+Input!$N$19),IF(Input!$G28=90,((E5+W33))*(Input!$O$19+Input!$N$19+Input!$M$19),IF(Input!$G28=120,((E5+W33))*(Input!$O$19+Input!$N$19+Input!$M$19+Input!$L$19),IF(Input!$G28=150,((E5+W33))*(Input!$O$19+Input!$N$19+Input!$M$19+Input!$L$19+Input!$K$19),((E5+W33)/(Input!$O$19+Input!$N$19+Input!$M$19+Input!$L$19+Input!$K$19+Input!$J$19))))))))</f>
        <v>0</v>
      </c>
      <c r="F33" s="33">
        <f>+IF(Input!$G28=0,0,IF(Input!$G28=30,((F5+X33))*Input!$O$19,IF(Input!$G28=60,((F5+X33))*(Input!$O$19+Input!$N$19),IF(Input!$G28=90,((F5+X33))*(Input!$O$19+Input!$N$19+Input!$M$19),IF(Input!$G28=120,((F5+X33))*(Input!$O$19+Input!$N$19+Input!$M$19+Input!$L$19),IF(Input!$G28=150,((F5+X33))*(Input!$O$19+Input!$N$19+Input!$M$19+Input!$L$19+Input!$K$19),((F5+X33)/(Input!$O$19+Input!$N$19+Input!$M$19+Input!$L$19+Input!$K$19+Input!$J$19))))))))</f>
        <v>0</v>
      </c>
      <c r="G33" s="33">
        <f>+IF(Input!$G28=0,0,IF(Input!$G28=30,((G5+Y33))*Input!$O$19,IF(Input!$G28=60,((G5+Y33))*(Input!$O$19+Input!$N$19),IF(Input!$G28=90,((G5+Y33))*(Input!$O$19+Input!$N$19+Input!$M$19),IF(Input!$G28=120,((G5+Y33))*(Input!$O$19+Input!$N$19+Input!$M$19+Input!$L$19),IF(Input!$G28=150,((G5+Y33))*(Input!$O$19+Input!$N$19+Input!$M$19+Input!$L$19+Input!$K$19),((G5+Y33)/(Input!$O$19+Input!$N$19+Input!$M$19+Input!$L$19+Input!$K$19+Input!$J$19))))))))</f>
        <v>0</v>
      </c>
      <c r="H33" s="33">
        <f>+IF(Input!$G28=0,0,IF(Input!$G28=30,((H5+Z33))*Input!$O$19,IF(Input!$G28=60,((H5+Z33))*(Input!$O$19+Input!$N$19),IF(Input!$G28=90,((H5+Z33))*(Input!$O$19+Input!$N$19+Input!$M$19),IF(Input!$G28=120,((H5+Z33))*(Input!$O$19+Input!$N$19+Input!$M$19+Input!$L$19),IF(Input!$G28=150,((H5+Z33))*(Input!$O$19+Input!$N$19+Input!$M$19+Input!$L$19+Input!$K$19),((H5+Z33)/(Input!$O$19+Input!$N$19+Input!$M$19+Input!$L$19+Input!$K$19+Input!$J$19))))))))</f>
        <v>0</v>
      </c>
      <c r="I33" s="15"/>
      <c r="K33" s="16"/>
      <c r="L33" s="17" t="str">
        <f aca="true" t="shared" si="6" ref="L33:L40">+L19</f>
        <v>Mp xFrullati</v>
      </c>
      <c r="M33" s="33">
        <f>+Input!$F28*D5</f>
        <v>3150</v>
      </c>
      <c r="N33" s="33">
        <f>+Input!$F28*E5</f>
        <v>4772.250000000001</v>
      </c>
      <c r="O33" s="33">
        <f>+Input!$F28*F5</f>
        <v>6265.96425</v>
      </c>
      <c r="P33" s="33">
        <f>+Input!$F28*G5</f>
        <v>6645.055087125001</v>
      </c>
      <c r="Q33" s="33">
        <f>+Input!$F28*H5</f>
        <v>7047.080919896063</v>
      </c>
      <c r="R33" s="15"/>
      <c r="T33" s="16"/>
      <c r="U33" t="str">
        <f aca="true" t="shared" si="7" ref="U33:U40">+L33</f>
        <v>Mp xFrullati</v>
      </c>
      <c r="V33" s="33">
        <f>+M33*Input!$O$19</f>
        <v>94.5</v>
      </c>
      <c r="W33" s="33">
        <f>+N33*Input!$O$19</f>
        <v>143.16750000000002</v>
      </c>
      <c r="X33" s="33">
        <f>+O33*Input!$O$19</f>
        <v>187.9789275</v>
      </c>
      <c r="Y33" s="33">
        <f>+P33*Input!$O$19</f>
        <v>199.35165261375002</v>
      </c>
      <c r="Z33" s="33">
        <f>+Q33*Input!$O$19</f>
        <v>211.41242759688188</v>
      </c>
      <c r="AA33" s="15"/>
    </row>
    <row r="34" spans="2:27" ht="15">
      <c r="B34" s="16"/>
      <c r="C34" s="17" t="str">
        <f t="shared" si="5"/>
        <v>Mp xSemifreddo</v>
      </c>
      <c r="D34" s="33">
        <f>+IF(Input!$G29=0,0,IF(Input!$G29=30,((D6+V34))*Input!$O$19,IF(Input!$G29=60,((D6+V34))*(Input!$O$19+Input!$N$19),IF(Input!$G29=90,((D6+V34))*(Input!$O$19+Input!$N$19+Input!$M$19),IF(Input!$G29=120,((D6+V34))*(Input!$O$19+Input!$N$19+Input!$M$19+Input!$L$19),IF(Input!$G29=150,((D6+V34))*(Input!$O$19+Input!$N$19+Input!$M$19+Input!$L$19+Input!$K$19),((D6+V34)/(Input!$O$19+Input!$N$19+Input!$M$19+Input!$L$19+Input!$K$19+Input!$J$19))))))))</f>
        <v>0</v>
      </c>
      <c r="E34" s="33">
        <f>+IF(Input!$G29=0,0,IF(Input!$G29=30,((E6+W34))*Input!$O$19,IF(Input!$G29=60,((E6+W34))*(Input!$O$19+Input!$N$19),IF(Input!$G29=90,((E6+W34))*(Input!$O$19+Input!$N$19+Input!$M$19),IF(Input!$G29=120,((E6+W34))*(Input!$O$19+Input!$N$19+Input!$M$19+Input!$L$19),IF(Input!$G29=150,((E6+W34))*(Input!$O$19+Input!$N$19+Input!$M$19+Input!$L$19+Input!$K$19),((E6+W34)/(Input!$O$19+Input!$N$19+Input!$M$19+Input!$L$19+Input!$K$19+Input!$J$19))))))))</f>
        <v>0</v>
      </c>
      <c r="F34" s="33">
        <f>+IF(Input!$G29=0,0,IF(Input!$G29=30,((F6+X34))*Input!$O$19,IF(Input!$G29=60,((F6+X34))*(Input!$O$19+Input!$N$19),IF(Input!$G29=90,((F6+X34))*(Input!$O$19+Input!$N$19+Input!$M$19),IF(Input!$G29=120,((F6+X34))*(Input!$O$19+Input!$N$19+Input!$M$19+Input!$L$19),IF(Input!$G29=150,((F6+X34))*(Input!$O$19+Input!$N$19+Input!$M$19+Input!$L$19+Input!$K$19),((F6+X34)/(Input!$O$19+Input!$N$19+Input!$M$19+Input!$L$19+Input!$K$19+Input!$J$19))))))))</f>
        <v>0</v>
      </c>
      <c r="G34" s="33">
        <f>+IF(Input!$G29=0,0,IF(Input!$G29=30,((G6+Y34))*Input!$O$19,IF(Input!$G29=60,((G6+Y34))*(Input!$O$19+Input!$N$19),IF(Input!$G29=90,((G6+Y34))*(Input!$O$19+Input!$N$19+Input!$M$19),IF(Input!$G29=120,((G6+Y34))*(Input!$O$19+Input!$N$19+Input!$M$19+Input!$L$19),IF(Input!$G29=150,((G6+Y34))*(Input!$O$19+Input!$N$19+Input!$M$19+Input!$L$19+Input!$K$19),((G6+Y34)/(Input!$O$19+Input!$N$19+Input!$M$19+Input!$L$19+Input!$K$19+Input!$J$19))))))))</f>
        <v>0</v>
      </c>
      <c r="H34" s="33">
        <f>+IF(Input!$G29=0,0,IF(Input!$G29=30,((H6+Z34))*Input!$O$19,IF(Input!$G29=60,((H6+Z34))*(Input!$O$19+Input!$N$19),IF(Input!$G29=90,((H6+Z34))*(Input!$O$19+Input!$N$19+Input!$M$19),IF(Input!$G29=120,((H6+Z34))*(Input!$O$19+Input!$N$19+Input!$M$19+Input!$L$19),IF(Input!$G29=150,((H6+Z34))*(Input!$O$19+Input!$N$19+Input!$M$19+Input!$L$19+Input!$K$19),((H6+Z34)/(Input!$O$19+Input!$N$19+Input!$M$19+Input!$L$19+Input!$K$19+Input!$J$19))))))))</f>
        <v>0</v>
      </c>
      <c r="I34" s="15"/>
      <c r="K34" s="16"/>
      <c r="L34" s="17" t="str">
        <f t="shared" si="6"/>
        <v>Mp xSemifreddo</v>
      </c>
      <c r="M34" s="33">
        <f>+Input!$F29*D6</f>
        <v>3150</v>
      </c>
      <c r="N34" s="33">
        <f>+Input!$F29*E6</f>
        <v>4772.250000000001</v>
      </c>
      <c r="O34" s="33">
        <f>+Input!$F29*F6</f>
        <v>6265.96425</v>
      </c>
      <c r="P34" s="33">
        <f>+Input!$F29*G6</f>
        <v>6645.055087125001</v>
      </c>
      <c r="Q34" s="33">
        <f>+Input!$F29*H6</f>
        <v>7047.080919896063</v>
      </c>
      <c r="R34" s="15"/>
      <c r="T34" s="16"/>
      <c r="U34" t="str">
        <f t="shared" si="7"/>
        <v>Mp xSemifreddo</v>
      </c>
      <c r="V34" s="33">
        <f>+M34*Input!$O$19</f>
        <v>94.5</v>
      </c>
      <c r="W34" s="33">
        <f>+N34*Input!$O$19</f>
        <v>143.16750000000002</v>
      </c>
      <c r="X34" s="33">
        <f>+O34*Input!$O$19</f>
        <v>187.9789275</v>
      </c>
      <c r="Y34" s="33">
        <f>+P34*Input!$O$19</f>
        <v>199.35165261375002</v>
      </c>
      <c r="Z34" s="33">
        <f>+Q34*Input!$O$19</f>
        <v>211.41242759688188</v>
      </c>
      <c r="AA34" s="15"/>
    </row>
    <row r="35" spans="2:27" ht="15">
      <c r="B35" s="16"/>
      <c r="C35" s="17" t="str">
        <f t="shared" si="5"/>
        <v>Mp xTorte</v>
      </c>
      <c r="D35" s="33">
        <f>+IF(Input!$G30=0,0,IF(Input!$G30=30,((D7+V35))*Input!$O$19,IF(Input!$G30=60,((D7+V35))*(Input!$O$19+Input!$N$19),IF(Input!$G30=90,((D7+V35))*(Input!$O$19+Input!$N$19+Input!$M$19),IF(Input!$G30=120,((D7+V35))*(Input!$O$19+Input!$N$19+Input!$M$19+Input!$L$19),IF(Input!$G30=150,((D7+V35))*(Input!$O$19+Input!$N$19+Input!$M$19+Input!$L$19+Input!$K$19),((D7+V35)/(Input!$O$19+Input!$N$19+Input!$M$19+Input!$L$19+Input!$K$19+Input!$J$19))))))))</f>
        <v>0</v>
      </c>
      <c r="E35" s="33">
        <f>+IF(Input!$G30=0,0,IF(Input!$G30=30,((E7+W35))*Input!$O$19,IF(Input!$G30=60,((E7+W35))*(Input!$O$19+Input!$N$19),IF(Input!$G30=90,((E7+W35))*(Input!$O$19+Input!$N$19+Input!$M$19),IF(Input!$G30=120,((E7+W35))*(Input!$O$19+Input!$N$19+Input!$M$19+Input!$L$19),IF(Input!$G30=150,((E7+W35))*(Input!$O$19+Input!$N$19+Input!$M$19+Input!$L$19+Input!$K$19),((E7+W35)/(Input!$O$19+Input!$N$19+Input!$M$19+Input!$L$19+Input!$K$19+Input!$J$19))))))))</f>
        <v>0</v>
      </c>
      <c r="F35" s="33">
        <f>+IF(Input!$G30=0,0,IF(Input!$G30=30,((F7+X35))*Input!$O$19,IF(Input!$G30=60,((F7+X35))*(Input!$O$19+Input!$N$19),IF(Input!$G30=90,((F7+X35))*(Input!$O$19+Input!$N$19+Input!$M$19),IF(Input!$G30=120,((F7+X35))*(Input!$O$19+Input!$N$19+Input!$M$19+Input!$L$19),IF(Input!$G30=150,((F7+X35))*(Input!$O$19+Input!$N$19+Input!$M$19+Input!$L$19+Input!$K$19),((F7+X35)/(Input!$O$19+Input!$N$19+Input!$M$19+Input!$L$19+Input!$K$19+Input!$J$19))))))))</f>
        <v>0</v>
      </c>
      <c r="G35" s="33">
        <f>+IF(Input!$G30=0,0,IF(Input!$G30=30,((G7+Y35))*Input!$O$19,IF(Input!$G30=60,((G7+Y35))*(Input!$O$19+Input!$N$19),IF(Input!$G30=90,((G7+Y35))*(Input!$O$19+Input!$N$19+Input!$M$19),IF(Input!$G30=120,((G7+Y35))*(Input!$O$19+Input!$N$19+Input!$M$19+Input!$L$19),IF(Input!$G30=150,((G7+Y35))*(Input!$O$19+Input!$N$19+Input!$M$19+Input!$L$19+Input!$K$19),((G7+Y35)/(Input!$O$19+Input!$N$19+Input!$M$19+Input!$L$19+Input!$K$19+Input!$J$19))))))))</f>
        <v>0</v>
      </c>
      <c r="H35" s="33">
        <f>+IF(Input!$G30=0,0,IF(Input!$G30=30,((H7+Z35))*Input!$O$19,IF(Input!$G30=60,((H7+Z35))*(Input!$O$19+Input!$N$19),IF(Input!$G30=90,((H7+Z35))*(Input!$O$19+Input!$N$19+Input!$M$19),IF(Input!$G30=120,((H7+Z35))*(Input!$O$19+Input!$N$19+Input!$M$19+Input!$L$19),IF(Input!$G30=150,((H7+Z35))*(Input!$O$19+Input!$N$19+Input!$M$19+Input!$L$19+Input!$K$19),((H7+Z35)/(Input!$O$19+Input!$N$19+Input!$M$19+Input!$L$19+Input!$K$19+Input!$J$19))))))))</f>
        <v>0</v>
      </c>
      <c r="I35" s="15"/>
      <c r="K35" s="16"/>
      <c r="L35" s="17" t="str">
        <f t="shared" si="6"/>
        <v>Mp xTorte</v>
      </c>
      <c r="M35" s="33">
        <f>+Input!$F30*D7</f>
        <v>15750</v>
      </c>
      <c r="N35" s="33">
        <f>+Input!$F30*E7</f>
        <v>23861.25</v>
      </c>
      <c r="O35" s="33">
        <f>+Input!$F30*F7</f>
        <v>31329.821249999997</v>
      </c>
      <c r="P35" s="33">
        <f>+Input!$F30*G7</f>
        <v>33225.275435625</v>
      </c>
      <c r="Q35" s="33">
        <f>+Input!$F30*H7</f>
        <v>35235.40459948032</v>
      </c>
      <c r="R35" s="15"/>
      <c r="T35" s="16"/>
      <c r="U35" t="str">
        <f t="shared" si="7"/>
        <v>Mp xTorte</v>
      </c>
      <c r="V35" s="33">
        <f>+M35*Input!$O$19</f>
        <v>472.5</v>
      </c>
      <c r="W35" s="33">
        <f>+N35*Input!$O$19</f>
        <v>715.8375</v>
      </c>
      <c r="X35" s="33">
        <f>+O35*Input!$O$19</f>
        <v>939.8946374999999</v>
      </c>
      <c r="Y35" s="33">
        <f>+P35*Input!$O$19</f>
        <v>996.75826306875</v>
      </c>
      <c r="Z35" s="33">
        <f>+Q35*Input!$O$19</f>
        <v>1057.0621379844094</v>
      </c>
      <c r="AA35" s="15"/>
    </row>
    <row r="36" spans="2:27" ht="15">
      <c r="B36" s="16"/>
      <c r="C36" s="17" t="str">
        <f t="shared" si="5"/>
        <v>Mp xBibite</v>
      </c>
      <c r="D36" s="33">
        <f>+IF(Input!$G31=0,0,IF(Input!$G31=30,((D8+V36))*Input!$O$19,IF(Input!$G31=60,((D8+V36))*(Input!$O$19+Input!$N$19),IF(Input!$G31=90,((D8+V36))*(Input!$O$19+Input!$N$19+Input!$M$19),IF(Input!$G31=120,((D8+V36))*(Input!$O$19+Input!$N$19+Input!$M$19+Input!$L$19),IF(Input!$G31=150,((D8+V36))*(Input!$O$19+Input!$N$19+Input!$M$19+Input!$L$19+Input!$K$19),((D8+V36)/(Input!$O$19+Input!$N$19+Input!$M$19+Input!$L$19+Input!$K$19+Input!$J$19))))))))</f>
        <v>0</v>
      </c>
      <c r="E36" s="33">
        <f>+IF(Input!$G31=0,0,IF(Input!$G31=30,((E8+W36))*Input!$O$19,IF(Input!$G31=60,((E8+W36))*(Input!$O$19+Input!$N$19),IF(Input!$G31=90,((E8+W36))*(Input!$O$19+Input!$N$19+Input!$M$19),IF(Input!$G31=120,((E8+W36))*(Input!$O$19+Input!$N$19+Input!$M$19+Input!$L$19),IF(Input!$G31=150,((E8+W36))*(Input!$O$19+Input!$N$19+Input!$M$19+Input!$L$19+Input!$K$19),((E8+W36)/(Input!$O$19+Input!$N$19+Input!$M$19+Input!$L$19+Input!$K$19+Input!$J$19))))))))</f>
        <v>0</v>
      </c>
      <c r="F36" s="33">
        <f>+IF(Input!$G31=0,0,IF(Input!$G31=30,((F8+X36))*Input!$O$19,IF(Input!$G31=60,((F8+X36))*(Input!$O$19+Input!$N$19),IF(Input!$G31=90,((F8+X36))*(Input!$O$19+Input!$N$19+Input!$M$19),IF(Input!$G31=120,((F8+X36))*(Input!$O$19+Input!$N$19+Input!$M$19+Input!$L$19),IF(Input!$G31=150,((F8+X36))*(Input!$O$19+Input!$N$19+Input!$M$19+Input!$L$19+Input!$K$19),((F8+X36)/(Input!$O$19+Input!$N$19+Input!$M$19+Input!$L$19+Input!$K$19+Input!$J$19))))))))</f>
        <v>0</v>
      </c>
      <c r="G36" s="33">
        <f>+IF(Input!$G31=0,0,IF(Input!$G31=30,((G8+Y36))*Input!$O$19,IF(Input!$G31=60,((G8+Y36))*(Input!$O$19+Input!$N$19),IF(Input!$G31=90,((G8+Y36))*(Input!$O$19+Input!$N$19+Input!$M$19),IF(Input!$G31=120,((G8+Y36))*(Input!$O$19+Input!$N$19+Input!$M$19+Input!$L$19),IF(Input!$G31=150,((G8+Y36))*(Input!$O$19+Input!$N$19+Input!$M$19+Input!$L$19+Input!$K$19),((G8+Y36)/(Input!$O$19+Input!$N$19+Input!$M$19+Input!$L$19+Input!$K$19+Input!$J$19))))))))</f>
        <v>0</v>
      </c>
      <c r="H36" s="33">
        <f>+IF(Input!$G31=0,0,IF(Input!$G31=30,((H8+Z36))*Input!$O$19,IF(Input!$G31=60,((H8+Z36))*(Input!$O$19+Input!$N$19),IF(Input!$G31=90,((H8+Z36))*(Input!$O$19+Input!$N$19+Input!$M$19),IF(Input!$G31=120,((H8+Z36))*(Input!$O$19+Input!$N$19+Input!$M$19+Input!$L$19),IF(Input!$G31=150,((H8+Z36))*(Input!$O$19+Input!$N$19+Input!$M$19+Input!$L$19+Input!$K$19),((H8+Z36)/(Input!$O$19+Input!$N$19+Input!$M$19+Input!$L$19+Input!$K$19+Input!$J$19))))))))</f>
        <v>0</v>
      </c>
      <c r="I36" s="15"/>
      <c r="K36" s="16"/>
      <c r="L36" s="17" t="str">
        <f t="shared" si="6"/>
        <v>Mp xBibite</v>
      </c>
      <c r="M36" s="33">
        <f>+Input!$F31*D8</f>
        <v>0</v>
      </c>
      <c r="N36" s="33">
        <f>+Input!$F31*E8</f>
        <v>0</v>
      </c>
      <c r="O36" s="33">
        <f>+Input!$F31*F8</f>
        <v>0</v>
      </c>
      <c r="P36" s="33">
        <f>+Input!$F31*G8</f>
        <v>0</v>
      </c>
      <c r="Q36" s="33">
        <f>+Input!$F31*H8</f>
        <v>0</v>
      </c>
      <c r="R36" s="15"/>
      <c r="T36" s="16"/>
      <c r="U36" t="str">
        <f t="shared" si="7"/>
        <v>Mp xBibite</v>
      </c>
      <c r="V36" s="33">
        <f>+M36*Input!$O$19</f>
        <v>0</v>
      </c>
      <c r="W36" s="33">
        <f>+N36*Input!$O$19</f>
        <v>0</v>
      </c>
      <c r="X36" s="33">
        <f>+O36*Input!$O$19</f>
        <v>0</v>
      </c>
      <c r="Y36" s="33">
        <f>+P36*Input!$O$19</f>
        <v>0</v>
      </c>
      <c r="Z36" s="33">
        <f>+Q36*Input!$O$19</f>
        <v>0</v>
      </c>
      <c r="AA36" s="15"/>
    </row>
    <row r="37" spans="2:27" ht="15">
      <c r="B37" s="16"/>
      <c r="C37" s="17" t="str">
        <f t="shared" si="5"/>
        <v>Mp xVarie</v>
      </c>
      <c r="D37" s="33">
        <f>+IF(Input!$G32=0,0,IF(Input!$G32=30,((D9+V37))*Input!$O$19,IF(Input!$G32=60,((D9+V37))*(Input!$O$19+Input!$N$19),IF(Input!$G32=90,((D9+V37))*(Input!$O$19+Input!$N$19+Input!$M$19),IF(Input!$G32=120,((D9+V37))*(Input!$O$19+Input!$N$19+Input!$M$19+Input!$L$19),IF(Input!$G32=150,((D9+V37))*(Input!$O$19+Input!$N$19+Input!$M$19+Input!$L$19+Input!$K$19),((D9+V37)/(Input!$O$19+Input!$N$19+Input!$M$19+Input!$L$19+Input!$K$19+Input!$J$19))))))))</f>
        <v>0</v>
      </c>
      <c r="E37" s="33">
        <f>+IF(Input!$G32=0,0,IF(Input!$G32=30,((E9+W37))*Input!$O$19,IF(Input!$G32=60,((E9+W37))*(Input!$O$19+Input!$N$19),IF(Input!$G32=90,((E9+W37))*(Input!$O$19+Input!$N$19+Input!$M$19),IF(Input!$G32=120,((E9+W37))*(Input!$O$19+Input!$N$19+Input!$M$19+Input!$L$19),IF(Input!$G32=150,((E9+W37))*(Input!$O$19+Input!$N$19+Input!$M$19+Input!$L$19+Input!$K$19),((E9+W37)/(Input!$O$19+Input!$N$19+Input!$M$19+Input!$L$19+Input!$K$19+Input!$J$19))))))))</f>
        <v>0</v>
      </c>
      <c r="F37" s="33">
        <f>+IF(Input!$G32=0,0,IF(Input!$G32=30,((F9+X37))*Input!$O$19,IF(Input!$G32=60,((F9+X37))*(Input!$O$19+Input!$N$19),IF(Input!$G32=90,((F9+X37))*(Input!$O$19+Input!$N$19+Input!$M$19),IF(Input!$G32=120,((F9+X37))*(Input!$O$19+Input!$N$19+Input!$M$19+Input!$L$19),IF(Input!$G32=150,((F9+X37))*(Input!$O$19+Input!$N$19+Input!$M$19+Input!$L$19+Input!$K$19),((F9+X37)/(Input!$O$19+Input!$N$19+Input!$M$19+Input!$L$19+Input!$K$19+Input!$J$19))))))))</f>
        <v>0</v>
      </c>
      <c r="G37" s="33">
        <f>+IF(Input!$G32=0,0,IF(Input!$G32=30,((G9+Y37))*Input!$O$19,IF(Input!$G32=60,((G9+Y37))*(Input!$O$19+Input!$N$19),IF(Input!$G32=90,((G9+Y37))*(Input!$O$19+Input!$N$19+Input!$M$19),IF(Input!$G32=120,((G9+Y37))*(Input!$O$19+Input!$N$19+Input!$M$19+Input!$L$19),IF(Input!$G32=150,((G9+Y37))*(Input!$O$19+Input!$N$19+Input!$M$19+Input!$L$19+Input!$K$19),((G9+Y37)/(Input!$O$19+Input!$N$19+Input!$M$19+Input!$L$19+Input!$K$19+Input!$J$19))))))))</f>
        <v>0</v>
      </c>
      <c r="H37" s="33">
        <f>+IF(Input!$G32=0,0,IF(Input!$G32=30,((H9+Z37))*Input!$O$19,IF(Input!$G32=60,((H9+Z37))*(Input!$O$19+Input!$N$19),IF(Input!$G32=90,((H9+Z37))*(Input!$O$19+Input!$N$19+Input!$M$19),IF(Input!$G32=120,((H9+Z37))*(Input!$O$19+Input!$N$19+Input!$M$19+Input!$L$19),IF(Input!$G32=150,((H9+Z37))*(Input!$O$19+Input!$N$19+Input!$M$19+Input!$L$19+Input!$K$19),((H9+Z37)/(Input!$O$19+Input!$N$19+Input!$M$19+Input!$L$19+Input!$K$19+Input!$J$19))))))))</f>
        <v>0</v>
      </c>
      <c r="I37" s="15"/>
      <c r="K37" s="16"/>
      <c r="L37" s="17" t="str">
        <f t="shared" si="6"/>
        <v>Mp xVarie</v>
      </c>
      <c r="M37" s="33">
        <f>+Input!$F32*D9</f>
        <v>0</v>
      </c>
      <c r="N37" s="33">
        <f>+Input!$F32*E9</f>
        <v>0</v>
      </c>
      <c r="O37" s="33">
        <f>+Input!$F32*F9</f>
        <v>0</v>
      </c>
      <c r="P37" s="33">
        <f>+Input!$F32*G9</f>
        <v>0</v>
      </c>
      <c r="Q37" s="33">
        <f>+Input!$F32*H9</f>
        <v>0</v>
      </c>
      <c r="R37" s="15"/>
      <c r="T37" s="16"/>
      <c r="U37" t="str">
        <f t="shared" si="7"/>
        <v>Mp xVarie</v>
      </c>
      <c r="V37" s="33">
        <f>+M37*Input!$O$19</f>
        <v>0</v>
      </c>
      <c r="W37" s="33">
        <f>+N37*Input!$O$19</f>
        <v>0</v>
      </c>
      <c r="X37" s="33">
        <f>+O37*Input!$O$19</f>
        <v>0</v>
      </c>
      <c r="Y37" s="33">
        <f>+P37*Input!$O$19</f>
        <v>0</v>
      </c>
      <c r="Z37" s="33">
        <f>+Q37*Input!$O$19</f>
        <v>0</v>
      </c>
      <c r="AA37" s="15"/>
    </row>
    <row r="38" spans="2:27" ht="15">
      <c r="B38" s="16"/>
      <c r="C38" s="17" t="str">
        <f t="shared" si="5"/>
        <v>Mp xBibite</v>
      </c>
      <c r="D38" s="33">
        <f>+IF(Input!$G33=0,0,IF(Input!$G33=30,((D10+V38))*Input!$O$19,IF(Input!$G33=60,((D10+V38))*(Input!$O$19+Input!$N$19),IF(Input!$G33=90,((D10+V38))*(Input!$O$19+Input!$N$19+Input!$M$19),IF(Input!$G33=120,((D10+V38))*(Input!$O$19+Input!$N$19+Input!$M$19+Input!$L$19),IF(Input!$G33=150,((D10+V38))*(Input!$O$19+Input!$N$19+Input!$M$19+Input!$L$19+Input!$K$19),((D10+V38)/(Input!$O$19+Input!$N$19+Input!$M$19+Input!$L$19+Input!$K$19+Input!$J$19))))))))</f>
        <v>0</v>
      </c>
      <c r="E38" s="33">
        <f>+IF(Input!$G33=0,0,IF(Input!$G33=30,((E10+W38))*Input!$O$19,IF(Input!$G33=60,((E10+W38))*(Input!$O$19+Input!$N$19),IF(Input!$G33=90,((E10+W38))*(Input!$O$19+Input!$N$19+Input!$M$19),IF(Input!$G33=120,((E10+W38))*(Input!$O$19+Input!$N$19+Input!$M$19+Input!$L$19),IF(Input!$G33=150,((E10+W38))*(Input!$O$19+Input!$N$19+Input!$M$19+Input!$L$19+Input!$K$19),((E10+W38)/(Input!$O$19+Input!$N$19+Input!$M$19+Input!$L$19+Input!$K$19+Input!$J$19))))))))</f>
        <v>0</v>
      </c>
      <c r="F38" s="33">
        <f>+IF(Input!$G33=0,0,IF(Input!$G33=30,((F10+X38))*Input!$O$19,IF(Input!$G33=60,((F10+X38))*(Input!$O$19+Input!$N$19),IF(Input!$G33=90,((F10+X38))*(Input!$O$19+Input!$N$19+Input!$M$19),IF(Input!$G33=120,((F10+X38))*(Input!$O$19+Input!$N$19+Input!$M$19+Input!$L$19),IF(Input!$G33=150,((F10+X38))*(Input!$O$19+Input!$N$19+Input!$M$19+Input!$L$19+Input!$K$19),((F10+X38)/(Input!$O$19+Input!$N$19+Input!$M$19+Input!$L$19+Input!$K$19+Input!$J$19))))))))</f>
        <v>0</v>
      </c>
      <c r="G38" s="33">
        <f>+IF(Input!$G33=0,0,IF(Input!$G33=30,((G10+Y38))*Input!$O$19,IF(Input!$G33=60,((G10+Y38))*(Input!$O$19+Input!$N$19),IF(Input!$G33=90,((G10+Y38))*(Input!$O$19+Input!$N$19+Input!$M$19),IF(Input!$G33=120,((G10+Y38))*(Input!$O$19+Input!$N$19+Input!$M$19+Input!$L$19),IF(Input!$G33=150,((G10+Y38))*(Input!$O$19+Input!$N$19+Input!$M$19+Input!$L$19+Input!$K$19),((G10+Y38)/(Input!$O$19+Input!$N$19+Input!$M$19+Input!$L$19+Input!$K$19+Input!$J$19))))))))</f>
        <v>0</v>
      </c>
      <c r="H38" s="33">
        <f>+IF(Input!$G33=0,0,IF(Input!$G33=30,((H10+Z38))*Input!$O$19,IF(Input!$G33=60,((H10+Z38))*(Input!$O$19+Input!$N$19),IF(Input!$G33=90,((H10+Z38))*(Input!$O$19+Input!$N$19+Input!$M$19),IF(Input!$G33=120,((H10+Z38))*(Input!$O$19+Input!$N$19+Input!$M$19+Input!$L$19),IF(Input!$G33=150,((H10+Z38))*(Input!$O$19+Input!$N$19+Input!$M$19+Input!$L$19+Input!$K$19),((H10+Z38)/(Input!$O$19+Input!$N$19+Input!$M$19+Input!$L$19+Input!$K$19+Input!$J$19))))))))</f>
        <v>0</v>
      </c>
      <c r="I38" s="15"/>
      <c r="K38" s="16"/>
      <c r="L38" s="17" t="str">
        <f t="shared" si="6"/>
        <v>Mp xBibite</v>
      </c>
      <c r="M38" s="33">
        <f>+Input!$F33*D10</f>
        <v>0</v>
      </c>
      <c r="N38" s="33">
        <f>+Input!$F33*E10</f>
        <v>0</v>
      </c>
      <c r="O38" s="33">
        <f>+Input!$F33*F10</f>
        <v>0</v>
      </c>
      <c r="P38" s="33">
        <f>+Input!$F33*G10</f>
        <v>0</v>
      </c>
      <c r="Q38" s="33">
        <f>+Input!$F33*H10</f>
        <v>0</v>
      </c>
      <c r="R38" s="15"/>
      <c r="T38" s="16"/>
      <c r="U38" t="str">
        <f t="shared" si="7"/>
        <v>Mp xBibite</v>
      </c>
      <c r="V38" s="33">
        <f>+M38*Input!$O$19</f>
        <v>0</v>
      </c>
      <c r="W38" s="33">
        <f>+N38*Input!$O$19</f>
        <v>0</v>
      </c>
      <c r="X38" s="33">
        <f>+O38*Input!$O$19</f>
        <v>0</v>
      </c>
      <c r="Y38" s="33">
        <f>+P38*Input!$O$19</f>
        <v>0</v>
      </c>
      <c r="Z38" s="33">
        <f>+Q38*Input!$O$19</f>
        <v>0</v>
      </c>
      <c r="AA38" s="15"/>
    </row>
    <row r="39" spans="2:27" ht="15">
      <c r="B39" s="16"/>
      <c r="C39" s="17" t="str">
        <f t="shared" si="5"/>
        <v>Mp xProdotto 8</v>
      </c>
      <c r="D39" s="33">
        <f>+IF(Input!$G34=0,0,IF(Input!$G34=30,((D11+V39))*Input!$O$19,IF(Input!$G34=60,((D11+V39))*(Input!$O$19+Input!$N$19),IF(Input!$G34=90,((D11+V39))*(Input!$O$19+Input!$N$19+Input!$M$19),IF(Input!$G34=120,((D11+V39))*(Input!$O$19+Input!$N$19+Input!$M$19+Input!$L$19),IF(Input!$G34=150,((D11+V39))*(Input!$O$19+Input!$N$19+Input!$M$19+Input!$L$19+Input!$K$19),((D11+V39)/(Input!$O$19+Input!$N$19+Input!$M$19+Input!$L$19+Input!$K$19+Input!$J$19))))))))</f>
        <v>0</v>
      </c>
      <c r="E39" s="33">
        <f>+IF(Input!$G34=0,0,IF(Input!$G34=30,((E11+W39))*Input!$O$19,IF(Input!$G34=60,((E11+W39))*(Input!$O$19+Input!$N$19),IF(Input!$G34=90,((E11+W39))*(Input!$O$19+Input!$N$19+Input!$M$19),IF(Input!$G34=120,((E11+W39))*(Input!$O$19+Input!$N$19+Input!$M$19+Input!$L$19),IF(Input!$G34=150,((E11+W39))*(Input!$O$19+Input!$N$19+Input!$M$19+Input!$L$19+Input!$K$19),((E11+W39)/(Input!$O$19+Input!$N$19+Input!$M$19+Input!$L$19+Input!$K$19+Input!$J$19))))))))</f>
        <v>0</v>
      </c>
      <c r="F39" s="33">
        <f>+IF(Input!$G34=0,0,IF(Input!$G34=30,((F11+X39))*Input!$O$19,IF(Input!$G34=60,((F11+X39))*(Input!$O$19+Input!$N$19),IF(Input!$G34=90,((F11+X39))*(Input!$O$19+Input!$N$19+Input!$M$19),IF(Input!$G34=120,((F11+X39))*(Input!$O$19+Input!$N$19+Input!$M$19+Input!$L$19),IF(Input!$G34=150,((F11+X39))*(Input!$O$19+Input!$N$19+Input!$M$19+Input!$L$19+Input!$K$19),((F11+X39)/(Input!$O$19+Input!$N$19+Input!$M$19+Input!$L$19+Input!$K$19+Input!$J$19))))))))</f>
        <v>0</v>
      </c>
      <c r="G39" s="33">
        <f>+IF(Input!$G34=0,0,IF(Input!$G34=30,((G11+Y39))*Input!$O$19,IF(Input!$G34=60,((G11+Y39))*(Input!$O$19+Input!$N$19),IF(Input!$G34=90,((G11+Y39))*(Input!$O$19+Input!$N$19+Input!$M$19),IF(Input!$G34=120,((G11+Y39))*(Input!$O$19+Input!$N$19+Input!$M$19+Input!$L$19),IF(Input!$G34=150,((G11+Y39))*(Input!$O$19+Input!$N$19+Input!$M$19+Input!$L$19+Input!$K$19),((G11+Y39)/(Input!$O$19+Input!$N$19+Input!$M$19+Input!$L$19+Input!$K$19+Input!$J$19))))))))</f>
        <v>0</v>
      </c>
      <c r="H39" s="33">
        <f>+IF(Input!$G34=0,0,IF(Input!$G34=30,((H11+Z39))*Input!$O$19,IF(Input!$G34=60,((H11+Z39))*(Input!$O$19+Input!$N$19),IF(Input!$G34=90,((H11+Z39))*(Input!$O$19+Input!$N$19+Input!$M$19),IF(Input!$G34=120,((H11+Z39))*(Input!$O$19+Input!$N$19+Input!$M$19+Input!$L$19),IF(Input!$G34=150,((H11+Z39))*(Input!$O$19+Input!$N$19+Input!$M$19+Input!$L$19+Input!$K$19),((H11+Z39)/(Input!$O$19+Input!$N$19+Input!$M$19+Input!$L$19+Input!$K$19+Input!$J$19))))))))</f>
        <v>0</v>
      </c>
      <c r="I39" s="15"/>
      <c r="K39" s="16"/>
      <c r="L39" s="17" t="str">
        <f t="shared" si="6"/>
        <v>Mp xProdotto 8</v>
      </c>
      <c r="M39" s="33">
        <f>+Input!$F34*D11</f>
        <v>0</v>
      </c>
      <c r="N39" s="33">
        <f>+Input!$F34*E11</f>
        <v>0</v>
      </c>
      <c r="O39" s="33">
        <f>+Input!$F34*F11</f>
        <v>0</v>
      </c>
      <c r="P39" s="33">
        <f>+Input!$F34*G11</f>
        <v>0</v>
      </c>
      <c r="Q39" s="33">
        <f>+Input!$F34*H11</f>
        <v>0</v>
      </c>
      <c r="R39" s="15"/>
      <c r="T39" s="16"/>
      <c r="U39" t="str">
        <f t="shared" si="7"/>
        <v>Mp xProdotto 8</v>
      </c>
      <c r="V39" s="33">
        <f>+M39*Input!$O$19</f>
        <v>0</v>
      </c>
      <c r="W39" s="33">
        <f>+N39*Input!$O$19</f>
        <v>0</v>
      </c>
      <c r="X39" s="33">
        <f>+O39*Input!$O$19</f>
        <v>0</v>
      </c>
      <c r="Y39" s="33">
        <f>+P39*Input!$O$19</f>
        <v>0</v>
      </c>
      <c r="Z39" s="33">
        <f>+Q39*Input!$O$19</f>
        <v>0</v>
      </c>
      <c r="AA39" s="15"/>
    </row>
    <row r="40" spans="2:27" ht="15">
      <c r="B40" s="16"/>
      <c r="C40" s="17" t="str">
        <f t="shared" si="5"/>
        <v>Mp xProdotto 9</v>
      </c>
      <c r="D40" s="33">
        <f>+IF(Input!$G35=0,0,IF(Input!$G35=30,((D12+V40))*Input!$O$19,IF(Input!$G35=60,((D12+V40))*(Input!$O$19+Input!$N$19),IF(Input!$G35=90,((D12+V40))*(Input!$O$19+Input!$N$19+Input!$M$19),IF(Input!$G35=120,((D12+V40))*(Input!$O$19+Input!$N$19+Input!$M$19+Input!$L$19),IF(Input!$G35=150,((D12+V40))*(Input!$O$19+Input!$N$19+Input!$M$19+Input!$L$19+Input!$K$19),((D12+V40)/(Input!$O$19+Input!$N$19+Input!$M$19+Input!$L$19+Input!$K$19+Input!$J$19))))))))</f>
        <v>0</v>
      </c>
      <c r="E40" s="33">
        <f>+IF(Input!$G35=0,0,IF(Input!$G35=30,((E12+W40))*Input!$O$19,IF(Input!$G35=60,((E12+W40))*(Input!$O$19+Input!$N$19),IF(Input!$G35=90,((E12+W40))*(Input!$O$19+Input!$N$19+Input!$M$19),IF(Input!$G35=120,((E12+W40))*(Input!$O$19+Input!$N$19+Input!$M$19+Input!$L$19),IF(Input!$G35=150,((E12+W40))*(Input!$O$19+Input!$N$19+Input!$M$19+Input!$L$19+Input!$K$19),((E12+W40)/(Input!$O$19+Input!$N$19+Input!$M$19+Input!$L$19+Input!$K$19+Input!$J$19))))))))</f>
        <v>0</v>
      </c>
      <c r="F40" s="33">
        <f>+IF(Input!$G35=0,0,IF(Input!$G35=30,((F12+X40))*Input!$O$19,IF(Input!$G35=60,((F12+X40))*(Input!$O$19+Input!$N$19),IF(Input!$G35=90,((F12+X40))*(Input!$O$19+Input!$N$19+Input!$M$19),IF(Input!$G35=120,((F12+X40))*(Input!$O$19+Input!$N$19+Input!$M$19+Input!$L$19),IF(Input!$G35=150,((F12+X40))*(Input!$O$19+Input!$N$19+Input!$M$19+Input!$L$19+Input!$K$19),((F12+X40)/(Input!$O$19+Input!$N$19+Input!$M$19+Input!$L$19+Input!$K$19+Input!$J$19))))))))</f>
        <v>0</v>
      </c>
      <c r="G40" s="33">
        <f>+IF(Input!$G35=0,0,IF(Input!$G35=30,((G12+Y40))*Input!$O$19,IF(Input!$G35=60,((G12+Y40))*(Input!$O$19+Input!$N$19),IF(Input!$G35=90,((G12+Y40))*(Input!$O$19+Input!$N$19+Input!$M$19),IF(Input!$G35=120,((G12+Y40))*(Input!$O$19+Input!$N$19+Input!$M$19+Input!$L$19),IF(Input!$G35=150,((G12+Y40))*(Input!$O$19+Input!$N$19+Input!$M$19+Input!$L$19+Input!$K$19),((G12+Y40)/(Input!$O$19+Input!$N$19+Input!$M$19+Input!$L$19+Input!$K$19+Input!$J$19))))))))</f>
        <v>0</v>
      </c>
      <c r="H40" s="33">
        <f>+IF(Input!$G35=0,0,IF(Input!$G35=30,((H12+Z40))*Input!$O$19,IF(Input!$G35=60,((H12+Z40))*(Input!$O$19+Input!$N$19),IF(Input!$G35=90,((H12+Z40))*(Input!$O$19+Input!$N$19+Input!$M$19),IF(Input!$G35=120,((H12+Z40))*(Input!$O$19+Input!$N$19+Input!$M$19+Input!$L$19),IF(Input!$G35=150,((H12+Z40))*(Input!$O$19+Input!$N$19+Input!$M$19+Input!$L$19+Input!$K$19),((H12+Z40)/(Input!$O$19+Input!$N$19+Input!$M$19+Input!$L$19+Input!$K$19+Input!$J$19))))))))</f>
        <v>0</v>
      </c>
      <c r="I40" s="15"/>
      <c r="K40" s="16"/>
      <c r="L40" s="17" t="str">
        <f t="shared" si="6"/>
        <v>Mp xProdotto 9</v>
      </c>
      <c r="M40" s="33">
        <f>+Input!$F35*D12</f>
        <v>0</v>
      </c>
      <c r="N40" s="33">
        <f>+Input!$F35*E12</f>
        <v>0</v>
      </c>
      <c r="O40" s="33">
        <f>+Input!$F35*F12</f>
        <v>0</v>
      </c>
      <c r="P40" s="33">
        <f>+Input!$F35*G12</f>
        <v>0</v>
      </c>
      <c r="Q40" s="33">
        <f>+Input!$F35*H12</f>
        <v>0</v>
      </c>
      <c r="R40" s="15"/>
      <c r="T40" s="16"/>
      <c r="U40" t="str">
        <f t="shared" si="7"/>
        <v>Mp xProdotto 9</v>
      </c>
      <c r="V40" s="33">
        <f>+M40*Input!$O$19</f>
        <v>0</v>
      </c>
      <c r="W40" s="33">
        <f>+N40*Input!$O$19</f>
        <v>0</v>
      </c>
      <c r="X40" s="33">
        <f>+O40*Input!$O$19</f>
        <v>0</v>
      </c>
      <c r="Y40" s="33">
        <f>+P40*Input!$O$19</f>
        <v>0</v>
      </c>
      <c r="Z40" s="33">
        <f>+Q40*Input!$O$19</f>
        <v>0</v>
      </c>
      <c r="AA40" s="15"/>
    </row>
    <row r="41" spans="2:27" ht="15">
      <c r="B41" s="16"/>
      <c r="C41" s="12" t="s">
        <v>33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30</v>
      </c>
      <c r="M41" s="34">
        <f>SUM(M32:M40)</f>
        <v>32550</v>
      </c>
      <c r="N41" s="34">
        <f>SUM(N32:N40)</f>
        <v>49313.25</v>
      </c>
      <c r="O41" s="34">
        <f>SUM(O32:O40)</f>
        <v>64748.29725</v>
      </c>
      <c r="P41" s="34">
        <f>SUM(P32:P40)</f>
        <v>68665.569233625</v>
      </c>
      <c r="Q41" s="34">
        <f>SUM(Q32:Q40)</f>
        <v>72819.83617225933</v>
      </c>
      <c r="R41" s="15"/>
      <c r="T41" s="16"/>
      <c r="U41" s="12" t="str">
        <f>+L41</f>
        <v>TOTALE Iva a Debito</v>
      </c>
      <c r="V41" s="34">
        <f>SUM(V32:V40)</f>
        <v>976.5</v>
      </c>
      <c r="W41" s="34">
        <f>SUM(W32:W40)</f>
        <v>1479.3975</v>
      </c>
      <c r="X41" s="34">
        <f>SUM(X32:X40)</f>
        <v>1942.4489174999999</v>
      </c>
      <c r="Y41" s="34">
        <f>SUM(Y32:Y40)</f>
        <v>2059.96707700875</v>
      </c>
      <c r="Z41" s="34">
        <f>SUM(Z32:Z40)</f>
        <v>2184.5950851677794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26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29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410</v>
      </c>
      <c r="V45" s="13" t="str">
        <f>+M45</f>
        <v>Anno 1</v>
      </c>
      <c r="W45" s="13" t="str">
        <f>+N45</f>
        <v>Anno 2</v>
      </c>
      <c r="X45" s="13" t="str">
        <f>+O45</f>
        <v>Anno 3</v>
      </c>
      <c r="Y45" s="13" t="str">
        <f>+P45</f>
        <v>Anno 4</v>
      </c>
      <c r="Z45" s="13" t="str">
        <f>+Q45</f>
        <v>Anno 5</v>
      </c>
      <c r="AA45" s="36"/>
    </row>
    <row r="46" spans="2:27" ht="15">
      <c r="B46" s="16"/>
      <c r="C46" s="17" t="str">
        <f>+C32</f>
        <v>Mp xGelato (cono/coppetta)</v>
      </c>
      <c r="D46" s="33">
        <f>+IF(Input!$G40=0,0,IF(Input!$G40=30,(V18+M46)*Input!$O$19,IF(Input!$G40=60,(V18+M46)*(Input!$O$19+Input!$N$19),IF(Input!$G40=90,(V18+M46)*(Input!$O$19+Input!$N$19+Input!$M$19),IF(Input!$G40=120,(V18+M46)*(Input!$L$19+Input!$M$19+Input!$N$19+Input!$O$19),IF(Input!$G40=150,(V18+M46)*(Input!$O$19+Input!$N$19+Input!$M$19+Input!$L$19+Input!K19),(V18+M46)*(Input!$O$19+Input!$N$19+Input!$M$19+Input!$L$19+Input!$K$19+Input!$J$19)))))))</f>
        <v>868.4210526315788</v>
      </c>
      <c r="E46" s="33">
        <f>+IF(Input!$G40=0,0,IF(Input!$G40=30,(W18+N46)*Input!$O$19,IF(Input!$G40=60,(W18+N46)*(Input!$O$19+Input!$N$19),IF(Input!$G40=90,(W18+N46)*(Input!$O$19+Input!$N$19+Input!$M$19),IF(Input!$G40=120,(W18+N46)*(Input!$L$19+Input!$M$19+Input!$N$19+Input!$O$19),IF(Input!$G40=150,(W18+N46)*(Input!$O$19+Input!$N$19+Input!$M$19+Input!$L$19+Input!L19),(W18+N46)*(Input!$O$19+Input!$N$19+Input!$M$19+Input!$L$19+Input!$K$19+Input!$J$19)))))))</f>
        <v>1315.657894736842</v>
      </c>
      <c r="F46" s="33">
        <f>+IF(Input!$G40=0,0,IF(Input!$G40=30,(X18+O46)*Input!$O$19,IF(Input!$G40=60,(X18+O46)*(Input!$O$19+Input!$N$19),IF(Input!$G40=90,(X18+O46)*(Input!$O$19+Input!$N$19+Input!$M$19),IF(Input!$G40=120,(X18+O46)*(Input!$L$19+Input!$M$19+Input!$N$19+Input!$O$19),IF(Input!$G40=150,(X18+O46)*(Input!$O$19+Input!$N$19+Input!$M$19+Input!$L$19+Input!M19),(X18+O46)*(Input!$O$19+Input!$N$19+Input!$M$19+Input!$L$19+Input!$K$19+Input!$J$19)))))))</f>
        <v>1727.4588157894736</v>
      </c>
      <c r="G46" s="33">
        <f>+IF(Input!$G40=0,0,IF(Input!$G40=30,(Y18+P46)*Input!$O$19,IF(Input!$G40=60,(Y18+P46)*(Input!$O$19+Input!$N$19),IF(Input!$G40=90,(Y18+P46)*(Input!$O$19+Input!$N$19+Input!$M$19),IF(Input!$G40=120,(Y18+P46)*(Input!$L$19+Input!$M$19+Input!$N$19+Input!$O$19),IF(Input!$G40=150,(Y18+P46)*(Input!$O$19+Input!$N$19+Input!$M$19+Input!$L$19+Input!N19),(Y18+P46)*(Input!$O$19+Input!$N$19+Input!$M$19+Input!$L$19+Input!$K$19+Input!$J$19)))))))</f>
        <v>1831.970074144737</v>
      </c>
      <c r="H46" s="33">
        <f>+IF(Input!$G40=0,0,IF(Input!$G40=30,(Z18+Q46)*Input!$O$19,IF(Input!$G40=60,(Z18+Q46)*(Input!$O$19+Input!$N$19),IF(Input!$G40=90,(Z18+Q46)*(Input!$O$19+Input!$N$19+Input!$M$19),IF(Input!$G40=120,(Z18+Q46)*(Input!$L$19+Input!$M$19+Input!$N$19+Input!$O$19),IF(Input!$G40=150,(Z18+Q46)*(Input!$O$19+Input!$N$19+Input!$M$19+Input!$L$19+Input!O19),(Z18+Q46)*(Input!$O$19+Input!$N$19+Input!$M$19+Input!$L$19+Input!$K$19+Input!$J$19)))))))</f>
        <v>1942.8042636304936</v>
      </c>
      <c r="I46" s="15"/>
      <c r="K46" s="16"/>
      <c r="L46" s="17" t="str">
        <f>+L32</f>
        <v>Mp xGelato (cono/coppetta)</v>
      </c>
      <c r="M46" s="33">
        <f>+MCL!V18*Input!$E40</f>
        <v>2631.5789473684213</v>
      </c>
      <c r="N46" s="33">
        <f>+MCL!W18*Input!$E40</f>
        <v>3986.8421052631584</v>
      </c>
      <c r="O46" s="33">
        <f>+MCL!X18*Input!$E40</f>
        <v>5234.723684210527</v>
      </c>
      <c r="P46" s="33">
        <f>+MCL!Y18*Input!$E40</f>
        <v>5551.424467105265</v>
      </c>
      <c r="Q46" s="33">
        <f>+MCL!Z18*Input!$E40</f>
        <v>5887.285647365133</v>
      </c>
      <c r="R46" s="15"/>
      <c r="T46" s="16"/>
      <c r="U46" t="str">
        <f>+L46</f>
        <v>Mp xGelato (cono/coppetta)</v>
      </c>
      <c r="V46" s="33">
        <f>+M46*Input!$O$19</f>
        <v>78.94736842105263</v>
      </c>
      <c r="W46" s="33">
        <f>+N46*Input!$O$19</f>
        <v>119.60526315789474</v>
      </c>
      <c r="X46" s="33">
        <f>+O46*Input!$O$19</f>
        <v>157.0417105263158</v>
      </c>
      <c r="Y46" s="33">
        <f>+P46*Input!$O$19</f>
        <v>166.54273401315794</v>
      </c>
      <c r="Z46" s="33">
        <f>+Q46*Input!$O$19</f>
        <v>176.61856942095397</v>
      </c>
      <c r="AA46" s="15"/>
    </row>
    <row r="47" spans="2:27" ht="15">
      <c r="B47" s="16"/>
      <c r="C47" s="17" t="str">
        <f aca="true" t="shared" si="8" ref="C47:C54">+C33</f>
        <v>Mp xFrullati</v>
      </c>
      <c r="D47" s="33">
        <f>+IF(Input!$G41=0,0,IF(Input!$G41=30,(V19+M47)*Input!$O$19,IF(Input!$G41=60,(V19+M47)*(Input!$O$19+Input!$N$19),IF(Input!$G41=90,(V19+M47)*(Input!$O$19+Input!$N$19+Input!$M$19),IF(Input!$G41=120,(V19+M47)*(Input!$L$19+Input!$M$19+Input!$N$19+Input!$O$19),IF(Input!$G41=150,(V19+M47)*(Input!$O$19+Input!$N$19+Input!$M$19+Input!$L$19+Input!K20),(V19+M47)*(Input!$O$19+Input!$N$19+Input!$M$19+Input!$L$19+Input!$K$19+Input!$J$19)))))))</f>
        <v>260.5263157894737</v>
      </c>
      <c r="E47" s="33">
        <f>+IF(Input!$G41=0,0,IF(Input!$G41=30,(W19+N47)*Input!$O$19,IF(Input!$G41=60,(W19+N47)*(Input!$O$19+Input!$N$19),IF(Input!$G41=90,(W19+N47)*(Input!$O$19+Input!$N$19+Input!$M$19),IF(Input!$G41=120,(W19+N47)*(Input!$L$19+Input!$M$19+Input!$N$19+Input!$O$19),IF(Input!$G41=150,(W19+N47)*(Input!$O$19+Input!$N$19+Input!$M$19+Input!$L$19+Input!L20),(W19+N47)*(Input!$O$19+Input!$N$19+Input!$M$19+Input!$L$19+Input!$K$19+Input!$J$19)))))))</f>
        <v>394.6973684210528</v>
      </c>
      <c r="F47" s="33">
        <f>+IF(Input!$G41=0,0,IF(Input!$G41=30,(X19+O47)*Input!$O$19,IF(Input!$G41=60,(X19+O47)*(Input!$O$19+Input!$N$19),IF(Input!$G41=90,(X19+O47)*(Input!$O$19+Input!$N$19+Input!$M$19),IF(Input!$G41=120,(X19+O47)*(Input!$L$19+Input!$M$19+Input!$N$19+Input!$O$19),IF(Input!$G41=150,(X19+O47)*(Input!$O$19+Input!$N$19+Input!$M$19+Input!$L$19+Input!M20),(X19+O47)*(Input!$O$19+Input!$N$19+Input!$M$19+Input!$L$19+Input!$K$19+Input!$J$19)))))))</f>
        <v>518.2376447368422</v>
      </c>
      <c r="G47" s="33">
        <f>+IF(Input!$G41=0,0,IF(Input!$G41=30,(Y19+P47)*Input!$O$19,IF(Input!$G41=60,(Y19+P47)*(Input!$O$19+Input!$N$19),IF(Input!$G41=90,(Y19+P47)*(Input!$O$19+Input!$N$19+Input!$M$19),IF(Input!$G41=120,(Y19+P47)*(Input!$L$19+Input!$M$19+Input!$N$19+Input!$O$19),IF(Input!$G41=150,(Y19+P47)*(Input!$O$19+Input!$N$19+Input!$M$19+Input!$L$19+Input!N20),(Y19+P47)*(Input!$O$19+Input!$N$19+Input!$M$19+Input!$L$19+Input!$K$19+Input!$J$19)))))))</f>
        <v>549.5910222434212</v>
      </c>
      <c r="H47" s="33">
        <f>+IF(Input!$G41=0,0,IF(Input!$G41=30,(Z19+Q47)*Input!$O$19,IF(Input!$G41=60,(Z19+Q47)*(Input!$O$19+Input!$N$19),IF(Input!$G41=90,(Z19+Q47)*(Input!$O$19+Input!$N$19+Input!$M$19),IF(Input!$G41=120,(Z19+Q47)*(Input!$L$19+Input!$M$19+Input!$N$19+Input!$O$19),IF(Input!$G41=150,(Z19+Q47)*(Input!$O$19+Input!$N$19+Input!$M$19+Input!$L$19+Input!O20),(Z19+Q47)*(Input!$O$19+Input!$N$19+Input!$M$19+Input!$L$19+Input!$K$19+Input!$J$19)))))))</f>
        <v>582.8412790891481</v>
      </c>
      <c r="I47" s="15"/>
      <c r="K47" s="16"/>
      <c r="L47" s="17" t="str">
        <f aca="true" t="shared" si="9" ref="L47:L54">+L33</f>
        <v>Mp xFrullati</v>
      </c>
      <c r="M47" s="33">
        <f>+MCL!V19*Input!$E41</f>
        <v>789.4736842105264</v>
      </c>
      <c r="N47" s="33">
        <f>+MCL!W19*Input!$E41</f>
        <v>1196.0526315789477</v>
      </c>
      <c r="O47" s="33">
        <f>+MCL!X19*Input!$E41</f>
        <v>1570.4171052631582</v>
      </c>
      <c r="P47" s="33">
        <f>+MCL!Y19*Input!$E41</f>
        <v>1665.4273401315795</v>
      </c>
      <c r="Q47" s="33">
        <f>+MCL!Z19*Input!$E41</f>
        <v>1766.1856942095399</v>
      </c>
      <c r="R47" s="15"/>
      <c r="T47" s="16"/>
      <c r="U47" t="str">
        <f aca="true" t="shared" si="10" ref="U47:U54">+L47</f>
        <v>Mp xFrullati</v>
      </c>
      <c r="V47" s="33">
        <f>+M47*Input!$O$19</f>
        <v>23.68421052631579</v>
      </c>
      <c r="W47" s="33">
        <f>+N47*Input!$O$19</f>
        <v>35.88157894736843</v>
      </c>
      <c r="X47" s="33">
        <f>+O47*Input!$O$19</f>
        <v>47.112513157894746</v>
      </c>
      <c r="Y47" s="33">
        <f>+P47*Input!$O$19</f>
        <v>49.96282020394738</v>
      </c>
      <c r="Z47" s="33">
        <f>+Q47*Input!$O$19</f>
        <v>52.98557082628619</v>
      </c>
      <c r="AA47" s="15"/>
    </row>
    <row r="48" spans="2:27" ht="15">
      <c r="B48" s="16"/>
      <c r="C48" s="17" t="str">
        <f t="shared" si="8"/>
        <v>Mp xSemifreddo</v>
      </c>
      <c r="D48" s="33">
        <f>+IF(Input!$G42=0,0,IF(Input!$G42=30,(V20+M48)*Input!$O$19,IF(Input!$G42=60,(V20+M48)*(Input!$O$19+Input!$N$19),IF(Input!$G42=90,(V20+M48)*(Input!$O$19+Input!$N$19+Input!$M$19),IF(Input!$G42=120,(V20+M48)*(Input!$L$19+Input!$M$19+Input!$N$19+Input!$O$19),IF(Input!$G42=150,(V20+M48)*(Input!$O$19+Input!$N$19+Input!$M$19+Input!$L$19+Input!K21),(V20+M48)*(Input!$O$19+Input!$N$19+Input!$M$19+Input!$L$19+Input!$K$19+Input!$J$19)))))))</f>
        <v>260.5263157894737</v>
      </c>
      <c r="E48" s="33">
        <f>+IF(Input!$G42=0,0,IF(Input!$G42=30,(W20+N48)*Input!$O$19,IF(Input!$G42=60,(W20+N48)*(Input!$O$19+Input!$N$19),IF(Input!$G42=90,(W20+N48)*(Input!$O$19+Input!$N$19+Input!$M$19),IF(Input!$G42=120,(W20+N48)*(Input!$L$19+Input!$M$19+Input!$N$19+Input!$O$19),IF(Input!$G42=150,(W20+N48)*(Input!$O$19+Input!$N$19+Input!$M$19+Input!$L$19+Input!L21),(W20+N48)*(Input!$O$19+Input!$N$19+Input!$M$19+Input!$L$19+Input!$K$19+Input!$J$19)))))))</f>
        <v>394.6973684210528</v>
      </c>
      <c r="F48" s="33">
        <f>+IF(Input!$G42=0,0,IF(Input!$G42=30,(X20+O48)*Input!$O$19,IF(Input!$G42=60,(X20+O48)*(Input!$O$19+Input!$N$19),IF(Input!$G42=90,(X20+O48)*(Input!$O$19+Input!$N$19+Input!$M$19),IF(Input!$G42=120,(X20+O48)*(Input!$L$19+Input!$M$19+Input!$N$19+Input!$O$19),IF(Input!$G42=150,(X20+O48)*(Input!$O$19+Input!$N$19+Input!$M$19+Input!$L$19+Input!M21),(X20+O48)*(Input!$O$19+Input!$N$19+Input!$M$19+Input!$L$19+Input!$K$19+Input!$J$19)))))))</f>
        <v>518.2376447368422</v>
      </c>
      <c r="G48" s="33">
        <f>+IF(Input!$G42=0,0,IF(Input!$G42=30,(Y20+P48)*Input!$O$19,IF(Input!$G42=60,(Y20+P48)*(Input!$O$19+Input!$N$19),IF(Input!$G42=90,(Y20+P48)*(Input!$O$19+Input!$N$19+Input!$M$19),IF(Input!$G42=120,(Y20+P48)*(Input!$L$19+Input!$M$19+Input!$N$19+Input!$O$19),IF(Input!$G42=150,(Y20+P48)*(Input!$O$19+Input!$N$19+Input!$M$19+Input!$L$19+Input!N21),(Y20+P48)*(Input!$O$19+Input!$N$19+Input!$M$19+Input!$L$19+Input!$K$19+Input!$J$19)))))))</f>
        <v>549.5910222434212</v>
      </c>
      <c r="H48" s="33">
        <f>+IF(Input!$G42=0,0,IF(Input!$G42=30,(Z20+Q48)*Input!$O$19,IF(Input!$G42=60,(Z20+Q48)*(Input!$O$19+Input!$N$19),IF(Input!$G42=90,(Z20+Q48)*(Input!$O$19+Input!$N$19+Input!$M$19),IF(Input!$G42=120,(Z20+Q48)*(Input!$L$19+Input!$M$19+Input!$N$19+Input!$O$19),IF(Input!$G42=150,(Z20+Q48)*(Input!$O$19+Input!$N$19+Input!$M$19+Input!$L$19+Input!O21),(Z20+Q48)*(Input!$O$19+Input!$N$19+Input!$M$19+Input!$L$19+Input!$K$19+Input!$J$19)))))))</f>
        <v>582.8412790891481</v>
      </c>
      <c r="I48" s="15"/>
      <c r="K48" s="16"/>
      <c r="L48" s="17" t="str">
        <f t="shared" si="9"/>
        <v>Mp xSemifreddo</v>
      </c>
      <c r="M48" s="33">
        <f>+MCL!V20*Input!$E42</f>
        <v>789.4736842105264</v>
      </c>
      <c r="N48" s="33">
        <f>+MCL!W20*Input!$E42</f>
        <v>1196.0526315789477</v>
      </c>
      <c r="O48" s="33">
        <f>+MCL!X20*Input!$E42</f>
        <v>1570.4171052631582</v>
      </c>
      <c r="P48" s="33">
        <f>+MCL!Y20*Input!$E42</f>
        <v>1665.4273401315795</v>
      </c>
      <c r="Q48" s="33">
        <f>+MCL!Z20*Input!$E42</f>
        <v>1766.1856942095399</v>
      </c>
      <c r="R48" s="15"/>
      <c r="T48" s="16"/>
      <c r="U48" t="str">
        <f t="shared" si="10"/>
        <v>Mp xSemifreddo</v>
      </c>
      <c r="V48" s="33">
        <f>+M48*Input!$O$19</f>
        <v>23.68421052631579</v>
      </c>
      <c r="W48" s="33">
        <f>+N48*Input!$O$19</f>
        <v>35.88157894736843</v>
      </c>
      <c r="X48" s="33">
        <f>+O48*Input!$O$19</f>
        <v>47.112513157894746</v>
      </c>
      <c r="Y48" s="33">
        <f>+P48*Input!$O$19</f>
        <v>49.96282020394738</v>
      </c>
      <c r="Z48" s="33">
        <f>+Q48*Input!$O$19</f>
        <v>52.98557082628619</v>
      </c>
      <c r="AA48" s="15"/>
    </row>
    <row r="49" spans="2:27" ht="15">
      <c r="B49" s="16"/>
      <c r="C49" s="17" t="str">
        <f t="shared" si="8"/>
        <v>Mp xTorte</v>
      </c>
      <c r="D49" s="33">
        <f>+IF(Input!$G43=0,0,IF(Input!$G43=30,(V21+M49)*Input!$O$19,IF(Input!$G43=60,(V21+M49)*(Input!$O$19+Input!$N$19),IF(Input!$G43=90,(V21+M49)*(Input!$O$19+Input!$N$19+Input!$M$19),IF(Input!$G43=120,(V21+M49)*(Input!$L$19+Input!$M$19+Input!$N$19+Input!$O$19),IF(Input!$G43=150,(V21+M49)*(Input!$O$19+Input!$N$19+Input!$M$19+Input!$L$19+Input!K22),(V21+M49)*(Input!$O$19+Input!$N$19+Input!$M$19+Input!$L$19+Input!$K$19+Input!$J$19)))))))</f>
        <v>1302.6315789473686</v>
      </c>
      <c r="E49" s="33">
        <f>+IF(Input!$G43=0,0,IF(Input!$G43=30,(W21+N49)*Input!$O$19,IF(Input!$G43=60,(W21+N49)*(Input!$O$19+Input!$N$19),IF(Input!$G43=90,(W21+N49)*(Input!$O$19+Input!$N$19+Input!$M$19),IF(Input!$G43=120,(W21+N49)*(Input!$L$19+Input!$M$19+Input!$N$19+Input!$O$19),IF(Input!$G43=150,(W21+N49)*(Input!$O$19+Input!$N$19+Input!$M$19+Input!$L$19+Input!L22),(W21+N49)*(Input!$O$19+Input!$N$19+Input!$M$19+Input!$L$19+Input!$K$19+Input!$J$19)))))))</f>
        <v>1973.4868421052631</v>
      </c>
      <c r="F49" s="33">
        <f>+IF(Input!$G43=0,0,IF(Input!$G43=30,(X21+O49)*Input!$O$19,IF(Input!$G43=60,(X21+O49)*(Input!$O$19+Input!$N$19),IF(Input!$G43=90,(X21+O49)*(Input!$O$19+Input!$N$19+Input!$M$19),IF(Input!$G43=120,(X21+O49)*(Input!$L$19+Input!$M$19+Input!$N$19+Input!$O$19),IF(Input!$G43=150,(X21+O49)*(Input!$O$19+Input!$N$19+Input!$M$19+Input!$L$19+Input!M22),(X21+O49)*(Input!$O$19+Input!$N$19+Input!$M$19+Input!$L$19+Input!$K$19+Input!$J$19)))))))</f>
        <v>2591.1882236842102</v>
      </c>
      <c r="G49" s="33">
        <f>+IF(Input!$G43=0,0,IF(Input!$G43=30,(Y21+P49)*Input!$O$19,IF(Input!$G43=60,(Y21+P49)*(Input!$O$19+Input!$N$19),IF(Input!$G43=90,(Y21+P49)*(Input!$O$19+Input!$N$19+Input!$M$19),IF(Input!$G43=120,(Y21+P49)*(Input!$L$19+Input!$M$19+Input!$N$19+Input!$O$19),IF(Input!$G43=150,(Y21+P49)*(Input!$O$19+Input!$N$19+Input!$M$19+Input!$L$19+Input!N22),(Y21+P49)*(Input!$O$19+Input!$N$19+Input!$M$19+Input!$L$19+Input!$K$19+Input!$J$19)))))))</f>
        <v>2747.9551112171052</v>
      </c>
      <c r="H49" s="33">
        <f>+IF(Input!$G43=0,0,IF(Input!$G43=30,(Z21+Q49)*Input!$O$19,IF(Input!$G43=60,(Z21+Q49)*(Input!$O$19+Input!$N$19),IF(Input!$G43=90,(Z21+Q49)*(Input!$O$19+Input!$N$19+Input!$M$19),IF(Input!$G43=120,(Z21+Q49)*(Input!$L$19+Input!$M$19+Input!$N$19+Input!$O$19),IF(Input!$G43=150,(Z21+Q49)*(Input!$O$19+Input!$N$19+Input!$M$19+Input!$L$19+Input!O22),(Z21+Q49)*(Input!$O$19+Input!$N$19+Input!$M$19+Input!$L$19+Input!$K$19+Input!$J$19)))))))</f>
        <v>2914.20639544574</v>
      </c>
      <c r="I49" s="15"/>
      <c r="K49" s="16"/>
      <c r="L49" s="17" t="str">
        <f t="shared" si="9"/>
        <v>Mp xTorte</v>
      </c>
      <c r="M49" s="33">
        <f>+MCL!V21*Input!$E43</f>
        <v>3947.368421052632</v>
      </c>
      <c r="N49" s="33">
        <f>+MCL!W21*Input!$E43</f>
        <v>5980.263157894738</v>
      </c>
      <c r="O49" s="33">
        <f>+MCL!X21*Input!$E43</f>
        <v>7852.08552631579</v>
      </c>
      <c r="P49" s="33">
        <f>+MCL!Y21*Input!$E43</f>
        <v>8327.136700657895</v>
      </c>
      <c r="Q49" s="33">
        <f>+MCL!Z21*Input!$E43</f>
        <v>8830.928471047699</v>
      </c>
      <c r="R49" s="15"/>
      <c r="T49" s="16"/>
      <c r="U49" t="str">
        <f t="shared" si="10"/>
        <v>Mp xTorte</v>
      </c>
      <c r="V49" s="33">
        <f>+M49*Input!$O$19</f>
        <v>118.42105263157896</v>
      </c>
      <c r="W49" s="33">
        <f>+N49*Input!$O$19</f>
        <v>179.4078947368421</v>
      </c>
      <c r="X49" s="33">
        <f>+O49*Input!$O$19</f>
        <v>235.5625657894737</v>
      </c>
      <c r="Y49" s="33">
        <f>+P49*Input!$O$19</f>
        <v>249.81410101973682</v>
      </c>
      <c r="Z49" s="33">
        <f>+Q49*Input!$O$19</f>
        <v>264.92785413143093</v>
      </c>
      <c r="AA49" s="15"/>
    </row>
    <row r="50" spans="2:27" ht="15">
      <c r="B50" s="16"/>
      <c r="C50" s="17" t="str">
        <f t="shared" si="8"/>
        <v>Mp xBibite</v>
      </c>
      <c r="D50" s="33">
        <f>+IF(Input!$G44=0,0,IF(Input!$G44=30,(V22+M50)*Input!$O$19,IF(Input!$G44=60,(V22+M50)*(Input!$O$19+Input!$N$19),IF(Input!$G44=90,(V22+M50)*(Input!$O$19+Input!$N$19+Input!$M$19),IF(Input!$G44=120,(V22+M50)*(Input!$L$19+Input!$M$19+Input!$N$19+Input!$O$19),IF(Input!$G44=150,(V22+M50)*(Input!$O$19+Input!$N$19+Input!$M$19+Input!$L$19+Input!K23),(V22+M50)*(Input!$O$19+Input!$N$19+Input!$M$19+Input!$L$19+Input!$K$19+Input!$J$19)))))))</f>
        <v>0</v>
      </c>
      <c r="E50" s="33">
        <f>+IF(Input!$G44=0,0,IF(Input!$G44=30,(W22+N50)*Input!$O$19,IF(Input!$G44=60,(W22+N50)*(Input!$O$19+Input!$N$19),IF(Input!$G44=90,(W22+N50)*(Input!$O$19+Input!$N$19+Input!$M$19),IF(Input!$G44=120,(W22+N50)*(Input!$L$19+Input!$M$19+Input!$N$19+Input!$O$19),IF(Input!$G44=150,(W22+N50)*(Input!$O$19+Input!$N$19+Input!$M$19+Input!$L$19+Input!L23),(W22+N50)*(Input!$O$19+Input!$N$19+Input!$M$19+Input!$L$19+Input!$K$19+Input!$J$19)))))))</f>
        <v>0</v>
      </c>
      <c r="F50" s="33">
        <f>+IF(Input!$G44=0,0,IF(Input!$G44=30,(X22+O50)*Input!$O$19,IF(Input!$G44=60,(X22+O50)*(Input!$O$19+Input!$N$19),IF(Input!$G44=90,(X22+O50)*(Input!$O$19+Input!$N$19+Input!$M$19),IF(Input!$G44=120,(X22+O50)*(Input!$L$19+Input!$M$19+Input!$N$19+Input!$O$19),IF(Input!$G44=150,(X22+O50)*(Input!$O$19+Input!$N$19+Input!$M$19+Input!$L$19+Input!M23),(X22+O50)*(Input!$O$19+Input!$N$19+Input!$M$19+Input!$L$19+Input!$K$19+Input!$J$19)))))))</f>
        <v>0</v>
      </c>
      <c r="G50" s="33">
        <f>+IF(Input!$G44=0,0,IF(Input!$G44=30,(Y22+P50)*Input!$O$19,IF(Input!$G44=60,(Y22+P50)*(Input!$O$19+Input!$N$19),IF(Input!$G44=90,(Y22+P50)*(Input!$O$19+Input!$N$19+Input!$M$19),IF(Input!$G44=120,(Y22+P50)*(Input!$L$19+Input!$M$19+Input!$N$19+Input!$O$19),IF(Input!$G44=150,(Y22+P50)*(Input!$O$19+Input!$N$19+Input!$M$19+Input!$L$19+Input!N23),(Y22+P50)*(Input!$O$19+Input!$N$19+Input!$M$19+Input!$L$19+Input!$K$19+Input!$J$19)))))))</f>
        <v>0</v>
      </c>
      <c r="H50" s="33">
        <f>+IF(Input!$G44=0,0,IF(Input!$G44=30,(Z22+Q50)*Input!$O$19,IF(Input!$G44=60,(Z22+Q50)*(Input!$O$19+Input!$N$19),IF(Input!$G44=90,(Z22+Q50)*(Input!$O$19+Input!$N$19+Input!$M$19),IF(Input!$G44=120,(Z22+Q50)*(Input!$L$19+Input!$M$19+Input!$N$19+Input!$O$19),IF(Input!$G44=150,(Z22+Q50)*(Input!$O$19+Input!$N$19+Input!$M$19+Input!$L$19+Input!O23),(Z22+Q50)*(Input!$O$19+Input!$N$19+Input!$M$19+Input!$L$19+Input!$K$19+Input!$J$19)))))))</f>
        <v>0</v>
      </c>
      <c r="I50" s="15"/>
      <c r="K50" s="16"/>
      <c r="L50" s="17" t="str">
        <f t="shared" si="9"/>
        <v>Mp xBibite</v>
      </c>
      <c r="M50" s="33">
        <f>+MCL!V22*Input!$E44</f>
        <v>0</v>
      </c>
      <c r="N50" s="33">
        <f>+MCL!W22*Input!$E44</f>
        <v>0</v>
      </c>
      <c r="O50" s="33">
        <f>+MCL!X22*Input!$E44</f>
        <v>0</v>
      </c>
      <c r="P50" s="33">
        <f>+MCL!Y22*Input!$E44</f>
        <v>0</v>
      </c>
      <c r="Q50" s="33">
        <f>+MCL!Z22*Input!$E44</f>
        <v>0</v>
      </c>
      <c r="R50" s="15"/>
      <c r="T50" s="16"/>
      <c r="U50" t="str">
        <f t="shared" si="10"/>
        <v>Mp xBibite</v>
      </c>
      <c r="V50" s="33">
        <f>+M50*Input!$O$19</f>
        <v>0</v>
      </c>
      <c r="W50" s="33">
        <f>+N50*Input!$O$19</f>
        <v>0</v>
      </c>
      <c r="X50" s="33">
        <f>+O50*Input!$O$19</f>
        <v>0</v>
      </c>
      <c r="Y50" s="33">
        <f>+P50*Input!$O$19</f>
        <v>0</v>
      </c>
      <c r="Z50" s="33">
        <f>+Q50*Input!$O$19</f>
        <v>0</v>
      </c>
      <c r="AA50" s="15"/>
    </row>
    <row r="51" spans="2:27" ht="15">
      <c r="B51" s="16"/>
      <c r="C51" s="17" t="str">
        <f t="shared" si="8"/>
        <v>Mp xVarie</v>
      </c>
      <c r="D51" s="33">
        <f>+IF(Input!$G45=0,0,IF(Input!$G45=30,(V23+M51)*Input!$O$19,IF(Input!$G45=60,(V23+M51)*(Input!$O$19+Input!$N$19),IF(Input!$G45=90,(V23+M51)*(Input!$O$19+Input!$N$19+Input!$M$19),IF(Input!$G45=120,(V23+M51)*(Input!$L$19+Input!$M$19+Input!$N$19+Input!$O$19),IF(Input!$G45=150,(V23+M51)*(Input!$O$19+Input!$N$19+Input!$M$19+Input!$L$19+Input!K24),(V23+M51)*(Input!$O$19+Input!$N$19+Input!$M$19+Input!$L$19+Input!$K$19+Input!$J$19)))))))</f>
        <v>0</v>
      </c>
      <c r="E51" s="33">
        <f>+IF(Input!$G45=0,0,IF(Input!$G45=30,(W23+N51)*Input!$O$19,IF(Input!$G45=60,(W23+N51)*(Input!$O$19+Input!$N$19),IF(Input!$G45=90,(W23+N51)*(Input!$O$19+Input!$N$19+Input!$M$19),IF(Input!$G45=120,(W23+N51)*(Input!$L$19+Input!$M$19+Input!$N$19+Input!$O$19),IF(Input!$G45=150,(W23+N51)*(Input!$O$19+Input!$N$19+Input!$M$19+Input!$L$19+Input!L24),(W23+N51)*(Input!$O$19+Input!$N$19+Input!$M$19+Input!$L$19+Input!$K$19+Input!$J$19)))))))</f>
        <v>0</v>
      </c>
      <c r="F51" s="33">
        <f>+IF(Input!$G45=0,0,IF(Input!$G45=30,(X23+O51)*Input!$O$19,IF(Input!$G45=60,(X23+O51)*(Input!$O$19+Input!$N$19),IF(Input!$G45=90,(X23+O51)*(Input!$O$19+Input!$N$19+Input!$M$19),IF(Input!$G45=120,(X23+O51)*(Input!$L$19+Input!$M$19+Input!$N$19+Input!$O$19),IF(Input!$G45=150,(X23+O51)*(Input!$O$19+Input!$N$19+Input!$M$19+Input!$L$19+Input!M24),(X23+O51)*(Input!$O$19+Input!$N$19+Input!$M$19+Input!$L$19+Input!$K$19+Input!$J$19)))))))</f>
        <v>0</v>
      </c>
      <c r="G51" s="33">
        <f>+IF(Input!$G45=0,0,IF(Input!$G45=30,(Y23+P51)*Input!$O$19,IF(Input!$G45=60,(Y23+P51)*(Input!$O$19+Input!$N$19),IF(Input!$G45=90,(Y23+P51)*(Input!$O$19+Input!$N$19+Input!$M$19),IF(Input!$G45=120,(Y23+P51)*(Input!$L$19+Input!$M$19+Input!$N$19+Input!$O$19),IF(Input!$G45=150,(Y23+P51)*(Input!$O$19+Input!$N$19+Input!$M$19+Input!$L$19+Input!N24),(Y23+P51)*(Input!$O$19+Input!$N$19+Input!$M$19+Input!$L$19+Input!$K$19+Input!$J$19)))))))</f>
        <v>0</v>
      </c>
      <c r="H51" s="33">
        <f>+IF(Input!$G45=0,0,IF(Input!$G45=30,(Z23+Q51)*Input!$O$19,IF(Input!$G45=60,(Z23+Q51)*(Input!$O$19+Input!$N$19),IF(Input!$G45=90,(Z23+Q51)*(Input!$O$19+Input!$N$19+Input!$M$19),IF(Input!$G45=120,(Z23+Q51)*(Input!$L$19+Input!$M$19+Input!$N$19+Input!$O$19),IF(Input!$G45=150,(Z23+Q51)*(Input!$O$19+Input!$N$19+Input!$M$19+Input!$L$19+Input!O24),(Z23+Q51)*(Input!$O$19+Input!$N$19+Input!$M$19+Input!$L$19+Input!$K$19+Input!$J$19)))))))</f>
        <v>0</v>
      </c>
      <c r="I51" s="15"/>
      <c r="K51" s="16"/>
      <c r="L51" s="17" t="str">
        <f t="shared" si="9"/>
        <v>Mp xVarie</v>
      </c>
      <c r="M51" s="33">
        <f>+MCL!V23*Input!$E45</f>
        <v>0</v>
      </c>
      <c r="N51" s="33">
        <f>+MCL!W23*Input!$E45</f>
        <v>0</v>
      </c>
      <c r="O51" s="33">
        <f>+MCL!X23*Input!$E45</f>
        <v>0</v>
      </c>
      <c r="P51" s="33">
        <f>+MCL!Y23*Input!$E45</f>
        <v>0</v>
      </c>
      <c r="Q51" s="33">
        <f>+MCL!Z23*Input!$E45</f>
        <v>0</v>
      </c>
      <c r="R51" s="15"/>
      <c r="T51" s="16"/>
      <c r="U51" t="str">
        <f t="shared" si="10"/>
        <v>Mp xVarie</v>
      </c>
      <c r="V51" s="33">
        <f>+M51*Input!$O$19</f>
        <v>0</v>
      </c>
      <c r="W51" s="33">
        <f>+N51*Input!$O$19</f>
        <v>0</v>
      </c>
      <c r="X51" s="33">
        <f>+O51*Input!$O$19</f>
        <v>0</v>
      </c>
      <c r="Y51" s="33">
        <f>+P51*Input!$O$19</f>
        <v>0</v>
      </c>
      <c r="Z51" s="33">
        <f>+Q51*Input!$O$19</f>
        <v>0</v>
      </c>
      <c r="AA51" s="15"/>
    </row>
    <row r="52" spans="2:27" ht="15">
      <c r="B52" s="16"/>
      <c r="C52" s="17" t="str">
        <f t="shared" si="8"/>
        <v>Mp xBibite</v>
      </c>
      <c r="D52" s="33">
        <f>+IF(Input!$G46=0,0,IF(Input!$G46=30,(V24+M52)*Input!$O$19,IF(Input!$G46=60,(V24+M52)*(Input!$O$19+Input!$N$19),IF(Input!$G46=90,(V24+M52)*(Input!$O$19+Input!$N$19+Input!$M$19),IF(Input!$G46=120,(V24+M52)*(Input!$L$19+Input!$M$19+Input!$N$19+Input!$O$19),IF(Input!$G46=150,(V24+M52)*(Input!$O$19+Input!$N$19+Input!$M$19+Input!$L$19+Input!K25),(V24+M52)*(Input!$O$19+Input!$N$19+Input!$M$19+Input!$L$19+Input!$K$19+Input!$J$19)))))))</f>
        <v>0</v>
      </c>
      <c r="E52" s="33">
        <f>+IF(Input!$G46=0,0,IF(Input!$G46=30,(W24+N52)*Input!$O$19,IF(Input!$G46=60,(W24+N52)*(Input!$O$19+Input!$N$19),IF(Input!$G46=90,(W24+N52)*(Input!$O$19+Input!$N$19+Input!$M$19),IF(Input!$G46=120,(W24+N52)*(Input!$L$19+Input!$M$19+Input!$N$19+Input!$O$19),IF(Input!$G46=150,(W24+N52)*(Input!$O$19+Input!$N$19+Input!$M$19+Input!$L$19+Input!L25),(W24+N52)*(Input!$O$19+Input!$N$19+Input!$M$19+Input!$L$19+Input!$K$19+Input!$J$19)))))))</f>
        <v>0</v>
      </c>
      <c r="F52" s="33">
        <f>+IF(Input!$G46=0,0,IF(Input!$G46=30,(X24+O52)*Input!$O$19,IF(Input!$G46=60,(X24+O52)*(Input!$O$19+Input!$N$19),IF(Input!$G46=90,(X24+O52)*(Input!$O$19+Input!$N$19+Input!$M$19),IF(Input!$G46=120,(X24+O52)*(Input!$L$19+Input!$M$19+Input!$N$19+Input!$O$19),IF(Input!$G46=150,(X24+O52)*(Input!$O$19+Input!$N$19+Input!$M$19+Input!$L$19+Input!M25),(X24+O52)*(Input!$O$19+Input!$N$19+Input!$M$19+Input!$L$19+Input!$K$19+Input!$J$19)))))))</f>
        <v>0</v>
      </c>
      <c r="G52" s="33">
        <f>+IF(Input!$G46=0,0,IF(Input!$G46=30,(Y24+P52)*Input!$O$19,IF(Input!$G46=60,(Y24+P52)*(Input!$O$19+Input!$N$19),IF(Input!$G46=90,(Y24+P52)*(Input!$O$19+Input!$N$19+Input!$M$19),IF(Input!$G46=120,(Y24+P52)*(Input!$L$19+Input!$M$19+Input!$N$19+Input!$O$19),IF(Input!$G46=150,(Y24+P52)*(Input!$O$19+Input!$N$19+Input!$M$19+Input!$L$19+Input!N25),(Y24+P52)*(Input!$O$19+Input!$N$19+Input!$M$19+Input!$L$19+Input!$K$19+Input!$J$19)))))))</f>
        <v>0</v>
      </c>
      <c r="H52" s="33">
        <f>+IF(Input!$G46=0,0,IF(Input!$G46=30,(Z24+Q52)*Input!$O$19,IF(Input!$G46=60,(Z24+Q52)*(Input!$O$19+Input!$N$19),IF(Input!$G46=90,(Z24+Q52)*(Input!$O$19+Input!$N$19+Input!$M$19),IF(Input!$G46=120,(Z24+Q52)*(Input!$L$19+Input!$M$19+Input!$N$19+Input!$O$19),IF(Input!$G46=150,(Z24+Q52)*(Input!$O$19+Input!$N$19+Input!$M$19+Input!$L$19+Input!O25),(Z24+Q52)*(Input!$O$19+Input!$N$19+Input!$M$19+Input!$L$19+Input!$K$19+Input!$J$19)))))))</f>
        <v>0</v>
      </c>
      <c r="I52" s="15"/>
      <c r="K52" s="16"/>
      <c r="L52" s="17" t="str">
        <f t="shared" si="9"/>
        <v>Mp xBibite</v>
      </c>
      <c r="M52" s="33">
        <f>+MCL!V24*Input!$E46</f>
        <v>0</v>
      </c>
      <c r="N52" s="33">
        <f>+MCL!W24*Input!$E46</f>
        <v>0</v>
      </c>
      <c r="O52" s="33">
        <f>+MCL!X24*Input!$E46</f>
        <v>0</v>
      </c>
      <c r="P52" s="33">
        <f>+MCL!Y24*Input!$E46</f>
        <v>0</v>
      </c>
      <c r="Q52" s="33">
        <f>+MCL!Z24*Input!$E46</f>
        <v>0</v>
      </c>
      <c r="R52" s="15"/>
      <c r="T52" s="16"/>
      <c r="U52" t="str">
        <f t="shared" si="10"/>
        <v>Mp xBibite</v>
      </c>
      <c r="V52" s="33">
        <f>+M52*Input!$O$19</f>
        <v>0</v>
      </c>
      <c r="W52" s="33">
        <f>+N52*Input!$O$19</f>
        <v>0</v>
      </c>
      <c r="X52" s="33">
        <f>+O52*Input!$O$19</f>
        <v>0</v>
      </c>
      <c r="Y52" s="33">
        <f>+P52*Input!$O$19</f>
        <v>0</v>
      </c>
      <c r="Z52" s="33">
        <f>+Q52*Input!$O$19</f>
        <v>0</v>
      </c>
      <c r="AA52" s="15"/>
    </row>
    <row r="53" spans="2:27" ht="15">
      <c r="B53" s="16"/>
      <c r="C53" s="17" t="str">
        <f t="shared" si="8"/>
        <v>Mp xProdotto 8</v>
      </c>
      <c r="D53" s="33">
        <f>+IF(Input!$G47=0,0,IF(Input!$G47=30,(V25+M53)*Input!$O$19,IF(Input!$G47=60,(V25+M53)*(Input!$O$19+Input!$N$19),IF(Input!$G47=90,(V25+M53)*(Input!$O$19+Input!$N$19+Input!$M$19),IF(Input!$G47=120,(V25+M53)*(Input!$L$19+Input!$M$19+Input!$N$19+Input!$O$19),IF(Input!$G47=150,(V25+M53)*(Input!$O$19+Input!$N$19+Input!$M$19+Input!$L$19+Input!K26),(V25+M53)*(Input!$O$19+Input!$N$19+Input!$M$19+Input!$L$19+Input!$K$19+Input!$J$19)))))))</f>
        <v>0</v>
      </c>
      <c r="E53" s="33">
        <f>+IF(Input!$G47=0,0,IF(Input!$G47=30,(W25+N53)*Input!$O$19,IF(Input!$G47=60,(W25+N53)*(Input!$O$19+Input!$N$19),IF(Input!$G47=90,(W25+N53)*(Input!$O$19+Input!$N$19+Input!$M$19),IF(Input!$G47=120,(W25+N53)*(Input!$L$19+Input!$M$19+Input!$N$19+Input!$O$19),IF(Input!$G47=150,(W25+N53)*(Input!$O$19+Input!$N$19+Input!$M$19+Input!$L$19+Input!L26),(W25+N53)*(Input!$O$19+Input!$N$19+Input!$M$19+Input!$L$19+Input!$K$19+Input!$J$19)))))))</f>
        <v>0</v>
      </c>
      <c r="F53" s="33">
        <f>+IF(Input!$G47=0,0,IF(Input!$G47=30,(X25+O53)*Input!$O$19,IF(Input!$G47=60,(X25+O53)*(Input!$O$19+Input!$N$19),IF(Input!$G47=90,(X25+O53)*(Input!$O$19+Input!$N$19+Input!$M$19),IF(Input!$G47=120,(X25+O53)*(Input!$L$19+Input!$M$19+Input!$N$19+Input!$O$19),IF(Input!$G47=150,(X25+O53)*(Input!$O$19+Input!$N$19+Input!$M$19+Input!$L$19+Input!M26),(X25+O53)*(Input!$O$19+Input!$N$19+Input!$M$19+Input!$L$19+Input!$K$19+Input!$J$19)))))))</f>
        <v>0</v>
      </c>
      <c r="G53" s="33">
        <f>+IF(Input!$G47=0,0,IF(Input!$G47=30,(Y25+P53)*Input!$O$19,IF(Input!$G47=60,(Y25+P53)*(Input!$O$19+Input!$N$19),IF(Input!$G47=90,(Y25+P53)*(Input!$O$19+Input!$N$19+Input!$M$19),IF(Input!$G47=120,(Y25+P53)*(Input!$L$19+Input!$M$19+Input!$N$19+Input!$O$19),IF(Input!$G47=150,(Y25+P53)*(Input!$O$19+Input!$N$19+Input!$M$19+Input!$L$19+Input!N26),(Y25+P53)*(Input!$O$19+Input!$N$19+Input!$M$19+Input!$L$19+Input!$K$19+Input!$J$19)))))))</f>
        <v>0</v>
      </c>
      <c r="H53" s="33">
        <f>+IF(Input!$G47=0,0,IF(Input!$G47=30,(Z25+Q53)*Input!$O$19,IF(Input!$G47=60,(Z25+Q53)*(Input!$O$19+Input!$N$19),IF(Input!$G47=90,(Z25+Q53)*(Input!$O$19+Input!$N$19+Input!$M$19),IF(Input!$G47=120,(Z25+Q53)*(Input!$L$19+Input!$M$19+Input!$N$19+Input!$O$19),IF(Input!$G47=150,(Z25+Q53)*(Input!$O$19+Input!$N$19+Input!$M$19+Input!$L$19+Input!O26),(Z25+Q53)*(Input!$O$19+Input!$N$19+Input!$M$19+Input!$L$19+Input!$K$19+Input!$J$19)))))))</f>
        <v>0</v>
      </c>
      <c r="I53" s="15"/>
      <c r="K53" s="16"/>
      <c r="L53" s="17" t="str">
        <f t="shared" si="9"/>
        <v>Mp xProdotto 8</v>
      </c>
      <c r="M53" s="33">
        <f>+MCL!V25*Input!$E47</f>
        <v>0</v>
      </c>
      <c r="N53" s="33">
        <f>+MCL!W25*Input!$E47</f>
        <v>0</v>
      </c>
      <c r="O53" s="33">
        <f>+MCL!X25*Input!$E47</f>
        <v>0</v>
      </c>
      <c r="P53" s="33">
        <f>+MCL!Y25*Input!$E47</f>
        <v>0</v>
      </c>
      <c r="Q53" s="33">
        <f>+MCL!Z25*Input!$E47</f>
        <v>0</v>
      </c>
      <c r="R53" s="15"/>
      <c r="T53" s="16"/>
      <c r="U53" t="str">
        <f t="shared" si="10"/>
        <v>Mp xProdotto 8</v>
      </c>
      <c r="V53" s="33">
        <f>+M53*Input!$O$19</f>
        <v>0</v>
      </c>
      <c r="W53" s="33">
        <f>+N53*Input!$O$19</f>
        <v>0</v>
      </c>
      <c r="X53" s="33">
        <f>+O53*Input!$O$19</f>
        <v>0</v>
      </c>
      <c r="Y53" s="33">
        <f>+P53*Input!$O$19</f>
        <v>0</v>
      </c>
      <c r="Z53" s="33">
        <f>+Q53*Input!$O$19</f>
        <v>0</v>
      </c>
      <c r="AA53" s="15"/>
    </row>
    <row r="54" spans="2:27" ht="15">
      <c r="B54" s="16"/>
      <c r="C54" s="17" t="str">
        <f t="shared" si="8"/>
        <v>Mp xProdotto 9</v>
      </c>
      <c r="D54" s="33">
        <f>+IF(Input!$G48=0,0,IF(Input!$G48=30,(V26+M54)*Input!$O$19,IF(Input!$G48=60,(V26+M54)*(Input!$O$19+Input!$N$19),IF(Input!$G48=90,(V26+M54)*(Input!$O$19+Input!$N$19+Input!$M$19),IF(Input!$G48=120,(V26+M54)*(Input!$L$19+Input!$M$19+Input!$N$19+Input!$O$19),IF(Input!$G48=150,(V26+M54)*(Input!$O$19+Input!$N$19+Input!$M$19+Input!$L$19+Input!K27),(V26+M54)*(Input!$O$19+Input!$N$19+Input!$M$19+Input!$L$19+Input!$K$19+Input!$J$19)))))))</f>
        <v>0</v>
      </c>
      <c r="E54" s="33">
        <f>+IF(Input!$G48=0,0,IF(Input!$G48=30,(W26+N54)*Input!$O$19,IF(Input!$G48=60,(W26+N54)*(Input!$O$19+Input!$N$19),IF(Input!$G48=90,(W26+N54)*(Input!$O$19+Input!$N$19+Input!$M$19),IF(Input!$G48=120,(W26+N54)*(Input!$L$19+Input!$M$19+Input!$N$19+Input!$O$19),IF(Input!$G48=150,(W26+N54)*(Input!$O$19+Input!$N$19+Input!$M$19+Input!$L$19+Input!L27),(W26+N54)*(Input!$O$19+Input!$N$19+Input!$M$19+Input!$L$19+Input!$K$19+Input!$J$19)))))))</f>
        <v>0</v>
      </c>
      <c r="F54" s="33">
        <f>+IF(Input!$G48=0,0,IF(Input!$G48=30,(X26+O54)*Input!$O$19,IF(Input!$G48=60,(X26+O54)*(Input!$O$19+Input!$N$19),IF(Input!$G48=90,(X26+O54)*(Input!$O$19+Input!$N$19+Input!$M$19),IF(Input!$G48=120,(X26+O54)*(Input!$L$19+Input!$M$19+Input!$N$19+Input!$O$19),IF(Input!$G48=150,(X26+O54)*(Input!$O$19+Input!$N$19+Input!$M$19+Input!$L$19+Input!M27),(X26+O54)*(Input!$O$19+Input!$N$19+Input!$M$19+Input!$L$19+Input!$K$19+Input!$J$19)))))))</f>
        <v>0</v>
      </c>
      <c r="G54" s="33">
        <f>+IF(Input!$G48=0,0,IF(Input!$G48=30,(Y26+P54)*Input!$O$19,IF(Input!$G48=60,(Y26+P54)*(Input!$O$19+Input!$N$19),IF(Input!$G48=90,(Y26+P54)*(Input!$O$19+Input!$N$19+Input!$M$19),IF(Input!$G48=120,(Y26+P54)*(Input!$L$19+Input!$M$19+Input!$N$19+Input!$O$19),IF(Input!$G48=150,(Y26+P54)*(Input!$O$19+Input!$N$19+Input!$M$19+Input!$L$19+Input!N27),(Y26+P54)*(Input!$O$19+Input!$N$19+Input!$M$19+Input!$L$19+Input!$K$19+Input!$J$19)))))))</f>
        <v>0</v>
      </c>
      <c r="H54" s="33">
        <f>+IF(Input!$G48=0,0,IF(Input!$G48=30,(Z26+Q54)*Input!$O$19,IF(Input!$G48=60,(Z26+Q54)*(Input!$O$19+Input!$N$19),IF(Input!$G48=90,(Z26+Q54)*(Input!$O$19+Input!$N$19+Input!$M$19),IF(Input!$G48=120,(Z26+Q54)*(Input!$L$19+Input!$M$19+Input!$N$19+Input!$O$19),IF(Input!$G48=150,(Z26+Q54)*(Input!$O$19+Input!$N$19+Input!$M$19+Input!$L$19+Input!O27),(Z26+Q54)*(Input!$O$19+Input!$N$19+Input!$M$19+Input!$L$19+Input!$K$19+Input!$J$19)))))))</f>
        <v>0</v>
      </c>
      <c r="I54" s="15"/>
      <c r="K54" s="16"/>
      <c r="L54" s="17" t="str">
        <f t="shared" si="9"/>
        <v>Mp xProdotto 9</v>
      </c>
      <c r="M54" s="33">
        <f>+MCL!V26*Input!$E48</f>
        <v>0</v>
      </c>
      <c r="N54" s="33">
        <f>+MCL!W26*Input!$E48</f>
        <v>0</v>
      </c>
      <c r="O54" s="33">
        <f>+MCL!X26*Input!$E48</f>
        <v>0</v>
      </c>
      <c r="P54" s="33">
        <f>+MCL!Y26*Input!$E48</f>
        <v>0</v>
      </c>
      <c r="Q54" s="33">
        <f>+MCL!Z26*Input!$E48</f>
        <v>0</v>
      </c>
      <c r="R54" s="15"/>
      <c r="T54" s="16"/>
      <c r="U54" t="str">
        <f t="shared" si="10"/>
        <v>Mp xProdotto 9</v>
      </c>
      <c r="V54" s="33">
        <f>+M54*Input!$O$19</f>
        <v>0</v>
      </c>
      <c r="W54" s="33">
        <f>+N54*Input!$O$19</f>
        <v>0</v>
      </c>
      <c r="X54" s="33">
        <f>+O54*Input!$O$19</f>
        <v>0</v>
      </c>
      <c r="Y54" s="33">
        <f>+P54*Input!$O$19</f>
        <v>0</v>
      </c>
      <c r="Z54" s="33">
        <f>+Q54*Input!$O$19</f>
        <v>0</v>
      </c>
      <c r="AA54" s="15"/>
    </row>
    <row r="55" spans="2:27" ht="15">
      <c r="B55" s="16"/>
      <c r="C55" s="12" t="s">
        <v>32</v>
      </c>
      <c r="D55" s="34">
        <f>SUM(D46:D54)</f>
        <v>2692.105263157895</v>
      </c>
      <c r="E55" s="34">
        <f>SUM(E46:E54)</f>
        <v>4078.539473684211</v>
      </c>
      <c r="F55" s="34">
        <f>SUM(F46:F54)</f>
        <v>5355.122328947368</v>
      </c>
      <c r="G55" s="34">
        <f>SUM(G46:G54)</f>
        <v>5679.107229848685</v>
      </c>
      <c r="H55" s="34">
        <f>SUM(H46:H54)</f>
        <v>6022.693217254529</v>
      </c>
      <c r="I55" s="15"/>
      <c r="K55" s="16"/>
      <c r="L55" s="12" t="s">
        <v>31</v>
      </c>
      <c r="M55" s="34">
        <f>SUM(M46:M54)</f>
        <v>8157.894736842107</v>
      </c>
      <c r="N55" s="34">
        <f>SUM(N46:N54)</f>
        <v>12359.21052631579</v>
      </c>
      <c r="O55" s="34">
        <f>SUM(O46:O54)</f>
        <v>16227.643421052633</v>
      </c>
      <c r="P55" s="34">
        <f>SUM(P46:P54)</f>
        <v>17209.415848026318</v>
      </c>
      <c r="Q55" s="34">
        <f>SUM(Q46:Q54)</f>
        <v>18250.58550683191</v>
      </c>
      <c r="R55" s="15"/>
      <c r="T55" s="16"/>
      <c r="U55" s="12" t="str">
        <f>+L55</f>
        <v>TOTALE Iva a Credito</v>
      </c>
      <c r="V55" s="34">
        <f>SUM(V46:V54)</f>
        <v>244.73684210526318</v>
      </c>
      <c r="W55" s="34">
        <f>SUM(W46:W54)</f>
        <v>370.77631578947376</v>
      </c>
      <c r="X55" s="34">
        <f>SUM(X46:X54)</f>
        <v>486.82930263157897</v>
      </c>
      <c r="Y55" s="34">
        <f>SUM(Y46:Y54)</f>
        <v>516.2824754407895</v>
      </c>
      <c r="Z55" s="34">
        <f>SUM(Z46:Z54)</f>
        <v>547.5175652049572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41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43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xGelato (cono/coppetta)</v>
      </c>
      <c r="D60" s="33">
        <f>+D4+MCL!M32-MCL!D32</f>
        <v>60500</v>
      </c>
      <c r="E60" s="33">
        <f>+E4+MCL!N32-MCL!E32+D32</f>
        <v>91657.5</v>
      </c>
      <c r="F60" s="33">
        <f>+F4+MCL!O32-MCL!F32+E32</f>
        <v>120346.2975</v>
      </c>
      <c r="G60" s="33">
        <f>+G4+MCL!P32-MCL!G32+F32</f>
        <v>127627.24849875</v>
      </c>
      <c r="H60" s="33">
        <f>+H4+MCL!Q32-MCL!H32+G32</f>
        <v>135348.6970329244</v>
      </c>
      <c r="I60" s="15"/>
      <c r="K60" s="16"/>
      <c r="L60" s="17" t="str">
        <f>+L46</f>
        <v>Mp xGelato (cono/coppetta)</v>
      </c>
      <c r="M60" s="33">
        <f>+V18+M46-D46</f>
        <v>28078.94736842105</v>
      </c>
      <c r="N60" s="33">
        <f>+W18+N46-E46+D46</f>
        <v>43408.02631578948</v>
      </c>
      <c r="O60" s="33">
        <f aca="true" t="shared" si="11" ref="O60:Q68">+X18+O46-F46+E46</f>
        <v>57170.15960526316</v>
      </c>
      <c r="P60" s="33">
        <f t="shared" si="11"/>
        <v>60961.157879802646</v>
      </c>
      <c r="Q60" s="33">
        <f t="shared" si="11"/>
        <v>64649.3079315307</v>
      </c>
      <c r="R60" s="15"/>
    </row>
    <row r="61" spans="2:18" ht="15">
      <c r="B61" s="16"/>
      <c r="C61" s="17" t="str">
        <f aca="true" t="shared" si="12" ref="C61:C68">+C47</f>
        <v>Mp xFrullati</v>
      </c>
      <c r="D61" s="33">
        <f>+D5+MCL!M33-MCL!D33</f>
        <v>18150</v>
      </c>
      <c r="E61" s="33">
        <f>+E5+MCL!N33-MCL!E33+D33</f>
        <v>27497.250000000004</v>
      </c>
      <c r="F61" s="33">
        <f>+F5+MCL!O33-MCL!F33+E33</f>
        <v>36103.88925</v>
      </c>
      <c r="G61" s="33">
        <f>+G5+MCL!P33-MCL!G33+F33</f>
        <v>38288.174549625</v>
      </c>
      <c r="H61" s="33">
        <f>+H5+MCL!Q33-MCL!H33+G33</f>
        <v>40604.60910987732</v>
      </c>
      <c r="I61" s="15"/>
      <c r="K61" s="16"/>
      <c r="L61" s="17" t="str">
        <f aca="true" t="shared" si="13" ref="L61:L68">+L47</f>
        <v>Mp xFrullati</v>
      </c>
      <c r="M61" s="33">
        <f aca="true" t="shared" si="14" ref="M61:M68">+V19+M47-D47</f>
        <v>8423.684210526317</v>
      </c>
      <c r="N61" s="33">
        <f aca="true" t="shared" si="15" ref="N61:N68">+W19+N47-E47+D47</f>
        <v>13022.407894736845</v>
      </c>
      <c r="O61" s="33">
        <f t="shared" si="11"/>
        <v>17151.047881578954</v>
      </c>
      <c r="P61" s="33">
        <f t="shared" si="11"/>
        <v>18288.347363940793</v>
      </c>
      <c r="Q61" s="33">
        <f t="shared" si="11"/>
        <v>19394.79237945921</v>
      </c>
      <c r="R61" s="15"/>
    </row>
    <row r="62" spans="2:18" ht="15">
      <c r="B62" s="16"/>
      <c r="C62" s="17" t="str">
        <f t="shared" si="12"/>
        <v>Mp xSemifreddo</v>
      </c>
      <c r="D62" s="33">
        <f>+D6+MCL!M34-MCL!D34</f>
        <v>18150</v>
      </c>
      <c r="E62" s="33">
        <f>+E6+MCL!N34-MCL!E34+D34</f>
        <v>27497.250000000004</v>
      </c>
      <c r="F62" s="33">
        <f>+F6+MCL!O34-MCL!F34+E34</f>
        <v>36103.88925</v>
      </c>
      <c r="G62" s="33">
        <f>+G6+MCL!P34-MCL!G34+F34</f>
        <v>38288.174549625</v>
      </c>
      <c r="H62" s="33">
        <f>+H6+MCL!Q34-MCL!H34+G34</f>
        <v>40604.60910987732</v>
      </c>
      <c r="I62" s="15"/>
      <c r="K62" s="16"/>
      <c r="L62" s="17" t="str">
        <f t="shared" si="13"/>
        <v>Mp xSemifreddo</v>
      </c>
      <c r="M62" s="33">
        <f t="shared" si="14"/>
        <v>8423.684210526317</v>
      </c>
      <c r="N62" s="33">
        <f t="shared" si="15"/>
        <v>13022.407894736845</v>
      </c>
      <c r="O62" s="33">
        <f t="shared" si="11"/>
        <v>17151.047881578954</v>
      </c>
      <c r="P62" s="33">
        <f t="shared" si="11"/>
        <v>18288.347363940793</v>
      </c>
      <c r="Q62" s="33">
        <f t="shared" si="11"/>
        <v>19394.79237945921</v>
      </c>
      <c r="R62" s="15"/>
    </row>
    <row r="63" spans="2:18" ht="15">
      <c r="B63" s="16"/>
      <c r="C63" s="17" t="str">
        <f t="shared" si="12"/>
        <v>Mp xTorte</v>
      </c>
      <c r="D63" s="33">
        <f>+D7+MCL!M35-MCL!D35</f>
        <v>90750</v>
      </c>
      <c r="E63" s="33">
        <f>+E7+MCL!N35-MCL!E35+D35</f>
        <v>137486.25</v>
      </c>
      <c r="F63" s="33">
        <f>+F7+MCL!O35-MCL!F35+E35</f>
        <v>180519.44625</v>
      </c>
      <c r="G63" s="33">
        <f>+G7+MCL!P35-MCL!G35+F35</f>
        <v>191440.872748125</v>
      </c>
      <c r="H63" s="33">
        <f>+H7+MCL!Q35-MCL!H35+G35</f>
        <v>203023.0455493866</v>
      </c>
      <c r="I63" s="15"/>
      <c r="K63" s="16"/>
      <c r="L63" s="17" t="str">
        <f t="shared" si="13"/>
        <v>Mp xTorte</v>
      </c>
      <c r="M63" s="33">
        <f t="shared" si="14"/>
        <v>42118.42105263159</v>
      </c>
      <c r="N63" s="33">
        <f t="shared" si="15"/>
        <v>65112.03947368421</v>
      </c>
      <c r="O63" s="33">
        <f t="shared" si="11"/>
        <v>85755.23940789474</v>
      </c>
      <c r="P63" s="33">
        <f t="shared" si="11"/>
        <v>91441.73681970395</v>
      </c>
      <c r="Q63" s="33">
        <f t="shared" si="11"/>
        <v>96973.96189729603</v>
      </c>
      <c r="R63" s="15"/>
    </row>
    <row r="64" spans="2:18" ht="15">
      <c r="B64" s="16"/>
      <c r="C64" s="17" t="str">
        <f t="shared" si="12"/>
        <v>Mp xBibite</v>
      </c>
      <c r="D64" s="33">
        <f>+D8+MCL!M36-MCL!D36</f>
        <v>0</v>
      </c>
      <c r="E64" s="33">
        <f>+E8+MCL!N36-MCL!E36+D36</f>
        <v>0</v>
      </c>
      <c r="F64" s="33">
        <f>+F8+MCL!O36-MCL!F36+E36</f>
        <v>0</v>
      </c>
      <c r="G64" s="33">
        <f>+G8+MCL!P36-MCL!G36+F36</f>
        <v>0</v>
      </c>
      <c r="H64" s="33">
        <f>+H8+MCL!Q36-MCL!H36+G36</f>
        <v>0</v>
      </c>
      <c r="I64" s="15"/>
      <c r="K64" s="16"/>
      <c r="L64" s="17" t="str">
        <f t="shared" si="13"/>
        <v>Mp xBibite</v>
      </c>
      <c r="M64" s="33">
        <f t="shared" si="14"/>
        <v>0</v>
      </c>
      <c r="N64" s="33">
        <f t="shared" si="15"/>
        <v>0</v>
      </c>
      <c r="O64" s="33">
        <f t="shared" si="11"/>
        <v>0</v>
      </c>
      <c r="P64" s="33">
        <f t="shared" si="11"/>
        <v>0</v>
      </c>
      <c r="Q64" s="33">
        <f t="shared" si="11"/>
        <v>0</v>
      </c>
      <c r="R64" s="15"/>
    </row>
    <row r="65" spans="2:18" ht="15">
      <c r="B65" s="16"/>
      <c r="C65" s="17" t="str">
        <f t="shared" si="12"/>
        <v>Mp xVarie</v>
      </c>
      <c r="D65" s="33">
        <f>+D9+MCL!M37-MCL!D37</f>
        <v>0</v>
      </c>
      <c r="E65" s="33">
        <f>+E9+MCL!N37-MCL!E37+D37</f>
        <v>0</v>
      </c>
      <c r="F65" s="33">
        <f>+F9+MCL!O37-MCL!F37+E37</f>
        <v>0</v>
      </c>
      <c r="G65" s="33">
        <f>+G9+MCL!P37-MCL!G37+F37</f>
        <v>0</v>
      </c>
      <c r="H65" s="33">
        <f>+H9+MCL!Q37-MCL!H37+G37</f>
        <v>0</v>
      </c>
      <c r="I65" s="15"/>
      <c r="K65" s="16"/>
      <c r="L65" s="17" t="str">
        <f t="shared" si="13"/>
        <v>Mp xVarie</v>
      </c>
      <c r="M65" s="33">
        <f t="shared" si="14"/>
        <v>0</v>
      </c>
      <c r="N65" s="33">
        <f t="shared" si="15"/>
        <v>0</v>
      </c>
      <c r="O65" s="33">
        <f t="shared" si="11"/>
        <v>0</v>
      </c>
      <c r="P65" s="33">
        <f t="shared" si="11"/>
        <v>0</v>
      </c>
      <c r="Q65" s="33">
        <f t="shared" si="11"/>
        <v>0</v>
      </c>
      <c r="R65" s="15"/>
    </row>
    <row r="66" spans="2:18" ht="15">
      <c r="B66" s="16"/>
      <c r="C66" s="17" t="str">
        <f t="shared" si="12"/>
        <v>Mp xBibite</v>
      </c>
      <c r="D66" s="33">
        <f>+D10+MCL!M38-MCL!D38</f>
        <v>0</v>
      </c>
      <c r="E66" s="33">
        <f>+E10+MCL!N38-MCL!E38+D38</f>
        <v>0</v>
      </c>
      <c r="F66" s="33">
        <f>+F10+MCL!O38-MCL!F38+E38</f>
        <v>0</v>
      </c>
      <c r="G66" s="33">
        <f>+G10+MCL!P38-MCL!G38+F38</f>
        <v>0</v>
      </c>
      <c r="H66" s="33">
        <f>+H10+MCL!Q38-MCL!H38+G38</f>
        <v>0</v>
      </c>
      <c r="I66" s="15"/>
      <c r="K66" s="16"/>
      <c r="L66" s="17" t="str">
        <f t="shared" si="13"/>
        <v>Mp xBibite</v>
      </c>
      <c r="M66" s="33">
        <f t="shared" si="14"/>
        <v>0</v>
      </c>
      <c r="N66" s="33">
        <f t="shared" si="15"/>
        <v>0</v>
      </c>
      <c r="O66" s="33">
        <f t="shared" si="11"/>
        <v>0</v>
      </c>
      <c r="P66" s="33">
        <f t="shared" si="11"/>
        <v>0</v>
      </c>
      <c r="Q66" s="33">
        <f t="shared" si="11"/>
        <v>0</v>
      </c>
      <c r="R66" s="15"/>
    </row>
    <row r="67" spans="2:18" ht="15">
      <c r="B67" s="16"/>
      <c r="C67" s="17" t="str">
        <f t="shared" si="12"/>
        <v>Mp xProdotto 8</v>
      </c>
      <c r="D67" s="33">
        <f>+D11+MCL!M39-MCL!D39</f>
        <v>0</v>
      </c>
      <c r="E67" s="33">
        <f>+E11+MCL!N39-MCL!E39+D39</f>
        <v>0</v>
      </c>
      <c r="F67" s="33">
        <f>+F11+MCL!O39-MCL!F39+E39</f>
        <v>0</v>
      </c>
      <c r="G67" s="33">
        <f>+G11+MCL!P39-MCL!G39+F39</f>
        <v>0</v>
      </c>
      <c r="H67" s="33">
        <f>+H11+MCL!Q39-MCL!H39+G39</f>
        <v>0</v>
      </c>
      <c r="I67" s="15"/>
      <c r="K67" s="16"/>
      <c r="L67" s="17" t="str">
        <f t="shared" si="13"/>
        <v>Mp xProdotto 8</v>
      </c>
      <c r="M67" s="33">
        <f t="shared" si="14"/>
        <v>0</v>
      </c>
      <c r="N67" s="33">
        <f t="shared" si="15"/>
        <v>0</v>
      </c>
      <c r="O67" s="33">
        <f t="shared" si="11"/>
        <v>0</v>
      </c>
      <c r="P67" s="33">
        <f t="shared" si="11"/>
        <v>0</v>
      </c>
      <c r="Q67" s="33">
        <f t="shared" si="11"/>
        <v>0</v>
      </c>
      <c r="R67" s="15"/>
    </row>
    <row r="68" spans="2:18" ht="15">
      <c r="B68" s="16"/>
      <c r="C68" s="17" t="str">
        <f t="shared" si="12"/>
        <v>Mp xProdotto 9</v>
      </c>
      <c r="D68" s="33">
        <f>+D12+MCL!M40-MCL!D40</f>
        <v>0</v>
      </c>
      <c r="E68" s="33">
        <f>+E12+MCL!N40-MCL!E40+D40</f>
        <v>0</v>
      </c>
      <c r="F68" s="33">
        <f>+F12+MCL!O40-MCL!F40+E40</f>
        <v>0</v>
      </c>
      <c r="G68" s="33">
        <f>+G12+MCL!P40-MCL!G40+F40</f>
        <v>0</v>
      </c>
      <c r="H68" s="33">
        <f>+H12+MCL!Q40-MCL!H40+G40</f>
        <v>0</v>
      </c>
      <c r="I68" s="15"/>
      <c r="K68" s="16"/>
      <c r="L68" s="17" t="str">
        <f t="shared" si="13"/>
        <v>Mp xProdotto 9</v>
      </c>
      <c r="M68" s="33">
        <f t="shared" si="14"/>
        <v>0</v>
      </c>
      <c r="N68" s="33">
        <f t="shared" si="15"/>
        <v>0</v>
      </c>
      <c r="O68" s="33">
        <f t="shared" si="11"/>
        <v>0</v>
      </c>
      <c r="P68" s="33">
        <f t="shared" si="11"/>
        <v>0</v>
      </c>
      <c r="Q68" s="33">
        <f t="shared" si="11"/>
        <v>0</v>
      </c>
      <c r="R68" s="15"/>
    </row>
    <row r="69" spans="2:18" ht="15">
      <c r="B69" s="16"/>
      <c r="C69" s="12" t="s">
        <v>42</v>
      </c>
      <c r="D69" s="34">
        <f>SUM(D60:D68)</f>
        <v>187550</v>
      </c>
      <c r="E69" s="34">
        <f>SUM(E60:E68)</f>
        <v>284138.25</v>
      </c>
      <c r="F69" s="34">
        <f>SUM(F60:F68)</f>
        <v>373073.52225000004</v>
      </c>
      <c r="G69" s="34">
        <f>SUM(G60:G68)</f>
        <v>395644.47034612496</v>
      </c>
      <c r="H69" s="34">
        <f>SUM(H60:H68)</f>
        <v>419580.9608020656</v>
      </c>
      <c r="I69" s="15"/>
      <c r="K69" s="16"/>
      <c r="L69" s="12" t="s">
        <v>42</v>
      </c>
      <c r="M69" s="34">
        <f>SUM(M60:M68)</f>
        <v>87044.73684210527</v>
      </c>
      <c r="N69" s="34">
        <f>SUM(N60:N68)</f>
        <v>134564.8815789474</v>
      </c>
      <c r="O69" s="34">
        <f>SUM(O60:O68)</f>
        <v>177227.4947763158</v>
      </c>
      <c r="P69" s="34">
        <f>SUM(P60:P68)</f>
        <v>188979.58942738816</v>
      </c>
      <c r="Q69" s="34">
        <f>SUM(Q60:Q68)</f>
        <v>200412.85458774515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61"/>
  <sheetViews>
    <sheetView showGridLines="0" zoomScalePageLayoutView="0" workbookViewId="0" topLeftCell="A1">
      <selection activeCell="F16" sqref="F16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45</v>
      </c>
      <c r="D3" s="13" t="str">
        <f>+Input!E53</f>
        <v>Anno 1</v>
      </c>
      <c r="E3" s="13" t="str">
        <f>+Input!F53</f>
        <v>Anno 2</v>
      </c>
      <c r="F3" s="13" t="str">
        <f>+Input!G53</f>
        <v>Anno 3</v>
      </c>
      <c r="G3" s="13" t="str">
        <f>+Input!H53</f>
        <v>Anno 4</v>
      </c>
      <c r="H3" s="13" t="str">
        <f>+Input!I53</f>
        <v>Anno 5</v>
      </c>
      <c r="I3" s="44"/>
      <c r="K3" s="16"/>
      <c r="L3" s="12" t="s">
        <v>63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+Input!C54</f>
        <v>Investimenti Materiali</v>
      </c>
      <c r="D4" s="33">
        <f>+Input!E54</f>
        <v>100000</v>
      </c>
      <c r="E4" s="33">
        <f>+Input!F54</f>
        <v>0</v>
      </c>
      <c r="F4" s="33">
        <f>+Input!G54</f>
        <v>0</v>
      </c>
      <c r="G4" s="33">
        <f>+Input!H54</f>
        <v>0</v>
      </c>
      <c r="H4" s="33">
        <f>+Input!I54</f>
        <v>0</v>
      </c>
      <c r="I4" s="44"/>
      <c r="K4" s="16"/>
      <c r="L4" s="17" t="str">
        <f>+C4</f>
        <v>Investimenti Materiali</v>
      </c>
      <c r="M4" s="33">
        <f>+Input!E54*Input!$E$57</f>
        <v>21000</v>
      </c>
      <c r="N4" s="33">
        <f>+Input!F54*Input!$E$57</f>
        <v>0</v>
      </c>
      <c r="O4" s="33">
        <f>+Input!G54*Input!$E$57</f>
        <v>0</v>
      </c>
      <c r="P4" s="33">
        <f>+Input!H54*Input!$E$57</f>
        <v>0</v>
      </c>
      <c r="Q4" s="33">
        <f>+Input!I54*Input!$E$57</f>
        <v>0</v>
      </c>
      <c r="R4" s="15"/>
    </row>
    <row r="5" spans="2:18" ht="15">
      <c r="B5" s="43"/>
      <c r="C5" s="17" t="str">
        <f>+Input!C55</f>
        <v>Investimenti Immateriali</v>
      </c>
      <c r="D5" s="33">
        <f>+Input!E55</f>
        <v>20000</v>
      </c>
      <c r="E5" s="33">
        <f>+Input!F55</f>
        <v>0</v>
      </c>
      <c r="F5" s="33">
        <f>+Input!G55</f>
        <v>0</v>
      </c>
      <c r="G5" s="33">
        <f>+Input!H55</f>
        <v>0</v>
      </c>
      <c r="H5" s="33">
        <f>+Input!I55</f>
        <v>0</v>
      </c>
      <c r="I5" s="44"/>
      <c r="K5" s="16"/>
      <c r="L5" s="17" t="str">
        <f>+C5</f>
        <v>Investimenti Immateriali</v>
      </c>
      <c r="M5" s="33">
        <f>+Input!E55*Input!$E$57</f>
        <v>4200</v>
      </c>
      <c r="N5" s="33">
        <f>+Input!F55*Input!$E$57</f>
        <v>0</v>
      </c>
      <c r="O5" s="33">
        <f>+Input!G55*Input!$E$57</f>
        <v>0</v>
      </c>
      <c r="P5" s="33">
        <f>+Input!H55*Input!$E$57</f>
        <v>0</v>
      </c>
      <c r="Q5" s="33">
        <f>+Input!I55*Input!$E$57</f>
        <v>0</v>
      </c>
      <c r="R5" s="15"/>
    </row>
    <row r="6" spans="2:18" ht="15">
      <c r="B6" s="43"/>
      <c r="C6" s="17"/>
      <c r="D6" s="17"/>
      <c r="E6" s="17"/>
      <c r="F6" s="17"/>
      <c r="G6" s="17"/>
      <c r="H6" s="17"/>
      <c r="I6" s="44"/>
      <c r="K6" s="16"/>
      <c r="L6" s="12" t="s">
        <v>64</v>
      </c>
      <c r="M6" s="34">
        <f>SUM(M4:M5)</f>
        <v>25200</v>
      </c>
      <c r="N6" s="34">
        <f>SUM(N4:N5)</f>
        <v>0</v>
      </c>
      <c r="O6" s="34">
        <f>SUM(O4:O5)</f>
        <v>0</v>
      </c>
      <c r="P6" s="34">
        <f>SUM(P4:P5)</f>
        <v>0</v>
      </c>
      <c r="Q6" s="34">
        <f>SUM(Q4:Q5)</f>
        <v>0</v>
      </c>
      <c r="R6" s="15"/>
    </row>
    <row r="7" spans="2:18" ht="15.75" thickBot="1">
      <c r="B7" s="43"/>
      <c r="C7" s="17"/>
      <c r="D7" s="17"/>
      <c r="E7" s="17"/>
      <c r="F7" s="17"/>
      <c r="G7" s="17"/>
      <c r="H7" s="17"/>
      <c r="I7" s="44"/>
      <c r="K7" s="18"/>
      <c r="L7" s="19"/>
      <c r="M7" s="19"/>
      <c r="N7" s="19"/>
      <c r="O7" s="19"/>
      <c r="P7" s="19"/>
      <c r="Q7" s="19"/>
      <c r="R7" s="20"/>
    </row>
    <row r="8" spans="2:9" ht="15.75" thickBot="1">
      <c r="B8" s="49" t="s">
        <v>3</v>
      </c>
      <c r="C8" s="12" t="s">
        <v>54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44"/>
    </row>
    <row r="9" spans="2:18" ht="15">
      <c r="B9" s="43"/>
      <c r="C9" s="17" t="str">
        <f>+C4</f>
        <v>Investimenti Materiali</v>
      </c>
      <c r="D9" s="33">
        <f>+Input!E54*Input!$E$62</f>
        <v>10000</v>
      </c>
      <c r="E9" s="33">
        <f>+IF(D14&gt;=$D$4,0,$D4*Input!$E$62)</f>
        <v>10000</v>
      </c>
      <c r="F9" s="33">
        <f>+IF(E14&gt;=$D$4,0,$D4*Input!$E$62)</f>
        <v>10000</v>
      </c>
      <c r="G9" s="33">
        <f>+IF(F14&gt;=$D$4,0,$D4*Input!$E$62)</f>
        <v>10000</v>
      </c>
      <c r="H9" s="33">
        <f>+IF(G14&gt;=$D$4,0,$D4*Input!$E$62)</f>
        <v>10000</v>
      </c>
      <c r="I9" s="44"/>
      <c r="K9" s="8"/>
      <c r="L9" s="9"/>
      <c r="M9" s="9"/>
      <c r="N9" s="9"/>
      <c r="O9" s="9"/>
      <c r="P9" s="9"/>
      <c r="Q9" s="9"/>
      <c r="R9" s="10"/>
    </row>
    <row r="10" spans="2:18" ht="15">
      <c r="B10" s="43"/>
      <c r="C10" s="17" t="str">
        <f>+C5</f>
        <v>Investimenti Immateriali</v>
      </c>
      <c r="D10" s="33">
        <f>+Input!E55*Input!$E$63</f>
        <v>2000</v>
      </c>
      <c r="E10" s="33">
        <f>+IF(D15&gt;=$D$5,0,$D5*Input!$E$63)</f>
        <v>2000</v>
      </c>
      <c r="F10" s="33">
        <f>+IF(E15&gt;=$D$5,0,$D5*Input!$E$63)</f>
        <v>2000</v>
      </c>
      <c r="G10" s="33">
        <f>+IF(F15&gt;=$D$5,0,$D5*Input!$E$63)</f>
        <v>2000</v>
      </c>
      <c r="H10" s="33">
        <f>+IF(G15&gt;=$D$5,0,$D5*Input!$E$63)</f>
        <v>2000</v>
      </c>
      <c r="I10" s="44"/>
      <c r="K10" s="16"/>
      <c r="L10" s="12" t="s">
        <v>65</v>
      </c>
      <c r="M10" s="12" t="str">
        <f>+M3</f>
        <v>Anno 1</v>
      </c>
      <c r="N10" s="12" t="str">
        <f>+N3</f>
        <v>Anno 2</v>
      </c>
      <c r="O10" s="12" t="str">
        <f>+O3</f>
        <v>Anno 3</v>
      </c>
      <c r="P10" s="12" t="str">
        <f>+P3</f>
        <v>Anno 4</v>
      </c>
      <c r="Q10" s="12" t="str">
        <f>+Q3</f>
        <v>Anno 5</v>
      </c>
      <c r="R10" s="15"/>
    </row>
    <row r="11" spans="2:18" ht="15">
      <c r="B11" s="43"/>
      <c r="C11" s="17"/>
      <c r="D11" s="17"/>
      <c r="E11" s="17"/>
      <c r="F11" s="17"/>
      <c r="G11" s="17"/>
      <c r="H11" s="17"/>
      <c r="I11" s="44"/>
      <c r="K11" s="16"/>
      <c r="L11" s="17" t="str">
        <f>+L4</f>
        <v>Investimenti Materiali</v>
      </c>
      <c r="M11" s="33">
        <f>+Input!E54+(Input!E54*Input!$E$57)-Input!E59</f>
        <v>0</v>
      </c>
      <c r="N11" s="33">
        <f>+Input!F54+(Input!F54*Input!$E$57)-Input!F59</f>
        <v>0</v>
      </c>
      <c r="O11" s="33">
        <f>+Input!G54+(Input!G54*Input!$E$57)-Input!G59</f>
        <v>0</v>
      </c>
      <c r="P11" s="33">
        <f>+Input!H54+(Input!H54*Input!$E$57)-Input!H59</f>
        <v>0</v>
      </c>
      <c r="Q11" s="33">
        <f>+Input!I54+(Input!I54*Input!$E$57)-Input!I59</f>
        <v>0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+L5</f>
        <v>Investimenti Immateriali</v>
      </c>
      <c r="M12" s="33">
        <f>+Input!E55+(Input!E55*Input!$E$57)-Input!E60</f>
        <v>0</v>
      </c>
      <c r="N12" s="33">
        <f>+Input!F55+(Input!F55*Input!$E$57)-Input!F60</f>
        <v>0</v>
      </c>
      <c r="O12" s="33">
        <f>+Input!G55+(Input!G55*Input!$E$57)-Input!G60</f>
        <v>0</v>
      </c>
      <c r="P12" s="33">
        <f>+Input!H55+(Input!H55*Input!$E$57)-Input!H60</f>
        <v>0</v>
      </c>
      <c r="Q12" s="33">
        <f>+Input!I55+(Input!I55*Input!$E$57)-Input!I60</f>
        <v>0</v>
      </c>
      <c r="R12" s="15"/>
    </row>
    <row r="13" spans="2:18" ht="15">
      <c r="B13" s="43"/>
      <c r="C13" s="12" t="s">
        <v>55</v>
      </c>
      <c r="D13" s="13" t="str">
        <f>+D8</f>
        <v>Anno 1</v>
      </c>
      <c r="E13" s="13" t="str">
        <f>+E8</f>
        <v>Anno 2</v>
      </c>
      <c r="F13" s="13" t="str">
        <f>+F8</f>
        <v>Anno 3</v>
      </c>
      <c r="G13" s="13" t="str">
        <f>+G8</f>
        <v>Anno 4</v>
      </c>
      <c r="H13" s="13" t="str">
        <f>+H8</f>
        <v>Anno 5</v>
      </c>
      <c r="I13" s="44"/>
      <c r="K13" s="16"/>
      <c r="L13" s="12" t="s">
        <v>66</v>
      </c>
      <c r="M13" s="34">
        <f>SUM(M11:M12)</f>
        <v>0</v>
      </c>
      <c r="N13" s="34">
        <f>SUM(N11:N12)</f>
        <v>0</v>
      </c>
      <c r="O13" s="34">
        <f>SUM(O11:O12)</f>
        <v>0</v>
      </c>
      <c r="P13" s="34">
        <f>SUM(P11:P12)</f>
        <v>0</v>
      </c>
      <c r="Q13" s="34">
        <f>SUM(Q11:Q12)</f>
        <v>0</v>
      </c>
      <c r="R13" s="15"/>
    </row>
    <row r="14" spans="2:18" ht="15.75" thickBot="1">
      <c r="B14" s="43"/>
      <c r="C14" s="17" t="str">
        <f>+C9</f>
        <v>Investimenti Materiali</v>
      </c>
      <c r="D14" s="33">
        <f>+D9</f>
        <v>10000</v>
      </c>
      <c r="E14" s="33">
        <f aca="true" t="shared" si="0" ref="E14:H15">+D14+E9</f>
        <v>20000</v>
      </c>
      <c r="F14" s="33">
        <f t="shared" si="0"/>
        <v>30000</v>
      </c>
      <c r="G14" s="33">
        <f t="shared" si="0"/>
        <v>40000</v>
      </c>
      <c r="H14" s="33">
        <f t="shared" si="0"/>
        <v>50000</v>
      </c>
      <c r="I14" s="44"/>
      <c r="K14" s="18"/>
      <c r="L14" s="19"/>
      <c r="M14" s="19"/>
      <c r="N14" s="19"/>
      <c r="O14" s="19"/>
      <c r="P14" s="19"/>
      <c r="Q14" s="19"/>
      <c r="R14" s="20"/>
    </row>
    <row r="15" spans="2:9" ht="15.75" thickBot="1">
      <c r="B15" s="43"/>
      <c r="C15" s="17" t="str">
        <f>+C10</f>
        <v>Investimenti Immateriali</v>
      </c>
      <c r="D15" s="33">
        <f>+D10</f>
        <v>2000</v>
      </c>
      <c r="E15" s="33">
        <f t="shared" si="0"/>
        <v>4000</v>
      </c>
      <c r="F15" s="33">
        <f t="shared" si="0"/>
        <v>6000</v>
      </c>
      <c r="G15" s="33">
        <f t="shared" si="0"/>
        <v>8000</v>
      </c>
      <c r="H15" s="33">
        <f t="shared" si="0"/>
        <v>10000</v>
      </c>
      <c r="I15" s="44"/>
    </row>
    <row r="16" spans="2:18" ht="15">
      <c r="B16" s="43"/>
      <c r="C16" s="17"/>
      <c r="D16" s="17"/>
      <c r="E16" s="17"/>
      <c r="F16" s="17"/>
      <c r="G16" s="17"/>
      <c r="H16" s="17"/>
      <c r="I16" s="44"/>
      <c r="K16" s="8"/>
      <c r="L16" s="9"/>
      <c r="M16" s="9"/>
      <c r="N16" s="9"/>
      <c r="O16" s="9"/>
      <c r="P16" s="9"/>
      <c r="Q16" s="9"/>
      <c r="R16" s="10"/>
    </row>
    <row r="17" spans="2:18" ht="15">
      <c r="B17" s="49" t="s">
        <v>4</v>
      </c>
      <c r="C17" s="12" t="s">
        <v>54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44"/>
      <c r="K17" s="16"/>
      <c r="L17" s="12" t="s">
        <v>43</v>
      </c>
      <c r="M17" s="13" t="str">
        <f>+M10</f>
        <v>Anno 1</v>
      </c>
      <c r="N17" s="13" t="str">
        <f>+N10</f>
        <v>Anno 2</v>
      </c>
      <c r="O17" s="13" t="str">
        <f>+O10</f>
        <v>Anno 3</v>
      </c>
      <c r="P17" s="13" t="str">
        <f>+P10</f>
        <v>Anno 4</v>
      </c>
      <c r="Q17" s="13" t="str">
        <f>+Q10</f>
        <v>Anno 5</v>
      </c>
      <c r="R17" s="15"/>
    </row>
    <row r="18" spans="2:18" ht="15">
      <c r="B18" s="43"/>
      <c r="C18" s="17" t="str">
        <f>+C9</f>
        <v>Investimenti Materiali</v>
      </c>
      <c r="D18" s="33"/>
      <c r="E18" s="33">
        <f>+E4*Input!E62</f>
        <v>0</v>
      </c>
      <c r="F18" s="33">
        <f>+IF(E23&gt;=$E$4,0,$E4*Input!$E$62)</f>
        <v>0</v>
      </c>
      <c r="G18" s="33">
        <f>+IF(F23&gt;=$E$4,0,$E4*Input!$E$62)</f>
        <v>0</v>
      </c>
      <c r="H18" s="33">
        <f>+IF(G23&gt;=$E$4,0,$E4*Input!$E$62)</f>
        <v>0</v>
      </c>
      <c r="I18" s="44"/>
      <c r="K18" s="16"/>
      <c r="L18" s="17" t="str">
        <f>+L11</f>
        <v>Investimenti Materiali</v>
      </c>
      <c r="M18" s="33">
        <f>+Input!E59</f>
        <v>121000</v>
      </c>
      <c r="N18" s="33">
        <f>+Input!F59</f>
        <v>0</v>
      </c>
      <c r="O18" s="33">
        <f>+Input!G59</f>
        <v>0</v>
      </c>
      <c r="P18" s="33">
        <f>+Input!H59</f>
        <v>0</v>
      </c>
      <c r="Q18" s="33">
        <f>+Input!I59</f>
        <v>0</v>
      </c>
      <c r="R18" s="15"/>
    </row>
    <row r="19" spans="2:18" ht="15">
      <c r="B19" s="43"/>
      <c r="C19" s="17" t="str">
        <f>+C10</f>
        <v>Investimenti Immateriali</v>
      </c>
      <c r="D19" s="33"/>
      <c r="E19" s="33">
        <f>+E5*Input!E63</f>
        <v>0</v>
      </c>
      <c r="F19" s="33">
        <f>+IF(E24&gt;=$E$5,0,$E5*Input!$E$63)</f>
        <v>0</v>
      </c>
      <c r="G19" s="33">
        <f>+IF(F24&gt;=$E$5,0,$E5*Input!$E$63)</f>
        <v>0</v>
      </c>
      <c r="H19" s="33">
        <f>+IF(G24&gt;=$E$5,0,$E5*Input!$E$63)</f>
        <v>0</v>
      </c>
      <c r="I19" s="44"/>
      <c r="K19" s="16"/>
      <c r="L19" s="17" t="str">
        <f>+L12</f>
        <v>Investimenti Immateriali</v>
      </c>
      <c r="M19" s="33">
        <f>+Input!E60</f>
        <v>24200</v>
      </c>
      <c r="N19" s="33">
        <f>+Input!F60</f>
        <v>0</v>
      </c>
      <c r="O19" s="33">
        <f>+Input!G60</f>
        <v>0</v>
      </c>
      <c r="P19" s="33">
        <f>+Input!H60</f>
        <v>0</v>
      </c>
      <c r="Q19" s="33">
        <f>+Input!I60</f>
        <v>0</v>
      </c>
      <c r="R19" s="15"/>
    </row>
    <row r="20" spans="2:18" ht="15">
      <c r="B20" s="43"/>
      <c r="C20" s="17"/>
      <c r="D20" s="17"/>
      <c r="E20" s="17"/>
      <c r="F20" s="17"/>
      <c r="G20" s="17"/>
      <c r="H20" s="17"/>
      <c r="I20" s="44"/>
      <c r="K20" s="16"/>
      <c r="L20" s="12" t="s">
        <v>67</v>
      </c>
      <c r="M20" s="34">
        <f>SUM(M18:M19)</f>
        <v>145200</v>
      </c>
      <c r="N20" s="34">
        <f>SUM(N18:N19)</f>
        <v>0</v>
      </c>
      <c r="O20" s="34">
        <f>SUM(O18:O19)</f>
        <v>0</v>
      </c>
      <c r="P20" s="34">
        <f>SUM(P18:P19)</f>
        <v>0</v>
      </c>
      <c r="Q20" s="34">
        <f>SUM(Q18:Q19)</f>
        <v>0</v>
      </c>
      <c r="R20" s="15"/>
    </row>
    <row r="21" spans="2:18" ht="15.75" thickBot="1">
      <c r="B21" s="43"/>
      <c r="C21" s="17"/>
      <c r="D21" s="17"/>
      <c r="E21" s="17"/>
      <c r="F21" s="17"/>
      <c r="G21" s="17"/>
      <c r="H21" s="17"/>
      <c r="I21" s="44"/>
      <c r="K21" s="18"/>
      <c r="L21" s="19"/>
      <c r="M21" s="19"/>
      <c r="N21" s="19"/>
      <c r="O21" s="19"/>
      <c r="P21" s="19"/>
      <c r="Q21" s="19"/>
      <c r="R21" s="20"/>
    </row>
    <row r="22" spans="2:9" ht="15">
      <c r="B22" s="43"/>
      <c r="C22" s="12" t="s">
        <v>55</v>
      </c>
      <c r="D22" s="13" t="str">
        <f>+D17</f>
        <v>Anno 1</v>
      </c>
      <c r="E22" s="13" t="str">
        <f>+E17</f>
        <v>Anno 2</v>
      </c>
      <c r="F22" s="13" t="str">
        <f>+F17</f>
        <v>Anno 3</v>
      </c>
      <c r="G22" s="13" t="str">
        <f>+G17</f>
        <v>Anno 4</v>
      </c>
      <c r="H22" s="13" t="str">
        <f>+H17</f>
        <v>Anno 5</v>
      </c>
      <c r="I22" s="44"/>
    </row>
    <row r="23" spans="2:9" ht="15">
      <c r="B23" s="43"/>
      <c r="C23" s="17" t="str">
        <f>+C18</f>
        <v>Investimenti Materiali</v>
      </c>
      <c r="D23" s="33"/>
      <c r="E23" s="33">
        <f aca="true" t="shared" si="1" ref="E23:H24">+D23+E18</f>
        <v>0</v>
      </c>
      <c r="F23" s="33">
        <f t="shared" si="1"/>
        <v>0</v>
      </c>
      <c r="G23" s="33">
        <f t="shared" si="1"/>
        <v>0</v>
      </c>
      <c r="H23" s="33">
        <f t="shared" si="1"/>
        <v>0</v>
      </c>
      <c r="I23" s="44"/>
    </row>
    <row r="24" spans="2:9" ht="15">
      <c r="B24" s="43"/>
      <c r="C24" s="17" t="str">
        <f>+C19</f>
        <v>Investimenti Immateriali</v>
      </c>
      <c r="D24" s="33"/>
      <c r="E24" s="33">
        <f t="shared" si="1"/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I24" s="44"/>
    </row>
    <row r="25" spans="2:9" ht="15">
      <c r="B25" s="43"/>
      <c r="C25" s="17"/>
      <c r="D25" s="17"/>
      <c r="E25" s="17"/>
      <c r="F25" s="17"/>
      <c r="G25" s="17"/>
      <c r="H25" s="17"/>
      <c r="I25" s="44"/>
    </row>
    <row r="26" spans="2:9" ht="15">
      <c r="B26" s="49" t="s">
        <v>5</v>
      </c>
      <c r="C26" s="12" t="s">
        <v>54</v>
      </c>
      <c r="D26" s="13" t="s">
        <v>3</v>
      </c>
      <c r="E26" s="13" t="s">
        <v>4</v>
      </c>
      <c r="F26" s="13" t="s">
        <v>5</v>
      </c>
      <c r="G26" s="13" t="s">
        <v>6</v>
      </c>
      <c r="H26" s="13" t="s">
        <v>7</v>
      </c>
      <c r="I26" s="44"/>
    </row>
    <row r="27" spans="2:9" ht="15">
      <c r="B27" s="43"/>
      <c r="C27" s="17" t="str">
        <f>+C18</f>
        <v>Investimenti Materiali</v>
      </c>
      <c r="D27" s="33"/>
      <c r="E27" s="33"/>
      <c r="F27" s="33">
        <f>+F4*Input!$E$62</f>
        <v>0</v>
      </c>
      <c r="G27" s="33">
        <f>+IF(F32&gt;=$F$4,0,$F4*Input!$E$62)</f>
        <v>0</v>
      </c>
      <c r="H27" s="33">
        <f>+IF(G32&gt;=$F$4,0,$F4*Input!$E$62)</f>
        <v>0</v>
      </c>
      <c r="I27" s="44"/>
    </row>
    <row r="28" spans="2:9" ht="15">
      <c r="B28" s="43"/>
      <c r="C28" s="17" t="str">
        <f>+C19</f>
        <v>Investimenti Immateriali</v>
      </c>
      <c r="D28" s="33"/>
      <c r="E28" s="33"/>
      <c r="F28" s="33">
        <f>+F5*Input!E63</f>
        <v>0</v>
      </c>
      <c r="G28" s="33">
        <f>+IF(F33&gt;=$F$4,0,$F5*Input!$E$62)</f>
        <v>0</v>
      </c>
      <c r="H28" s="33">
        <f>+IF(G33&gt;=$F$4,0,$F5*Input!$E$62)</f>
        <v>0</v>
      </c>
      <c r="I28" s="44"/>
    </row>
    <row r="29" spans="2:9" ht="15">
      <c r="B29" s="43"/>
      <c r="C29" s="17"/>
      <c r="D29" s="17"/>
      <c r="E29" s="17"/>
      <c r="F29" s="17"/>
      <c r="G29" s="17"/>
      <c r="H29" s="17"/>
      <c r="I29" s="44"/>
    </row>
    <row r="30" spans="2:9" ht="15">
      <c r="B30" s="43"/>
      <c r="C30" s="17"/>
      <c r="D30" s="17"/>
      <c r="E30" s="17"/>
      <c r="F30" s="17"/>
      <c r="G30" s="17"/>
      <c r="H30" s="17"/>
      <c r="I30" s="44"/>
    </row>
    <row r="31" spans="2:9" ht="15">
      <c r="B31" s="43"/>
      <c r="C31" s="12" t="s">
        <v>55</v>
      </c>
      <c r="D31" s="13" t="str">
        <f>+D26</f>
        <v>Anno 1</v>
      </c>
      <c r="E31" s="13" t="str">
        <f>+E26</f>
        <v>Anno 2</v>
      </c>
      <c r="F31" s="13" t="str">
        <f>+F26</f>
        <v>Anno 3</v>
      </c>
      <c r="G31" s="13" t="str">
        <f>+G26</f>
        <v>Anno 4</v>
      </c>
      <c r="H31" s="13" t="str">
        <f>+H26</f>
        <v>Anno 5</v>
      </c>
      <c r="I31" s="44"/>
    </row>
    <row r="32" spans="2:9" ht="15">
      <c r="B32" s="43"/>
      <c r="C32" s="17" t="str">
        <f>+C27</f>
        <v>Investimenti Materiali</v>
      </c>
      <c r="D32" s="33"/>
      <c r="E32" s="33"/>
      <c r="F32" s="33">
        <f aca="true" t="shared" si="2" ref="F32:H33">+E32+F27</f>
        <v>0</v>
      </c>
      <c r="G32" s="33">
        <f t="shared" si="2"/>
        <v>0</v>
      </c>
      <c r="H32" s="33">
        <f t="shared" si="2"/>
        <v>0</v>
      </c>
      <c r="I32" s="44"/>
    </row>
    <row r="33" spans="2:9" ht="15">
      <c r="B33" s="43"/>
      <c r="C33" s="17" t="str">
        <f>+C28</f>
        <v>Investimenti Immateriali</v>
      </c>
      <c r="D33" s="33"/>
      <c r="E33" s="33"/>
      <c r="F33" s="33">
        <f t="shared" si="2"/>
        <v>0</v>
      </c>
      <c r="G33" s="33">
        <f t="shared" si="2"/>
        <v>0</v>
      </c>
      <c r="H33" s="33">
        <f t="shared" si="2"/>
        <v>0</v>
      </c>
      <c r="I33" s="44"/>
    </row>
    <row r="34" spans="2:9" ht="15">
      <c r="B34" s="43"/>
      <c r="C34" s="12"/>
      <c r="D34" s="17"/>
      <c r="E34" s="17"/>
      <c r="F34" s="17"/>
      <c r="G34" s="17"/>
      <c r="H34" s="17"/>
      <c r="I34" s="44"/>
    </row>
    <row r="35" spans="2:9" ht="15">
      <c r="B35" s="49" t="s">
        <v>6</v>
      </c>
      <c r="C35" s="12" t="s">
        <v>54</v>
      </c>
      <c r="D35" s="13" t="s">
        <v>3</v>
      </c>
      <c r="E35" s="13" t="s">
        <v>4</v>
      </c>
      <c r="F35" s="13" t="s">
        <v>5</v>
      </c>
      <c r="G35" s="13" t="s">
        <v>6</v>
      </c>
      <c r="H35" s="13" t="s">
        <v>7</v>
      </c>
      <c r="I35" s="44"/>
    </row>
    <row r="36" spans="2:9" ht="15">
      <c r="B36" s="43"/>
      <c r="C36" s="17" t="str">
        <f>+C27</f>
        <v>Investimenti Materiali</v>
      </c>
      <c r="D36" s="33"/>
      <c r="E36" s="33"/>
      <c r="F36" s="33"/>
      <c r="G36" s="33">
        <f>+G4*Input!E62</f>
        <v>0</v>
      </c>
      <c r="H36" s="33">
        <f>+IF(G41&gt;=$G$4,0,$G4*Input!$E$62)</f>
        <v>0</v>
      </c>
      <c r="I36" s="44"/>
    </row>
    <row r="37" spans="2:9" ht="15">
      <c r="B37" s="43"/>
      <c r="C37" s="17" t="str">
        <f>+C28</f>
        <v>Investimenti Immateriali</v>
      </c>
      <c r="D37" s="33"/>
      <c r="E37" s="33"/>
      <c r="F37" s="33"/>
      <c r="G37" s="33">
        <f>+G5*Input!E63</f>
        <v>0</v>
      </c>
      <c r="H37" s="33">
        <f>+IF(G42&gt;=$G$4,0,$G5*Input!$E$62)</f>
        <v>0</v>
      </c>
      <c r="I37" s="44"/>
    </row>
    <row r="38" spans="2:9" ht="15">
      <c r="B38" s="43"/>
      <c r="C38" s="17"/>
      <c r="D38" s="17"/>
      <c r="E38" s="17"/>
      <c r="F38" s="17"/>
      <c r="G38" s="17"/>
      <c r="H38" s="17"/>
      <c r="I38" s="44"/>
    </row>
    <row r="39" spans="2:9" ht="15">
      <c r="B39" s="43"/>
      <c r="C39" s="17"/>
      <c r="D39" s="17"/>
      <c r="E39" s="17"/>
      <c r="F39" s="17"/>
      <c r="G39" s="17"/>
      <c r="H39" s="17"/>
      <c r="I39" s="44"/>
    </row>
    <row r="40" spans="2:9" ht="15">
      <c r="B40" s="43"/>
      <c r="C40" s="12" t="s">
        <v>55</v>
      </c>
      <c r="D40" s="13" t="str">
        <f>+D35</f>
        <v>Anno 1</v>
      </c>
      <c r="E40" s="13" t="str">
        <f>+E35</f>
        <v>Anno 2</v>
      </c>
      <c r="F40" s="13" t="str">
        <f>+F35</f>
        <v>Anno 3</v>
      </c>
      <c r="G40" s="13" t="str">
        <f>+G35</f>
        <v>Anno 4</v>
      </c>
      <c r="H40" s="13" t="str">
        <f>+H35</f>
        <v>Anno 5</v>
      </c>
      <c r="I40" s="44"/>
    </row>
    <row r="41" spans="2:9" ht="15">
      <c r="B41" s="43"/>
      <c r="C41" s="17" t="str">
        <f>+C36</f>
        <v>Investimenti Materiali</v>
      </c>
      <c r="D41" s="33"/>
      <c r="E41" s="33"/>
      <c r="F41" s="33">
        <f aca="true" t="shared" si="3" ref="F41:H42">+E41+F36</f>
        <v>0</v>
      </c>
      <c r="G41" s="33">
        <f t="shared" si="3"/>
        <v>0</v>
      </c>
      <c r="H41" s="33">
        <f t="shared" si="3"/>
        <v>0</v>
      </c>
      <c r="I41" s="44"/>
    </row>
    <row r="42" spans="2:9" ht="15">
      <c r="B42" s="43"/>
      <c r="C42" s="17" t="str">
        <f>+C37</f>
        <v>Investimenti Immateriali</v>
      </c>
      <c r="D42" s="33"/>
      <c r="E42" s="33"/>
      <c r="F42" s="33">
        <f t="shared" si="3"/>
        <v>0</v>
      </c>
      <c r="G42" s="33">
        <f t="shared" si="3"/>
        <v>0</v>
      </c>
      <c r="H42" s="33">
        <f t="shared" si="3"/>
        <v>0</v>
      </c>
      <c r="I42" s="44"/>
    </row>
    <row r="43" spans="2:9" ht="15">
      <c r="B43" s="43"/>
      <c r="C43" s="17"/>
      <c r="D43" s="17"/>
      <c r="E43" s="17"/>
      <c r="F43" s="17"/>
      <c r="G43" s="17"/>
      <c r="H43" s="17"/>
      <c r="I43" s="44"/>
    </row>
    <row r="44" spans="2:9" ht="15">
      <c r="B44" s="49" t="s">
        <v>7</v>
      </c>
      <c r="C44" s="12" t="s">
        <v>54</v>
      </c>
      <c r="D44" s="13" t="s">
        <v>3</v>
      </c>
      <c r="E44" s="13" t="s">
        <v>4</v>
      </c>
      <c r="F44" s="13" t="s">
        <v>5</v>
      </c>
      <c r="G44" s="13" t="s">
        <v>6</v>
      </c>
      <c r="H44" s="13" t="s">
        <v>7</v>
      </c>
      <c r="I44" s="44"/>
    </row>
    <row r="45" spans="2:9" ht="15">
      <c r="B45" s="43"/>
      <c r="C45" s="17" t="str">
        <f>+C36</f>
        <v>Investimenti Materiali</v>
      </c>
      <c r="D45" s="33"/>
      <c r="E45" s="33"/>
      <c r="F45" s="33"/>
      <c r="G45" s="33"/>
      <c r="H45" s="33">
        <f>+H4*Input!E62</f>
        <v>0</v>
      </c>
      <c r="I45" s="44"/>
    </row>
    <row r="46" spans="2:9" ht="15">
      <c r="B46" s="43"/>
      <c r="C46" s="17" t="str">
        <f>+C37</f>
        <v>Investimenti Immateriali</v>
      </c>
      <c r="D46" s="33"/>
      <c r="E46" s="33"/>
      <c r="F46" s="33"/>
      <c r="G46" s="33"/>
      <c r="H46" s="33">
        <f>+H5*Input!E63</f>
        <v>0</v>
      </c>
      <c r="I46" s="44"/>
    </row>
    <row r="47" spans="2:9" ht="15">
      <c r="B47" s="43"/>
      <c r="C47" s="17"/>
      <c r="D47" s="17"/>
      <c r="E47" s="17"/>
      <c r="F47" s="17"/>
      <c r="G47" s="17"/>
      <c r="H47" s="17"/>
      <c r="I47" s="44"/>
    </row>
    <row r="48" spans="2:9" ht="15">
      <c r="B48" s="43"/>
      <c r="C48" s="17"/>
      <c r="D48" s="17"/>
      <c r="E48" s="17"/>
      <c r="F48" s="17"/>
      <c r="G48" s="17"/>
      <c r="H48" s="17"/>
      <c r="I48" s="44"/>
    </row>
    <row r="49" spans="2:9" ht="15">
      <c r="B49" s="43"/>
      <c r="C49" s="12" t="s">
        <v>55</v>
      </c>
      <c r="D49" s="13" t="str">
        <f>+D44</f>
        <v>Anno 1</v>
      </c>
      <c r="E49" s="13" t="str">
        <f>+E44</f>
        <v>Anno 2</v>
      </c>
      <c r="F49" s="13" t="str">
        <f>+F44</f>
        <v>Anno 3</v>
      </c>
      <c r="G49" s="13" t="str">
        <f>+G44</f>
        <v>Anno 4</v>
      </c>
      <c r="H49" s="13" t="str">
        <f>+H44</f>
        <v>Anno 5</v>
      </c>
      <c r="I49" s="44"/>
    </row>
    <row r="50" spans="2:9" ht="15">
      <c r="B50" s="43"/>
      <c r="C50" s="17" t="str">
        <f>+C45</f>
        <v>Investimenti Materiali</v>
      </c>
      <c r="D50" s="33"/>
      <c r="E50" s="33"/>
      <c r="F50" s="33"/>
      <c r="G50" s="33"/>
      <c r="H50" s="33">
        <f>+G50+H45</f>
        <v>0</v>
      </c>
      <c r="I50" s="44"/>
    </row>
    <row r="51" spans="2:9" ht="15">
      <c r="B51" s="43"/>
      <c r="C51" s="17" t="str">
        <f>+C46</f>
        <v>Investimenti Immateriali</v>
      </c>
      <c r="D51" s="33"/>
      <c r="E51" s="33"/>
      <c r="F51" s="33"/>
      <c r="G51" s="33"/>
      <c r="H51" s="33">
        <f>+G51+H46</f>
        <v>0</v>
      </c>
      <c r="I51" s="44"/>
    </row>
    <row r="52" spans="2:9" ht="15">
      <c r="B52" s="43"/>
      <c r="C52" s="17"/>
      <c r="D52" s="17"/>
      <c r="E52" s="17"/>
      <c r="F52" s="17"/>
      <c r="G52" s="17"/>
      <c r="H52" s="17"/>
      <c r="I52" s="44"/>
    </row>
    <row r="53" spans="2:9" ht="15">
      <c r="B53" s="49" t="s">
        <v>56</v>
      </c>
      <c r="C53" s="12" t="str">
        <f>+C44</f>
        <v>Ammortamenti</v>
      </c>
      <c r="D53" s="13" t="str">
        <f>+D49</f>
        <v>Anno 1</v>
      </c>
      <c r="E53" s="13" t="str">
        <f>+E49</f>
        <v>Anno 2</v>
      </c>
      <c r="F53" s="13" t="str">
        <f>+F49</f>
        <v>Anno 3</v>
      </c>
      <c r="G53" s="13" t="str">
        <f>+G49</f>
        <v>Anno 4</v>
      </c>
      <c r="H53" s="13" t="str">
        <f>+H49</f>
        <v>Anno 5</v>
      </c>
      <c r="I53" s="44"/>
    </row>
    <row r="54" spans="2:9" ht="15">
      <c r="B54" s="43"/>
      <c r="C54" s="17" t="str">
        <f aca="true" t="shared" si="4" ref="C54:C60">+C45</f>
        <v>Investimenti Materiali</v>
      </c>
      <c r="D54" s="33">
        <f aca="true" t="shared" si="5" ref="D54:H55">+D9+D18+D27+D36+E45</f>
        <v>10000</v>
      </c>
      <c r="E54" s="33">
        <f t="shared" si="5"/>
        <v>10000</v>
      </c>
      <c r="F54" s="33">
        <f t="shared" si="5"/>
        <v>10000</v>
      </c>
      <c r="G54" s="33">
        <f t="shared" si="5"/>
        <v>10000</v>
      </c>
      <c r="H54" s="33">
        <f t="shared" si="5"/>
        <v>10000</v>
      </c>
      <c r="I54" s="44"/>
    </row>
    <row r="55" spans="2:9" ht="15">
      <c r="B55" s="43"/>
      <c r="C55" s="17" t="str">
        <f t="shared" si="4"/>
        <v>Investimenti Immateriali</v>
      </c>
      <c r="D55" s="33">
        <f t="shared" si="5"/>
        <v>2000</v>
      </c>
      <c r="E55" s="33">
        <f t="shared" si="5"/>
        <v>2000</v>
      </c>
      <c r="F55" s="33">
        <f t="shared" si="5"/>
        <v>2000</v>
      </c>
      <c r="G55" s="33">
        <f t="shared" si="5"/>
        <v>2000</v>
      </c>
      <c r="H55" s="33">
        <f t="shared" si="5"/>
        <v>2000</v>
      </c>
      <c r="I55" s="44"/>
    </row>
    <row r="56" spans="2:9" ht="15">
      <c r="B56" s="43"/>
      <c r="C56" s="17"/>
      <c r="D56" s="17"/>
      <c r="E56" s="17"/>
      <c r="F56" s="17"/>
      <c r="G56" s="17"/>
      <c r="H56" s="17"/>
      <c r="I56" s="44"/>
    </row>
    <row r="57" spans="2:9" ht="15">
      <c r="B57" s="43"/>
      <c r="C57" s="17"/>
      <c r="D57" s="17"/>
      <c r="E57" s="17"/>
      <c r="F57" s="17"/>
      <c r="G57" s="17"/>
      <c r="H57" s="17"/>
      <c r="I57" s="44"/>
    </row>
    <row r="58" spans="2:9" ht="15">
      <c r="B58" s="43"/>
      <c r="C58" s="12" t="str">
        <f t="shared" si="4"/>
        <v>Fondo Ammortamenti</v>
      </c>
      <c r="D58" s="13" t="str">
        <f>+D53</f>
        <v>Anno 1</v>
      </c>
      <c r="E58" s="13" t="str">
        <f>+E53</f>
        <v>Anno 2</v>
      </c>
      <c r="F58" s="13" t="str">
        <f>+F53</f>
        <v>Anno 3</v>
      </c>
      <c r="G58" s="13" t="str">
        <f>+G53</f>
        <v>Anno 4</v>
      </c>
      <c r="H58" s="13" t="str">
        <f>+H53</f>
        <v>Anno 5</v>
      </c>
      <c r="I58" s="44"/>
    </row>
    <row r="59" spans="2:9" ht="15">
      <c r="B59" s="43"/>
      <c r="C59" s="17" t="str">
        <f t="shared" si="4"/>
        <v>Investimenti Materiali</v>
      </c>
      <c r="D59" s="33">
        <f>+D14+D23+D32+D41+E50</f>
        <v>10000</v>
      </c>
      <c r="E59" s="45">
        <f aca="true" t="shared" si="6" ref="E59:H60">+E54+D59</f>
        <v>20000</v>
      </c>
      <c r="F59" s="45">
        <f t="shared" si="6"/>
        <v>30000</v>
      </c>
      <c r="G59" s="45">
        <f t="shared" si="6"/>
        <v>40000</v>
      </c>
      <c r="H59" s="45">
        <f t="shared" si="6"/>
        <v>50000</v>
      </c>
      <c r="I59" s="44"/>
    </row>
    <row r="60" spans="2:9" ht="15">
      <c r="B60" s="43"/>
      <c r="C60" s="17" t="str">
        <f t="shared" si="4"/>
        <v>Investimenti Immateriali</v>
      </c>
      <c r="D60" s="33">
        <f>+D15+D24+D33+D42+E51</f>
        <v>2000</v>
      </c>
      <c r="E60" s="45">
        <f t="shared" si="6"/>
        <v>4000</v>
      </c>
      <c r="F60" s="45">
        <f t="shared" si="6"/>
        <v>6000</v>
      </c>
      <c r="G60" s="45">
        <f t="shared" si="6"/>
        <v>8000</v>
      </c>
      <c r="H60" s="45">
        <f t="shared" si="6"/>
        <v>10000</v>
      </c>
      <c r="I60" s="44"/>
    </row>
    <row r="61" spans="2:9" ht="15.75" thickBot="1">
      <c r="B61" s="46"/>
      <c r="C61" s="47"/>
      <c r="D61" s="47"/>
      <c r="E61" s="47"/>
      <c r="F61" s="47"/>
      <c r="G61" s="47"/>
      <c r="H61" s="47"/>
      <c r="I61" s="48"/>
    </row>
    <row r="62" ht="15.75" thickTop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78</v>
      </c>
      <c r="D3" s="13" t="str">
        <f>+Input!E68</f>
        <v>Anno 1</v>
      </c>
      <c r="E3" s="13" t="str">
        <f>+Input!F68</f>
        <v>Anno 2</v>
      </c>
      <c r="F3" s="13" t="str">
        <f>+Input!G68</f>
        <v>Anno 3</v>
      </c>
      <c r="G3" s="13" t="str">
        <f>+Input!H68</f>
        <v>Anno 4</v>
      </c>
      <c r="H3" s="13" t="str">
        <f>+Input!I68</f>
        <v>Anno 5</v>
      </c>
      <c r="I3" s="15"/>
    </row>
    <row r="4" spans="2:9" ht="15">
      <c r="B4" s="16"/>
      <c r="C4" s="17" t="s">
        <v>74</v>
      </c>
      <c r="D4" s="33">
        <f>+Input!E71*Input!E69</f>
        <v>21000</v>
      </c>
      <c r="E4" s="33">
        <f>+Input!F71*Input!F69</f>
        <v>42000</v>
      </c>
      <c r="F4" s="33">
        <f>+Input!G71*Input!G69</f>
        <v>46000</v>
      </c>
      <c r="G4" s="33">
        <f>+Input!H71*Input!H69</f>
        <v>46000</v>
      </c>
      <c r="H4" s="33">
        <f>+Input!I71*Input!I69</f>
        <v>46000</v>
      </c>
      <c r="I4" s="15"/>
    </row>
    <row r="5" spans="2:9" ht="15">
      <c r="B5" s="16"/>
      <c r="C5" s="17" t="s">
        <v>75</v>
      </c>
      <c r="D5" s="33">
        <f>+D4*Input!$E$73</f>
        <v>6247.5</v>
      </c>
      <c r="E5" s="33">
        <f>+E4*Input!$E$73</f>
        <v>12495</v>
      </c>
      <c r="F5" s="33">
        <f>+F4*Input!$E$73</f>
        <v>13685</v>
      </c>
      <c r="G5" s="33">
        <f>+G4*Input!$E$73</f>
        <v>13685</v>
      </c>
      <c r="H5" s="33">
        <f>+H4*Input!$E$73</f>
        <v>13685</v>
      </c>
      <c r="I5" s="15"/>
    </row>
    <row r="6" spans="2:9" ht="15">
      <c r="B6" s="16"/>
      <c r="C6" s="17" t="s">
        <v>76</v>
      </c>
      <c r="D6" s="33">
        <f>+D4*Input!$E$74</f>
        <v>840</v>
      </c>
      <c r="E6" s="33">
        <f>+E4*Input!$E$74</f>
        <v>1680</v>
      </c>
      <c r="F6" s="33">
        <f>+F4*Input!$E$74</f>
        <v>1840</v>
      </c>
      <c r="G6" s="33">
        <f>+G4*Input!$E$74</f>
        <v>1840</v>
      </c>
      <c r="H6" s="33">
        <f>+H4*Input!$E$74</f>
        <v>1840</v>
      </c>
      <c r="I6" s="15"/>
    </row>
    <row r="7" spans="2:9" ht="15">
      <c r="B7" s="16"/>
      <c r="C7" s="17" t="s">
        <v>77</v>
      </c>
      <c r="D7" s="33">
        <f>+D4*Input!$E$75</f>
        <v>1554</v>
      </c>
      <c r="E7" s="33">
        <f>+E4*Input!$E$75</f>
        <v>3108</v>
      </c>
      <c r="F7" s="33">
        <f>+F4*Input!$E$75</f>
        <v>3404</v>
      </c>
      <c r="G7" s="33">
        <f>+G4*Input!$E$75</f>
        <v>3404</v>
      </c>
      <c r="H7" s="33">
        <f>+H4*Input!$E$75</f>
        <v>3404</v>
      </c>
      <c r="I7" s="15"/>
    </row>
    <row r="8" spans="2:9" ht="15">
      <c r="B8" s="16"/>
      <c r="C8" s="12" t="s">
        <v>80</v>
      </c>
      <c r="D8" s="50">
        <f>SUM(D4:D7)</f>
        <v>29641.5</v>
      </c>
      <c r="E8" s="50">
        <f>SUM(E4:E7)</f>
        <v>59283</v>
      </c>
      <c r="F8" s="50">
        <f>SUM(F4:F7)</f>
        <v>64929</v>
      </c>
      <c r="G8" s="50">
        <f>SUM(G4:G7)</f>
        <v>64929</v>
      </c>
      <c r="H8" s="50">
        <f>SUM(H4:H7)</f>
        <v>64929</v>
      </c>
      <c r="I8" s="15"/>
    </row>
    <row r="9" spans="2:9" ht="15.75" thickBot="1">
      <c r="B9" s="18"/>
      <c r="C9" s="51"/>
      <c r="D9" s="54"/>
      <c r="E9" s="54"/>
      <c r="F9" s="54"/>
      <c r="G9" s="54"/>
      <c r="H9" s="54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43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21000</v>
      </c>
      <c r="E14" s="45">
        <f t="shared" si="0"/>
        <v>42000</v>
      </c>
      <c r="F14" s="45">
        <f t="shared" si="0"/>
        <v>46000</v>
      </c>
      <c r="G14" s="45">
        <f t="shared" si="0"/>
        <v>46000</v>
      </c>
      <c r="H14" s="45">
        <f t="shared" si="0"/>
        <v>46000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6247.5</v>
      </c>
      <c r="E15" s="45">
        <f t="shared" si="0"/>
        <v>12495</v>
      </c>
      <c r="F15" s="45">
        <f t="shared" si="0"/>
        <v>13685</v>
      </c>
      <c r="G15" s="45">
        <f t="shared" si="0"/>
        <v>13685</v>
      </c>
      <c r="H15" s="45">
        <f t="shared" si="0"/>
        <v>13685</v>
      </c>
      <c r="I15" s="15"/>
    </row>
    <row r="16" spans="2:9" ht="15">
      <c r="B16" s="16"/>
      <c r="C16" s="17" t="str">
        <f t="shared" si="1"/>
        <v>INAIL</v>
      </c>
      <c r="D16" s="45">
        <f t="shared" si="1"/>
        <v>840</v>
      </c>
      <c r="E16" s="45">
        <f aca="true" t="shared" si="2" ref="E16:H17">+E6</f>
        <v>1680</v>
      </c>
      <c r="F16" s="45">
        <f t="shared" si="2"/>
        <v>1840</v>
      </c>
      <c r="G16" s="45">
        <f t="shared" si="2"/>
        <v>1840</v>
      </c>
      <c r="H16" s="45">
        <f t="shared" si="2"/>
        <v>1840</v>
      </c>
      <c r="I16" s="15"/>
    </row>
    <row r="17" spans="2:9" ht="15">
      <c r="B17" s="16"/>
      <c r="C17" s="17" t="str">
        <f t="shared" si="1"/>
        <v>TFR</v>
      </c>
      <c r="D17" s="45">
        <f t="shared" si="1"/>
        <v>1554</v>
      </c>
      <c r="E17" s="45">
        <f t="shared" si="2"/>
        <v>3108</v>
      </c>
      <c r="F17" s="45">
        <f t="shared" si="2"/>
        <v>3404</v>
      </c>
      <c r="G17" s="45">
        <f t="shared" si="2"/>
        <v>3404</v>
      </c>
      <c r="H17" s="45">
        <f t="shared" si="2"/>
        <v>3404</v>
      </c>
      <c r="I17" s="15"/>
    </row>
    <row r="18" spans="2:9" ht="15">
      <c r="B18" s="16"/>
      <c r="C18" s="12" t="s">
        <v>80</v>
      </c>
      <c r="D18" s="50">
        <f>SUM(D14:D17)</f>
        <v>29641.5</v>
      </c>
      <c r="E18" s="50">
        <f>SUM(E14:E17)</f>
        <v>59283</v>
      </c>
      <c r="F18" s="50">
        <f>SUM(F14:F17)</f>
        <v>64929</v>
      </c>
      <c r="G18" s="50">
        <f>SUM(G14:G17)</f>
        <v>64929</v>
      </c>
      <c r="H18" s="50">
        <f>SUM(H14:H17)</f>
        <v>64929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336</v>
      </c>
      <c r="D22" s="25">
        <f>+D17</f>
        <v>1554</v>
      </c>
      <c r="E22" s="25">
        <f>+E17</f>
        <v>3108</v>
      </c>
      <c r="F22" s="25">
        <f>+F17</f>
        <v>3404</v>
      </c>
      <c r="G22" s="25">
        <f>+G17</f>
        <v>3404</v>
      </c>
      <c r="H22" s="25">
        <f>+H17</f>
        <v>3404</v>
      </c>
    </row>
    <row r="23" spans="3:8" ht="15">
      <c r="C23" t="s">
        <v>43</v>
      </c>
      <c r="D23" s="25">
        <f>+D18-D22</f>
        <v>28087.5</v>
      </c>
      <c r="E23" s="25">
        <f>+E18-E22</f>
        <v>56175</v>
      </c>
      <c r="F23" s="25">
        <f>+F18-F22</f>
        <v>61525</v>
      </c>
      <c r="G23" s="25">
        <f>+G18-G22</f>
        <v>61525</v>
      </c>
      <c r="H23" s="25">
        <f>+H18-H22</f>
        <v>61525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2013-06-23T12:43:55Z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