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<sst xmlns="http://schemas.openxmlformats.org/spreadsheetml/2006/main" count="804" uniqueCount="432">
  <si>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</si>
  <si>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</si>
  <si>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</si>
  <si>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</si>
  <si>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</si>
  <si>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</si>
  <si>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</si>
  <si>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</si>
  <si>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</si>
  <si>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</si>
  <si>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</si>
  <si>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</si>
  <si>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</si>
  <si>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</si>
  <si>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</si>
  <si>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</si>
  <si>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</si>
  <si>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</si>
  <si>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</si>
  <si>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</si>
  <si>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</si>
  <si>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</si>
  <si>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</si>
  <si>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</si>
  <si>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</si>
  <si>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</si>
  <si>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</si>
  <si>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</si>
  <si>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</si>
  <si>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</si>
  <si>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</si>
  <si>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</si>
  <si>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</si>
  <si>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</si>
  <si>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</si>
  <si>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</si>
  <si>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</si>
  <si>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</si>
  <si>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</si>
  <si>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</si>
  <si>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</si>
  <si>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</si>
  <si>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</si>
  <si>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</si>
  <si>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</si>
  <si>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</si>
  <si>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</si>
  <si>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</si>
  <si>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</si>
  <si>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</si>
  <si>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</si>
  <si>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</si>
  <si>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</si>
  <si>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</si>
  <si>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</si>
  <si>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</si>
  <si>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</si>
  <si>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</si>
  <si>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</si>
  <si>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</si>
  <si>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</si>
  <si>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</si>
  <si>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</si>
  <si>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</si>
  <si>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</si>
  <si>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</si>
  <si>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</si>
  <si>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</si>
  <si>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</si>
  <si>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</si>
  <si>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</si>
  <si>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</si>
  <si>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</si>
  <si>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</si>
  <si>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</si>
  <si>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</si>
  <si>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</si>
  <si>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</si>
  <si>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</si>
  <si>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</si>
  <si>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</si>
  <si>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</si>
  <si>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</si>
  <si>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</si>
  <si>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</si>
  <si>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</si>
  <si>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</si>
  <si>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</si>
  <si>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</si>
  <si>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</si>
  <si>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</si>
  <si>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</si>
  <si>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</si>
  <si>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</si>
  <si>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</si>
  <si>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</si>
  <si>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</si>
  <si>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</si>
  <si>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</si>
  <si>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</si>
  <si>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</si>
  <si>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</si>
  <si>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</si>
  <si>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</si>
  <si>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</si>
  <si>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</si>
  <si>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</si>
  <si>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</si>
  <si>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</si>
  <si>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</si>
  <si>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</si>
  <si>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</si>
  <si>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</si>
  <si>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</si>
  <si>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</si>
  <si>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</si>
  <si>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</si>
  <si>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</si>
  <si>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</si>
  <si>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</si>
  <si>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</si>
  <si>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</si>
  <si>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</si>
  <si>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</si>
  <si>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</si>
  <si>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</si>
  <si>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</si>
  <si>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</si>
  <si>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</si>
  <si>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</si>
  <si>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</si>
  <si>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</si>
  <si>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</si>
  <si>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</si>
  <si>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</si>
  <si>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</si>
  <si>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</si>
  <si>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</si>
  <si>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</si>
  <si>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</si>
  <si>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</si>
  <si>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</si>
  <si>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</si>
  <si>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</si>
  <si>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</si>
  <si>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</si>
  <si>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</si>
  <si>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</si>
  <si>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</si>
  <si>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</si>
  <si>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</si>
  <si>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</si>
  <si>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</si>
  <si>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</si>
  <si>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</si>
  <si>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</si>
  <si>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</si>
  <si>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</si>
  <si>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</si>
  <si>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</si>
  <si>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</si>
  <si>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</si>
  <si>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</si>
  <si>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</si>
  <si>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</si>
  <si>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</si>
  <si>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</si>
  <si>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</si>
  <si>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</si>
  <si>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</si>
  <si>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</si>
  <si>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</si>
  <si>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</si>
  <si>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</si>
  <si>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</si>
  <si>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</si>
  <si>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</si>
  <si>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</si>
  <si>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</si>
  <si>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</si>
  <si>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</si>
  <si>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</si>
  <si>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</si>
  <si>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</si>
  <si>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</si>
  <si>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</si>
  <si>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</si>
  <si>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</si>
  <si>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</si>
  <si>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</si>
  <si>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</si>
  <si>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</si>
  <si>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</si>
  <si>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</si>
  <si>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</si>
  <si>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</si>
  <si>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</si>
  <si>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</si>
  <si>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</si>
  <si>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</si>
  <si>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</si>
  <si>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</si>
  <si>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</si>
  <si>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</si>
  <si>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</si>
  <si>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</si>
  <si>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</si>
  <si>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</si>
  <si>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</si>
  <si>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</si>
  <si>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</si>
  <si>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</si>
  <si>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</si>
  <si>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</si>
  <si>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</si>
  <si>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</si>
  <si>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</si>
  <si>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</si>
  <si>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</si>
  <si>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</si>
  <si>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</si>
  <si>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</si>
  <si>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</si>
  <si>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</si>
  <si>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</si>
  <si>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</si>
  <si>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</si>
  <si>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</si>
  <si>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</si>
  <si>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</si>
  <si>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</si>
  <si>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</si>
  <si>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</si>
  <si>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</si>
  <si>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</si>
  <si>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</si>
  <si>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</si>
  <si>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</si>
  <si>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</si>
  <si>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</si>
  <si>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</si>
  <si>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</si>
  <si>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</si>
  <si>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</si>
  <si>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</si>
  <si>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</si>
  <si>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</si>
  <si>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</si>
  <si>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</si>
  <si>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</si>
  <si>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</si>
  <si>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</si>
  <si>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</si>
  <si>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</si>
  <si>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</si>
  <si>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</si>
  <si>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</si>
  <si>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</si>
  <si>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</si>
  <si>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</si>
  <si>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</si>
  <si>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</si>
  <si>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</si>
  <si>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</si>
  <si>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</si>
  <si>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</si>
  <si>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</si>
  <si>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</si>
  <si>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</si>
  <si>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</si>
  <si>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</si>
  <si>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</si>
  <si>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</si>
  <si>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</si>
  <si>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</si>
  <si>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</si>
  <si>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</si>
  <si>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</si>
  <si>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</si>
  <si>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</si>
  <si>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</si>
  <si>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</si>
  <si>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</si>
  <si>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</si>
  <si>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</si>
  <si>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</si>
  <si>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</si>
  <si>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</si>
  <si>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</si>
  <si>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</si>
  <si>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</si>
  <si>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</si>
  <si>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</si>
  <si>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</si>
  <si>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</si>
  <si>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</si>
  <si>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</si>
  <si>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</si>
  <si>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</si>
  <si>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</si>
  <si>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</si>
  <si>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</si>
  <si>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</si>
  <si>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</si>
  <si>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</si>
  <si>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</si>
  <si>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</si>
  <si>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</si>
  <si>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</si>
  <si>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</si>
  <si>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</si>
  <si>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</si>
  <si>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</si>
  <si>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</si>
  <si>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</si>
  <si>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</si>
  <si>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</si>
  <si>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</si>
  <si>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</si>
  <si>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</si>
  <si>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</si>
  <si>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</si>
  <si>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</si>
  <si>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</si>
  <si>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</si>
  <si>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</si>
  <si>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</si>
  <si>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</si>
  <si>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</si>
  <si>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</si>
  <si>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</si>
  <si>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</si>
  <si>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</si>
  <si>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</si>
  <si>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</si>
  <si>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</si>
  <si>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</si>
  <si>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</si>
  <si>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</si>
  <si>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</si>
  <si>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</si>
  <si>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</si>
  <si>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</si>
  <si>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</si>
  <si>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</si>
  <si>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</si>
  <si>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</si>
  <si>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</si>
  <si>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</si>
  <si>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</si>
  <si>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</si>
  <si>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</si>
  <si>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</si>
  <si>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</si>
  <si>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</si>
  <si>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</si>
  <si>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</si>
  <si>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</si>
  <si>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</si>
  <si>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</si>
  <si>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</si>
  <si>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</si>
  <si>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</si>
  <si>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</si>
  <si>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</si>
  <si>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</si>
  <si>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</si>
  <si>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</si>
  <si>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</si>
  <si>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</si>
  <si>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</si>
  <si>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</si>
  <si>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</si>
  <si>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</si>
  <si>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</si>
  <si>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</si>
  <si>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</si>
  <si>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</si>
  <si>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</si>
  <si>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</si>
  <si>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</si>
  <si>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</si>
  <si>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</si>
  <si>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</si>
  <si>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</si>
  <si>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% Fatturato</t>
  </si>
  <si>
    <t>gg dilazione pagamento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</si>
  <si>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</si>
  <si>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</si>
  <si>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</si>
  <si>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</si>
  <si>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</si>
  <si>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</si>
  <si>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</si>
  <si>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</si>
  <si>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</si>
  <si>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</si>
  <si>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</si>
  <si>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</si>
  <si>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</si>
  <si>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</si>
  <si>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</si>
  <si>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</si>
  <si>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</si>
  <si>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</si>
  <si>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</si>
  <si>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</si>
  <si>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</si>
  <si>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</si>
  <si>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</si>
  <si>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</si>
  <si>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Contibuto Annuo pubblicitario</t>
  </si>
  <si>
    <t>Consumi MP</t>
  </si>
  <si>
    <t>Giacenza magazzino</t>
  </si>
  <si>
    <t>Prezzo medio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</si>
  <si>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</si>
  <si>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</si>
  <si>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</si>
  <si>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</si>
  <si>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</si>
  <si>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</si>
  <si>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</si>
  <si>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</si>
  <si>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</si>
  <si>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</si>
  <si>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</si>
  <si>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</si>
  <si>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 xml:space="preserve">          2)Feee d'ingresso</t>
  </si>
  <si>
    <t>ROSSOSAPORE</t>
  </si>
  <si>
    <t>FORMAT</t>
  </si>
  <si>
    <t>60/80 mq</t>
  </si>
  <si>
    <t>Ristorazione con somministrazione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</si>
</sst>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9" sqref="F139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20.8515625" style="0" bestFit="1" customWidth="1"/>
    <col min="7" max="7" width="11.421875" style="0" customWidth="1"/>
    <col min="8" max="8" width="19.421875" style="0" bestFit="1" customWidth="1"/>
    <col min="9" max="9" width="17.00390625" style="0" bestFit="1" customWidth="1"/>
    <col min="10" max="10" width="13.140625" style="0" bestFit="1" customWidth="1"/>
    <col min="11" max="11" width="17.8515625" style="0" customWidth="1"/>
    <col min="13" max="13" width="11.421875" style="0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392</v>
      </c>
      <c r="F2" s="137" t="s">
        <v>428</v>
      </c>
      <c r="H2" s="6" t="s">
        <v>429</v>
      </c>
      <c r="I2" s="137" t="s">
        <v>430</v>
      </c>
    </row>
    <row r="3" spans="3:13" ht="46.5">
      <c r="C3" s="136" t="s">
        <v>391</v>
      </c>
      <c r="E3" s="6" t="s">
        <v>348</v>
      </c>
      <c r="F3" t="s">
        <v>351</v>
      </c>
      <c r="H3" t="s">
        <v>372</v>
      </c>
      <c r="I3" s="126" t="s">
        <v>431</v>
      </c>
      <c r="J3" s="6" t="s">
        <v>349</v>
      </c>
      <c r="K3" s="126" t="s">
        <v>352</v>
      </c>
      <c r="M3" s="2" t="s">
        <v>367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-51750.32920420071</v>
      </c>
      <c r="E7" s="50">
        <f>+'CE'!E55</f>
        <v>-1017.14492228571</v>
      </c>
      <c r="F7" s="50">
        <f>+'CE'!F55</f>
        <v>68758.4319377143</v>
      </c>
      <c r="G7" s="50">
        <f>+'CE'!G55</f>
        <v>76178.27588652364</v>
      </c>
      <c r="H7" s="50">
        <f>+'CE'!H55</f>
        <v>83602.36671430914</v>
      </c>
      <c r="I7" s="15"/>
      <c r="K7" s="105" t="s">
        <v>345</v>
      </c>
    </row>
    <row r="8" spans="2:11" ht="15">
      <c r="B8" s="16"/>
      <c r="C8" s="17" t="s">
        <v>366</v>
      </c>
      <c r="D8" s="50">
        <f>+'CE'!D63</f>
        <v>-54943.21920420071</v>
      </c>
      <c r="E8" s="50">
        <f>+'CE'!E63</f>
        <v>-5914.982339428569</v>
      </c>
      <c r="F8" s="50">
        <f>+'CE'!F63</f>
        <v>23706.200266628573</v>
      </c>
      <c r="G8" s="50">
        <f>+'CE'!G63</f>
        <v>26077.307526440592</v>
      </c>
      <c r="H8" s="50">
        <f>+'CE'!H63</f>
        <v>28449.771931448842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-50094.81781500002</v>
      </c>
      <c r="E10" s="50">
        <f>+IF(SP!D4&gt;0,SP!D4,-SP!D27)</f>
        <v>372.2184173129499</v>
      </c>
      <c r="F10" s="50">
        <f>+IF(SP!E4&gt;0,SP!E4,-SP!E27)</f>
        <v>94372.24550433434</v>
      </c>
      <c r="G10" s="50">
        <f>+IF(SP!F4&gt;0,SP!F4,-SP!F27)</f>
        <v>194634.13199302228</v>
      </c>
      <c r="H10" s="50">
        <f>+IF(SP!G4&gt;0,SP!G4,-SP!G27)</f>
        <v>302558.442652015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30">
      <c r="B17" s="16"/>
      <c r="C17" s="17"/>
      <c r="D17" s="13" t="s">
        <v>385</v>
      </c>
      <c r="E17" s="127" t="s">
        <v>386</v>
      </c>
      <c r="F17" s="127" t="s">
        <v>226</v>
      </c>
      <c r="G17" s="17"/>
      <c r="H17" s="17"/>
      <c r="I17" s="15"/>
    </row>
    <row r="18" spans="2:9" ht="15">
      <c r="B18" s="16"/>
      <c r="C18" s="17" t="s">
        <v>384</v>
      </c>
      <c r="D18" s="23">
        <v>0.05</v>
      </c>
      <c r="E18" s="24">
        <v>0</v>
      </c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30">
      <c r="B20" s="16"/>
      <c r="C20" s="17"/>
      <c r="D20" s="17"/>
      <c r="E20" s="127" t="s">
        <v>226</v>
      </c>
      <c r="F20" s="127" t="s">
        <v>419</v>
      </c>
      <c r="G20" s="17"/>
      <c r="H20" s="17"/>
      <c r="I20" s="15"/>
    </row>
    <row r="21" spans="2:9" ht="15">
      <c r="B21" s="16"/>
      <c r="C21" s="17" t="s">
        <v>425</v>
      </c>
      <c r="D21" s="2">
        <v>15000</v>
      </c>
      <c r="E21" s="23">
        <v>0.21</v>
      </c>
      <c r="F21" s="146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8" t="s">
        <v>45</v>
      </c>
      <c r="J22" s="17"/>
    </row>
    <row r="23" spans="2:9" ht="15">
      <c r="B23" s="16"/>
      <c r="C23" s="17" t="s">
        <v>426</v>
      </c>
      <c r="D23" s="2">
        <v>18150</v>
      </c>
      <c r="E23" s="2">
        <v>0</v>
      </c>
      <c r="F23" s="2"/>
      <c r="G23" s="2"/>
      <c r="H23" s="2"/>
      <c r="I23" s="147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 t="s">
        <v>411</v>
      </c>
      <c r="D25" s="2">
        <v>0</v>
      </c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>
        <v>0</v>
      </c>
      <c r="F30" s="2"/>
      <c r="G30" s="2"/>
      <c r="H30" s="2"/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414</v>
      </c>
      <c r="J33" s="21"/>
      <c r="K33" s="21"/>
      <c r="L33" s="21"/>
      <c r="M33" s="21"/>
      <c r="N33" s="9"/>
      <c r="O33" s="21" t="s">
        <v>415</v>
      </c>
      <c r="P33" s="21"/>
      <c r="Q33" s="21"/>
      <c r="R33" s="21"/>
      <c r="S33" s="21"/>
      <c r="T33" s="10"/>
    </row>
    <row r="34" spans="1:30" ht="30">
      <c r="A34" s="6"/>
      <c r="B34" s="11"/>
      <c r="C34" s="12" t="s">
        <v>9</v>
      </c>
      <c r="D34" s="12"/>
      <c r="E34" s="22" t="s">
        <v>393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373</v>
      </c>
      <c r="D35" s="12"/>
      <c r="E35" s="23">
        <v>0.75</v>
      </c>
      <c r="F35" s="23">
        <v>0.21</v>
      </c>
      <c r="G35" s="24">
        <v>0</v>
      </c>
      <c r="H35" s="17"/>
      <c r="I35" s="2">
        <v>9</v>
      </c>
      <c r="J35" s="2">
        <v>9</v>
      </c>
      <c r="K35" s="139">
        <v>10</v>
      </c>
      <c r="L35" s="139">
        <v>10</v>
      </c>
      <c r="M35" s="139">
        <v>10</v>
      </c>
      <c r="N35" s="17"/>
      <c r="O35" s="140">
        <v>30000</v>
      </c>
      <c r="P35" s="141">
        <v>39000</v>
      </c>
      <c r="Q35" s="141">
        <v>45000</v>
      </c>
      <c r="R35" s="141">
        <v>46000</v>
      </c>
      <c r="S35" s="142">
        <v>47000</v>
      </c>
      <c r="T35" s="15"/>
      <c r="AC35" s="1">
        <v>0</v>
      </c>
      <c r="AD35" s="1">
        <v>0</v>
      </c>
    </row>
    <row r="36" spans="2:30" ht="15">
      <c r="B36" s="16"/>
      <c r="C36" s="27" t="s">
        <v>374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375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376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3">
        <v>0</v>
      </c>
      <c r="P38" s="144">
        <v>0</v>
      </c>
      <c r="Q38" s="144">
        <v>0</v>
      </c>
      <c r="R38" s="144">
        <v>0</v>
      </c>
      <c r="S38" s="145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377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3"/>
      <c r="P39" s="144"/>
      <c r="Q39" s="144"/>
      <c r="R39" s="144"/>
      <c r="S39" s="145"/>
      <c r="T39" s="15"/>
      <c r="AC39" s="1">
        <v>120</v>
      </c>
      <c r="AD39" s="1">
        <v>120</v>
      </c>
    </row>
    <row r="40" spans="2:30" ht="15">
      <c r="B40" s="16"/>
      <c r="C40" s="27" t="s">
        <v>378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3"/>
      <c r="P40" s="144"/>
      <c r="Q40" s="144"/>
      <c r="R40" s="144"/>
      <c r="S40" s="145"/>
      <c r="T40" s="15"/>
      <c r="AC40" s="1">
        <v>150</v>
      </c>
      <c r="AD40" s="1">
        <v>150</v>
      </c>
    </row>
    <row r="41" spans="2:30" ht="15">
      <c r="B41" s="16"/>
      <c r="C41" s="27" t="s">
        <v>379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3"/>
      <c r="P41" s="144"/>
      <c r="Q41" s="144"/>
      <c r="R41" s="144"/>
      <c r="S41" s="145"/>
      <c r="T41" s="15"/>
      <c r="AC41" s="1">
        <v>180</v>
      </c>
      <c r="AD41" s="1">
        <v>180</v>
      </c>
    </row>
    <row r="42" spans="2:20" ht="15">
      <c r="B42" s="16"/>
      <c r="C42" s="27" t="s">
        <v>380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3"/>
      <c r="P42" s="144"/>
      <c r="Q42" s="144"/>
      <c r="R42" s="144"/>
      <c r="S42" s="145"/>
      <c r="T42" s="15"/>
    </row>
    <row r="43" spans="2:20" ht="15">
      <c r="B43" s="16"/>
      <c r="C43" s="27" t="s">
        <v>381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3"/>
      <c r="P43" s="144"/>
      <c r="Q43" s="144"/>
      <c r="R43" s="144"/>
      <c r="S43" s="145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412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413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</v>
      </c>
      <c r="F48" s="24">
        <v>90</v>
      </c>
      <c r="G48" s="24">
        <v>30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30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30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30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30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30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30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30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30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f>124269.39-15000</f>
        <v>109269.39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132216</v>
      </c>
      <c r="F67" s="2">
        <v>0</v>
      </c>
      <c r="G67" s="2"/>
      <c r="H67" s="2"/>
      <c r="I67" s="2"/>
      <c r="J67" s="17"/>
      <c r="K67" s="39">
        <f>+(SUM(E62:I62)+(SUM(E62:I62)*E65))-SUM(E67:I67)</f>
        <v>-0.038100000005215406</v>
      </c>
      <c r="L67" s="15"/>
    </row>
    <row r="68" spans="2:12" ht="15">
      <c r="B68" s="16"/>
      <c r="C68" s="17" t="s">
        <v>44</v>
      </c>
      <c r="D68" s="17"/>
      <c r="E68" s="2">
        <v>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7</v>
      </c>
      <c r="F77" s="135">
        <v>7</v>
      </c>
      <c r="G77" s="135">
        <v>7</v>
      </c>
      <c r="H77" s="135">
        <v>7</v>
      </c>
      <c r="I77" s="135">
        <v>7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f>250*12</f>
        <v>3000</v>
      </c>
      <c r="G99" s="2">
        <f>250*12</f>
        <v>3000</v>
      </c>
      <c r="H99" s="2">
        <f>250*12</f>
        <v>3000</v>
      </c>
      <c r="I99" s="2">
        <f>250*12</f>
        <v>3000</v>
      </c>
      <c r="J99" s="2">
        <f>250*12</f>
        <v>3000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1500*12</f>
        <v>18000</v>
      </c>
      <c r="G107" s="2">
        <f>1500*12</f>
        <v>18000</v>
      </c>
      <c r="H107" s="2">
        <f>1500*12</f>
        <v>18000</v>
      </c>
      <c r="I107" s="2">
        <f>1500*12</f>
        <v>18000</v>
      </c>
      <c r="J107" s="2">
        <f>1500*12</f>
        <v>18000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409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52" t="str">
        <f>+C25</f>
        <v>Contibuto Annuo pubblicitario</v>
      </c>
      <c r="D112" s="107">
        <v>0.21</v>
      </c>
      <c r="E112" s="17"/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394</v>
      </c>
      <c r="D130" s="4">
        <v>10000</v>
      </c>
      <c r="E130" s="4">
        <v>10000</v>
      </c>
      <c r="F130" s="4">
        <v>10000</v>
      </c>
      <c r="G130" s="4">
        <v>10000</v>
      </c>
      <c r="H130" s="4">
        <v>10000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395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398</v>
      </c>
      <c r="D137" s="4">
        <v>124269</v>
      </c>
      <c r="E137" s="17"/>
      <c r="F137" s="17"/>
      <c r="G137" s="17"/>
      <c r="H137" s="17"/>
      <c r="I137" s="15"/>
    </row>
    <row r="138" spans="2:9" ht="15">
      <c r="B138" s="16"/>
      <c r="C138" s="17" t="s">
        <v>399</v>
      </c>
      <c r="D138" s="4">
        <v>40000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164269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82134.5</v>
      </c>
      <c r="E141" s="134"/>
      <c r="F141" s="17" t="s">
        <v>402</v>
      </c>
      <c r="G141" s="17"/>
      <c r="H141" s="107">
        <v>0.02</v>
      </c>
      <c r="I141" s="15"/>
    </row>
    <row r="142" spans="2:9" ht="15">
      <c r="B142" s="16"/>
      <c r="C142" s="17" t="s">
        <v>400</v>
      </c>
      <c r="D142" s="39">
        <f>+D141</f>
        <v>82134.5</v>
      </c>
      <c r="E142" s="17"/>
      <c r="F142" s="17"/>
      <c r="G142" s="17"/>
      <c r="H142" s="17"/>
      <c r="I142" s="15"/>
    </row>
    <row r="143" spans="2:9" ht="15">
      <c r="B143" s="16"/>
      <c r="C143" s="12" t="s">
        <v>401</v>
      </c>
      <c r="D143" s="34">
        <f>SUM(D141:D142)</f>
        <v>164269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405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124269</v>
      </c>
      <c r="E146" s="17"/>
      <c r="F146" s="17"/>
      <c r="G146" s="17"/>
      <c r="H146" s="17"/>
      <c r="I146" s="15"/>
    </row>
    <row r="147" spans="2:9" ht="15">
      <c r="B147" s="16"/>
      <c r="C147" s="17" t="s">
        <v>406</v>
      </c>
      <c r="D147" s="4">
        <v>20000</v>
      </c>
      <c r="E147" s="4">
        <v>20000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18 G35:G43 E24:E25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407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82134.5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12690.76225855005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12690.76225855005</v>
      </c>
      <c r="H18" s="69">
        <f t="shared" si="4"/>
        <v>12690.76225855005</v>
      </c>
      <c r="I18" s="69">
        <f t="shared" si="4"/>
        <v>12690.76225855005</v>
      </c>
      <c r="J18" s="69">
        <f t="shared" si="4"/>
        <v>12690.76225855005</v>
      </c>
      <c r="K18" s="69">
        <f t="shared" si="4"/>
        <v>12690.76225855005</v>
      </c>
      <c r="L18" s="69">
        <f t="shared" si="4"/>
        <v>12690.76225855005</v>
      </c>
      <c r="M18" s="69">
        <f t="shared" si="4"/>
        <v>12690.76225855005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11048.072258550048</v>
      </c>
      <c r="H19" s="69">
        <f t="shared" si="5"/>
        <v>11269.03370372105</v>
      </c>
      <c r="I19" s="69">
        <f t="shared" si="5"/>
        <v>11494.41437779547</v>
      </c>
      <c r="J19" s="69">
        <f>J18-J21</f>
        <v>11724.30266535138</v>
      </c>
      <c r="K19" s="69">
        <f aca="true" t="shared" si="6" ref="K19:AM19">K18-K21</f>
        <v>11958.788718658408</v>
      </c>
      <c r="L19" s="69">
        <f t="shared" si="6"/>
        <v>12197.964493031577</v>
      </c>
      <c r="M19" s="69">
        <f t="shared" si="6"/>
        <v>12441.923782892209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11048.072258550048</v>
      </c>
      <c r="H20" s="69">
        <f t="shared" si="7"/>
        <v>22317.105962271096</v>
      </c>
      <c r="I20" s="69">
        <f t="shared" si="7"/>
        <v>33811.52034006656</v>
      </c>
      <c r="J20" s="69">
        <f t="shared" si="7"/>
        <v>45535.823005417944</v>
      </c>
      <c r="K20" s="69">
        <f t="shared" si="7"/>
        <v>57494.611724076356</v>
      </c>
      <c r="L20" s="69">
        <f t="shared" si="7"/>
        <v>69692.57621710794</v>
      </c>
      <c r="M20" s="69">
        <f t="shared" si="7"/>
        <v>82134.50000000015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1642.6900000000014</v>
      </c>
      <c r="H21" s="69">
        <f t="shared" si="8"/>
        <v>1421.7285548290004</v>
      </c>
      <c r="I21" s="69">
        <f t="shared" si="8"/>
        <v>1196.3478807545791</v>
      </c>
      <c r="J21" s="69">
        <f t="shared" si="8"/>
        <v>966.4595931986696</v>
      </c>
      <c r="K21" s="69">
        <f t="shared" si="8"/>
        <v>731.9735398916417</v>
      </c>
      <c r="L21" s="69">
        <f t="shared" si="8"/>
        <v>492.79776551847334</v>
      </c>
      <c r="M21" s="69">
        <f t="shared" si="8"/>
        <v>248.8384756578414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82134.5</v>
      </c>
      <c r="F22" s="69">
        <f t="shared" si="9"/>
        <v>82134.5</v>
      </c>
      <c r="G22" s="69">
        <f t="shared" si="9"/>
        <v>71086.42774144995</v>
      </c>
      <c r="H22" s="69">
        <f t="shared" si="9"/>
        <v>59817.394037728904</v>
      </c>
      <c r="I22" s="69">
        <f t="shared" si="9"/>
        <v>48322.97965993344</v>
      </c>
      <c r="J22" s="69">
        <f t="shared" si="9"/>
        <v>36598.676994582056</v>
      </c>
      <c r="K22" s="69">
        <f t="shared" si="9"/>
        <v>24639.888275923644</v>
      </c>
      <c r="L22" s="69">
        <f t="shared" si="9"/>
        <v>12441.92378289206</v>
      </c>
      <c r="M22" s="69">
        <f t="shared" si="9"/>
        <v>-1.4551915228366852E-10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82134.5</v>
      </c>
      <c r="F26" s="69">
        <f>+F22-F28</f>
        <v>82134.5</v>
      </c>
      <c r="G26" s="69">
        <f t="shared" si="11"/>
        <v>69443.73774144995</v>
      </c>
      <c r="H26" s="69">
        <f t="shared" si="11"/>
        <v>58395.6654828999</v>
      </c>
      <c r="I26" s="69">
        <f t="shared" si="11"/>
        <v>47126.63177917886</v>
      </c>
      <c r="J26" s="69">
        <f>+J22-SUM($I$28:J28)</f>
        <v>34435.86952062881</v>
      </c>
      <c r="K26" s="69">
        <f>+K22-SUM($I$28:K28)</f>
        <v>21745.107262078753</v>
      </c>
      <c r="L26" s="69">
        <f>+L22-SUM($I$28:L28)</f>
        <v>9054.345003528695</v>
      </c>
      <c r="M26" s="69">
        <f>+M22-SUM($I$28:M28)</f>
        <v>-3636.4172550213507</v>
      </c>
      <c r="N26" s="69">
        <f>+N22-SUM($I$28:N28)</f>
        <v>-3636.417255021205</v>
      </c>
      <c r="O26" s="69">
        <f>+O22-SUM($I$28:O28)</f>
        <v>-3636.417255021205</v>
      </c>
      <c r="P26" s="69">
        <f>+P22-SUM($I$28:P28)</f>
        <v>-3636.417255021205</v>
      </c>
      <c r="Q26" s="69">
        <f>+Q22-SUM($I$28:Q28)</f>
        <v>-3636.417255021205</v>
      </c>
      <c r="R26" s="69">
        <f>+R22-SUM($I$28:R28)</f>
        <v>-3636.417255021205</v>
      </c>
      <c r="S26" s="69">
        <f>+S22-SUM($I$28:S28)</f>
        <v>-3636.417255021205</v>
      </c>
      <c r="T26" s="69">
        <f>+T22-SUM($I$28:T28)</f>
        <v>-3636.417255021205</v>
      </c>
      <c r="U26" s="69">
        <f>+U22-SUM($I$28:U28)</f>
        <v>-3636.417255021205</v>
      </c>
      <c r="V26" s="69">
        <f>+V22-SUM($I$28:V28)</f>
        <v>-3636.417255021205</v>
      </c>
      <c r="W26" s="69">
        <f>+W22-SUM($I$28:W28)</f>
        <v>-3636.417255021205</v>
      </c>
      <c r="X26" s="69">
        <f>+X22-SUM($I$28:X28)</f>
        <v>-3636.417255021205</v>
      </c>
      <c r="Y26" s="69">
        <f>+Y22-SUM($I$28:Y28)</f>
        <v>-3636.417255021205</v>
      </c>
      <c r="Z26" s="69">
        <f>+Z22-SUM($I$28:Z28)</f>
        <v>-3636.417255021205</v>
      </c>
      <c r="AA26" s="69">
        <f>+AA22-SUM($I$28:AA28)</f>
        <v>-3636.417255021205</v>
      </c>
      <c r="AB26" s="69">
        <f>+AB22-SUM($I$28:AB28)</f>
        <v>-3636.417255021205</v>
      </c>
      <c r="AC26" s="69">
        <f>+AC22-SUM($I$28:AC28)</f>
        <v>-3636.417255021205</v>
      </c>
      <c r="AD26" s="69">
        <f>+AD22-SUM($I$28:AD28)</f>
        <v>-3636.417255021205</v>
      </c>
      <c r="AE26" s="69">
        <f>+AE22-SUM($I$28:AE28)</f>
        <v>-3636.417255021205</v>
      </c>
      <c r="AF26" s="69">
        <f>+AF22-SUM($I$28:AF28)</f>
        <v>-3636.417255021205</v>
      </c>
      <c r="AG26" s="69">
        <f>+AG22-SUM($I$28:AG28)</f>
        <v>-3636.417255021205</v>
      </c>
      <c r="AH26" s="69">
        <f>+AH22-SUM($I$28:AH28)</f>
        <v>-3636.417255021205</v>
      </c>
      <c r="AI26" s="69">
        <f>+AI22-SUM($I$28:AI28)</f>
        <v>-3636.417255021205</v>
      </c>
      <c r="AJ26" s="69">
        <f>+AJ22-SUM($I$28:AJ28)</f>
        <v>-3636.417255021205</v>
      </c>
      <c r="AK26" s="69">
        <f>+AK22-SUM($I$28:AK28)</f>
        <v>-3636.417255021205</v>
      </c>
      <c r="AL26" s="69">
        <f>+AL22-SUM($I$28:AL28)</f>
        <v>-3636.417255021205</v>
      </c>
      <c r="AM26" s="69">
        <f>+AM22-SUM($I$28:AM28)</f>
        <v>-3636.417255021205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1642.6900000000014</v>
      </c>
      <c r="H28" s="69">
        <f t="shared" si="12"/>
        <v>1421.7285548290004</v>
      </c>
      <c r="I28" s="69">
        <f t="shared" si="12"/>
        <v>1196.3478807545791</v>
      </c>
      <c r="J28" s="69">
        <f t="shared" si="12"/>
        <v>966.4595931986696</v>
      </c>
      <c r="K28" s="69">
        <f t="shared" si="12"/>
        <v>731.9735398916417</v>
      </c>
      <c r="L28" s="69">
        <f t="shared" si="12"/>
        <v>492.79776551847334</v>
      </c>
      <c r="M28" s="69">
        <f t="shared" si="12"/>
        <v>248.8384756578414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82134.5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12690.76225855005</v>
      </c>
      <c r="H34" s="82">
        <f t="shared" si="13"/>
        <v>12690.76225855005</v>
      </c>
      <c r="I34" s="82">
        <f t="shared" si="13"/>
        <v>12690.762258550043</v>
      </c>
      <c r="J34" s="82">
        <f t="shared" si="13"/>
        <v>12690.76225855005</v>
      </c>
      <c r="K34" s="82">
        <f t="shared" si="13"/>
        <v>12690.762258550054</v>
      </c>
      <c r="L34" s="82">
        <f t="shared" si="13"/>
        <v>12690.762258550058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630</v>
      </c>
      <c r="E4" s="33">
        <f>+Input!G99*Input!$D99</f>
        <v>630</v>
      </c>
      <c r="F4" s="33">
        <f>+Input!H99*Input!$D99</f>
        <v>630</v>
      </c>
      <c r="G4" s="33">
        <f>+Input!I99*Input!$D99</f>
        <v>630</v>
      </c>
      <c r="H4" s="33">
        <f>+Input!J99*Input!$D99</f>
        <v>630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Contibuto Annuo pubblicitario</v>
      </c>
      <c r="D17" s="33">
        <f>+Input!F112*Input!$D112</f>
        <v>0</v>
      </c>
      <c r="E17" s="33">
        <f>+Input!G112*Input!$D112</f>
        <v>0</v>
      </c>
      <c r="F17" s="33">
        <f>+Input!H112*Input!$D112</f>
        <v>0</v>
      </c>
      <c r="G17" s="33">
        <f>+Input!I112*Input!$D112</f>
        <v>0</v>
      </c>
      <c r="H17" s="33">
        <f>+Input!J112*Input!$D112</f>
        <v>0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966</v>
      </c>
      <c r="E25" s="34">
        <f>SUM(E4:E24)</f>
        <v>966</v>
      </c>
      <c r="F25" s="34">
        <f>SUM(F4:F24)</f>
        <v>966</v>
      </c>
      <c r="G25" s="34">
        <f>SUM(G4:G24)</f>
        <v>966</v>
      </c>
      <c r="H25" s="34">
        <f>SUM(H4:H24)</f>
        <v>966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3630</v>
      </c>
      <c r="E30" s="45">
        <f>+Input!G99+'Altri costi'!E4</f>
        <v>3630</v>
      </c>
      <c r="F30" s="45">
        <f>+Input!H99+'Altri costi'!F4</f>
        <v>3630</v>
      </c>
      <c r="G30" s="45">
        <f>+Input!I99+'Altri costi'!G4</f>
        <v>3630</v>
      </c>
      <c r="H30" s="45">
        <f>+Input!J99+'Altri costi'!H4</f>
        <v>3630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18000</v>
      </c>
      <c r="E38" s="45">
        <f>+Input!G107+'Altri costi'!E12</f>
        <v>18000</v>
      </c>
      <c r="F38" s="45">
        <f>+Input!H107+'Altri costi'!F12</f>
        <v>18000</v>
      </c>
      <c r="G38" s="45">
        <f>+Input!I107+'Altri costi'!G12</f>
        <v>18000</v>
      </c>
      <c r="H38" s="45">
        <f>+Input!J107+'Altri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Contibuto Annuo pubblicitario</v>
      </c>
      <c r="D43" s="45">
        <f>+Input!F112+'Altri costi'!D17</f>
        <v>0</v>
      </c>
      <c r="E43" s="45">
        <f>+Input!G112+'Altri costi'!E17</f>
        <v>0</v>
      </c>
      <c r="F43" s="45">
        <f>+Input!H112+'Altri costi'!F17</f>
        <v>0</v>
      </c>
      <c r="G43" s="45">
        <f>+Input!I112+'Altri costi'!G17</f>
        <v>0</v>
      </c>
      <c r="H43" s="45">
        <f>+Input!J112+'Altri costi'!H17</f>
        <v>0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24066</v>
      </c>
      <c r="E51" s="50">
        <f>SUM(E30:E50)</f>
        <v>24066</v>
      </c>
      <c r="F51" s="50">
        <f>SUM(F30:F50)</f>
        <v>24066</v>
      </c>
      <c r="G51" s="50">
        <f>SUM(G30:G50)</f>
        <v>24066</v>
      </c>
      <c r="H51" s="50">
        <f>SUM(H30:H50)</f>
        <v>24066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56700</v>
      </c>
      <c r="D5" s="26">
        <f>+MCL!N41+MCL!E84</f>
        <v>73710</v>
      </c>
      <c r="E5" s="26">
        <f>+MCL!O41+MCL!F84</f>
        <v>94500</v>
      </c>
      <c r="F5" s="26">
        <f>+MCL!P41+MCL!G84</f>
        <v>96600</v>
      </c>
      <c r="G5" s="26">
        <f>+MCL!Q41+MCL!H84</f>
        <v>98700</v>
      </c>
      <c r="H5" s="85"/>
    </row>
    <row r="6" spans="2:8" ht="15">
      <c r="B6" s="17" t="s">
        <v>23</v>
      </c>
      <c r="C6" s="26">
        <f>+MCL!M55+Inve!M7+'Altri costi'!D25+MCL!D79</f>
        <v>27062.6664</v>
      </c>
      <c r="D6" s="26">
        <f>+MCL!N55+Inve!N7+'Altri costi'!E25+MCL!E79</f>
        <v>966.0945</v>
      </c>
      <c r="E6" s="26">
        <f>+MCL!O55+Inve!O7+'Altri costi'!F25+MCL!F79</f>
        <v>966.105</v>
      </c>
      <c r="F6" s="26">
        <f>+MCL!P55+Inve!P7+'Altri costi'!G25+MCL!G79</f>
        <v>966.105</v>
      </c>
      <c r="G6" s="26">
        <f>+MCL!Q55+Inve!Q7+'Altri costi'!H25+MCL!H79</f>
        <v>966.105</v>
      </c>
      <c r="H6" s="85"/>
    </row>
    <row r="7" spans="2:8" ht="15">
      <c r="B7" s="87"/>
      <c r="C7" s="35">
        <f>+C6-C5</f>
        <v>-29637.3336</v>
      </c>
      <c r="D7" s="35">
        <f>+D6-D5</f>
        <v>-72743.9055</v>
      </c>
      <c r="E7" s="35">
        <f>+E6-E5</f>
        <v>-93533.895</v>
      </c>
      <c r="F7" s="35">
        <f>+F6-F5</f>
        <v>-95633.895</v>
      </c>
      <c r="G7" s="35">
        <f>+G6-G5</f>
        <v>-97733.895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-29637.3336</v>
      </c>
      <c r="D10" s="26">
        <f>+D7</f>
        <v>-72743.9055</v>
      </c>
      <c r="E10" s="26">
        <f>+E7</f>
        <v>-93533.895</v>
      </c>
      <c r="F10" s="26">
        <f>+F7</f>
        <v>-95633.895</v>
      </c>
      <c r="G10" s="26">
        <f>+G7</f>
        <v>-97733.895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-29637.3336</v>
      </c>
      <c r="D12" s="26">
        <f>+IF((D10+D11)&gt;0,0,(D10+D11))</f>
        <v>-72743.9055</v>
      </c>
      <c r="E12" s="26">
        <f>+IF((E10+E11)&gt;0,0,(E10+E11))</f>
        <v>-93533.895</v>
      </c>
      <c r="F12" s="26">
        <f>+IF((F10+F11)&gt;0,0,(F10+F11))</f>
        <v>-95633.895</v>
      </c>
      <c r="G12" s="26">
        <f>+IF((G10+G11)&gt;0,0,(G10+G11))</f>
        <v>-97733.895</v>
      </c>
      <c r="H12" s="87"/>
    </row>
    <row r="13" spans="2:8" ht="15">
      <c r="B13" s="86" t="s">
        <v>257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-27167.555800000002</v>
      </c>
      <c r="D14" s="26">
        <f>+(D12*(11/12))+(C12-C14)</f>
        <v>-69151.69117499999</v>
      </c>
      <c r="E14" s="26">
        <f>+(E12*(11/12))+(D12-D14)+(C12-C14)</f>
        <v>-91801.395875</v>
      </c>
      <c r="F14" s="26">
        <f>+(F12*(11/12))+(E12-E14)+(D12-D14)+(C12-C14)</f>
        <v>-95458.895</v>
      </c>
      <c r="G14" s="26">
        <f>+(G12*(11/12))+(F12-F14)+(E12-E14)+(D12-D14)+(C12-C14)</f>
        <v>-97558.895</v>
      </c>
      <c r="H14" s="87"/>
    </row>
    <row r="15" spans="2:8" ht="15">
      <c r="B15" s="87"/>
      <c r="C15" s="89">
        <f>+C12-C14</f>
        <v>-2469.7778</v>
      </c>
      <c r="D15" s="89">
        <f>+D12-D14</f>
        <v>-3592.214325000008</v>
      </c>
      <c r="E15" s="89">
        <f>+E12-E14</f>
        <v>-1732.499125000002</v>
      </c>
      <c r="F15" s="89">
        <f>+F12-F14</f>
        <v>-175</v>
      </c>
      <c r="G15" s="89">
        <f>+G12-G14</f>
        <v>-175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-29637.3336</v>
      </c>
      <c r="D18" s="26">
        <f>+D7</f>
        <v>-72743.9055</v>
      </c>
      <c r="E18" s="26">
        <f>+E7</f>
        <v>-93533.895</v>
      </c>
      <c r="F18" s="26">
        <f>+F7</f>
        <v>-95633.895</v>
      </c>
      <c r="G18" s="26">
        <f>+G7</f>
        <v>-97733.895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-29637.3336</v>
      </c>
      <c r="D20" s="26">
        <f>+IF((D18+D19)&gt;0,0,(D18+D19))</f>
        <v>-72743.9055</v>
      </c>
      <c r="E20" s="26">
        <f>+IF((E18+E19)&gt;0,0,(E18+E19))</f>
        <v>-93533.895</v>
      </c>
      <c r="F20" s="26">
        <f>+IF((F18+F19)&gt;0,0,(F18+F19))</f>
        <v>-95633.895</v>
      </c>
      <c r="G20" s="26">
        <f>+IF((G18+G19)&gt;0,0,(G18+G19))</f>
        <v>-97733.895</v>
      </c>
      <c r="H20" s="87"/>
    </row>
    <row r="21" spans="2:8" ht="15">
      <c r="B21" s="86" t="s">
        <v>257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-22228.000200000002</v>
      </c>
      <c r="D22" s="26">
        <f>+(D20*(9/12))+(C20-C22)</f>
        <v>-61967.262525</v>
      </c>
      <c r="E22" s="26">
        <f>+(E20*(9/12)*(9/12))+(D20-D22)+(C20-C22)</f>
        <v>-70798.7923125</v>
      </c>
      <c r="F22" s="26">
        <f>+(F20*(9/12))+(E20-E22)+(D20-D22)+(C20-C22)</f>
        <v>-112646.50031250001</v>
      </c>
      <c r="G22" s="26">
        <f>+(G20*(9/12))+(F20-F22)+(E20-E22)+(D20-D22)+(C20-C22)</f>
        <v>-97208.895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2469.7778</v>
      </c>
      <c r="D26" s="26">
        <f>+IF($C$2="mensile",-(D12-D14),-(D20-D22))+C26</f>
        <v>6061.992125000008</v>
      </c>
      <c r="E26" s="26">
        <f>+IF($C$2="mensile",-(E12-E14),-(E20-E22))+D26</f>
        <v>7794.49125000001</v>
      </c>
      <c r="F26" s="26">
        <f>+IF($C$2="mensile",-(F12-F14),-(F20-F22))+E26</f>
        <v>7969.49125000001</v>
      </c>
      <c r="G26" s="26">
        <f>+IF($C$2="mensile",-(G12-G14),-(G20-G22))+F26</f>
        <v>8144.49125000001</v>
      </c>
      <c r="H26" s="87"/>
    </row>
    <row r="27" spans="2:8" ht="15">
      <c r="B27" s="86" t="s">
        <v>258</v>
      </c>
      <c r="C27" s="26">
        <f>IF($C$2="mensile",-C14,-C22)</f>
        <v>27167.555800000002</v>
      </c>
      <c r="D27" s="26">
        <f>IF($C$2="mensile",-D14,-D22)</f>
        <v>69151.69117499999</v>
      </c>
      <c r="E27" s="26">
        <f>IF($C$2="mensile",-E14,-E22)</f>
        <v>91801.395875</v>
      </c>
      <c r="F27" s="26">
        <f>IF($C$2="mensile",-F14,-F22)</f>
        <v>95458.895</v>
      </c>
      <c r="G27" s="26">
        <f>IF($C$2="mensile",-G14,-G22)</f>
        <v>97558.895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-45782.652657857136</v>
      </c>
      <c r="F6" s="34">
        <f>+'CE'!E51</f>
        <v>7412.814857142861</v>
      </c>
      <c r="G6" s="34">
        <f>+'CE'!F51</f>
        <v>80020.07485714287</v>
      </c>
      <c r="H6" s="34">
        <f>+'CE'!G51</f>
        <v>87741.03630231388</v>
      </c>
      <c r="I6" s="34">
        <f>+'CE'!H51</f>
        <v>95466.4169763883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198800</v>
      </c>
      <c r="F9" s="33">
        <f>+'CE'!E43</f>
        <v>208740</v>
      </c>
      <c r="G9" s="33">
        <f>+'CE'!F43</f>
        <v>208740</v>
      </c>
      <c r="H9" s="33">
        <f>+'CE'!G43</f>
        <v>208740</v>
      </c>
      <c r="I9" s="33">
        <f>+'CE'!H43</f>
        <v>208740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198800</v>
      </c>
      <c r="F11" s="34">
        <f>SUM(F9:F10)</f>
        <v>208740</v>
      </c>
      <c r="G11" s="34">
        <f>SUM(G9:G10)</f>
        <v>208740</v>
      </c>
      <c r="H11" s="34">
        <f>SUM(H9:H10)</f>
        <v>208740</v>
      </c>
      <c r="I11" s="34">
        <f>SUM(I9:I10)</f>
        <v>208740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153017.34734214286</v>
      </c>
      <c r="F14" s="45">
        <f>+F6+F11</f>
        <v>216152.81485714286</v>
      </c>
      <c r="G14" s="45">
        <f>+G6+G11</f>
        <v>288760.07485714287</v>
      </c>
      <c r="H14" s="45">
        <f>+H6+H11</f>
        <v>296481.0363023139</v>
      </c>
      <c r="I14" s="45">
        <f>+I6+I11</f>
        <v>304206.4169763883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5967.676546343571</v>
      </c>
      <c r="F16" s="45">
        <f>+F14*$D$3</f>
        <v>8429.959779428571</v>
      </c>
      <c r="G16" s="45">
        <f>+G14*$D$3</f>
        <v>11261.642919428572</v>
      </c>
      <c r="H16" s="45">
        <f>+H14*$D$3</f>
        <v>11562.760415790242</v>
      </c>
      <c r="I16" s="45">
        <f>+I14*$D$3</f>
        <v>11864.050262079145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11935.353092687143</v>
      </c>
      <c r="G18" s="45">
        <f>+F16</f>
        <v>8429.959779428571</v>
      </c>
      <c r="H18" s="45">
        <f>+G16</f>
        <v>11261.642919428572</v>
      </c>
      <c r="I18" s="45">
        <f>+H16</f>
        <v>11562.760415790242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5967.676546343571</v>
      </c>
      <c r="F20" s="45">
        <f>+IF(SUM(E$16:F16)-SUM($E$18:$F$18)&gt;0,SUM($E$16:$F$16)-SUM($E$18:$F$18),0)</f>
        <v>2462.2832330849997</v>
      </c>
      <c r="G20" s="45">
        <f>+IF(SUM($E$16:$G$16)-SUM($E$18:$G$18)&gt;0,SUM($E$16:$G$16)-SUM($E$18:$G$18),0)</f>
        <v>5293.966373085001</v>
      </c>
      <c r="H20" s="45">
        <f>+IF(SUM($E$16:$H$16)-SUM($E$18:$H$18)&gt;0,SUM($E$16:$H$16)-SUM($E$18:$H$18),0)</f>
        <v>5595.083869446666</v>
      </c>
      <c r="I20" s="45">
        <f>+IF(SUM($E$16:$I$16)-SUM($E$18:$I$18)&gt;0,SUM($E$16:$I$16)-SUM($E$18:$I$18),0)</f>
        <v>5896.373715735572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11935.353092687143</v>
      </c>
      <c r="G23" s="45">
        <f>+G18</f>
        <v>8429.959779428571</v>
      </c>
      <c r="H23" s="45">
        <f>+H18</f>
        <v>11261.642919428572</v>
      </c>
      <c r="I23" s="45">
        <f>+I18</f>
        <v>11562.760415790242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-45782.652657857136</v>
      </c>
      <c r="E5" s="88">
        <f>+'CE'!E51</f>
        <v>7412.814857142861</v>
      </c>
      <c r="F5" s="88">
        <f>+'CE'!F51</f>
        <v>80020.07485714287</v>
      </c>
      <c r="G5" s="88">
        <f>+'CE'!G51</f>
        <v>87741.03630231388</v>
      </c>
      <c r="H5" s="88">
        <f>+'CE'!H51</f>
        <v>95466.4169763883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-45782.652657857136</v>
      </c>
      <c r="E11" s="88">
        <f>+E5*E7*E9</f>
        <v>7412.814857142861</v>
      </c>
      <c r="F11" s="88">
        <f>+F5*F7*F9</f>
        <v>80020.07485714287</v>
      </c>
      <c r="G11" s="88">
        <f>+G5*G7*G9</f>
        <v>87741.03630231388</v>
      </c>
      <c r="H11" s="88">
        <f>+H5*H7*H9</f>
        <v>95466.4169763883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-45782.652657857136</v>
      </c>
      <c r="E15" s="93">
        <f>+E11</f>
        <v>7412.814857142861</v>
      </c>
      <c r="F15" s="93">
        <f>+F11</f>
        <v>80020.07485714287</v>
      </c>
      <c r="G15" s="93">
        <f>+G11</f>
        <v>87741.03630231388</v>
      </c>
      <c r="H15" s="93">
        <f>+H11</f>
        <v>95466.4169763883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49" t="s">
        <v>260</v>
      </c>
      <c r="G20" s="150"/>
      <c r="H20" s="149" t="s">
        <v>261</v>
      </c>
      <c r="I20" s="150"/>
      <c r="J20" s="149" t="s">
        <v>262</v>
      </c>
      <c r="K20" s="150"/>
      <c r="L20" s="149" t="s">
        <v>263</v>
      </c>
      <c r="M20" s="150"/>
      <c r="N20" s="149" t="s">
        <v>264</v>
      </c>
      <c r="O20" s="150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7412.814857142861</v>
      </c>
      <c r="I22" s="97">
        <f>+$E$22*H22</f>
        <v>1704.947417142858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0</v>
      </c>
      <c r="I23" s="97">
        <f>+$E$23*H23</f>
        <v>0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27000</v>
      </c>
      <c r="K24" s="97">
        <f>+$E$24*J24</f>
        <v>10260</v>
      </c>
      <c r="L24" s="97">
        <f>+IF(L22+L23=G15,0,IF(G15&gt;$D$24,$D$24-$C$24,G15-$C$24))*L19</f>
        <v>27000</v>
      </c>
      <c r="M24" s="97">
        <f>+$E$24*L24</f>
        <v>10260</v>
      </c>
      <c r="N24" s="97">
        <f>+IF(N22+N23=H15,0,IF(H15&gt;$D$24,$D$24-$C$24,H15-$C$24))*N19</f>
        <v>27000</v>
      </c>
      <c r="O24" s="97">
        <f>+$E$24*N24</f>
        <v>10260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20000</v>
      </c>
      <c r="K25" s="97">
        <f>+$E$25*J25</f>
        <v>8200</v>
      </c>
      <c r="L25" s="97">
        <f>+IF(L23+L24+L22=G15,0,IF(G15&gt;$D$25,$D$25-$C$25,G15-$C$25))*L19</f>
        <v>20000</v>
      </c>
      <c r="M25" s="97">
        <f>+$E$25*L25</f>
        <v>8200</v>
      </c>
      <c r="N25" s="97">
        <f>+IF(N23+N24+N22=H15,0,IF(H15&gt;$D$25,$D$25-$C$25,H15-$C$25))*N19</f>
        <v>20000</v>
      </c>
      <c r="O25" s="97">
        <f>+$E$25*N25</f>
        <v>8200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5020.07485714287</v>
      </c>
      <c r="K26" s="97">
        <f>+$E$26*J26</f>
        <v>2158.632188571434</v>
      </c>
      <c r="L26" s="97">
        <f>+IF(L24+L25+L23+L22=G15,0,G15-$C$26)*L19</f>
        <v>12741.036302313878</v>
      </c>
      <c r="M26" s="97">
        <f>+$E$26*L26</f>
        <v>5478.645609994967</v>
      </c>
      <c r="N26" s="97">
        <f>+IF(N24+N25+N23+N22=H15,0,H15-$C$26)*N19</f>
        <v>20466.416976388296</v>
      </c>
      <c r="O26" s="97">
        <f>+$E$26*N26</f>
        <v>8800.559299846967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0</v>
      </c>
      <c r="H27" s="86" t="s">
        <v>15</v>
      </c>
      <c r="I27" s="98">
        <f>SUM(I22:I26)</f>
        <v>1704.947417142858</v>
      </c>
      <c r="J27" s="86" t="s">
        <v>15</v>
      </c>
      <c r="K27" s="98">
        <f>SUM(K22:K26)</f>
        <v>27578.632188571435</v>
      </c>
      <c r="L27" s="86" t="s">
        <v>15</v>
      </c>
      <c r="M27" s="98">
        <f>SUM(M22:M26)</f>
        <v>30898.64560999497</v>
      </c>
      <c r="N27" s="86" t="s">
        <v>15</v>
      </c>
      <c r="O27" s="98">
        <f>SUM(O22:O26)</f>
        <v>34220.559299846966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-45782.652657857136</v>
      </c>
      <c r="E5" s="88">
        <f>+'CE'!E51</f>
        <v>7412.814857142861</v>
      </c>
      <c r="F5" s="88">
        <f>+'CE'!F51</f>
        <v>80020.07485714287</v>
      </c>
      <c r="G5" s="88">
        <f>+'CE'!G51</f>
        <v>87741.03630231388</v>
      </c>
      <c r="H5" s="88">
        <f>+'CE'!H51</f>
        <v>95466.4169763883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356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-45782.652657857136</v>
      </c>
      <c r="E11" s="88">
        <f>+E5*E7*E9</f>
        <v>7412.814857142861</v>
      </c>
      <c r="F11" s="88">
        <f>+F5*F7*F9</f>
        <v>80020.07485714287</v>
      </c>
      <c r="G11" s="88">
        <f>+G5*G7*G9</f>
        <v>87741.03630231388</v>
      </c>
      <c r="H11" s="88">
        <f>+H5*H7*H9</f>
        <v>95466.4169763883</v>
      </c>
    </row>
    <row r="13" spans="3:8" ht="15">
      <c r="C13" t="s">
        <v>359</v>
      </c>
      <c r="D13" s="117">
        <f>+T23</f>
        <v>3192.89</v>
      </c>
      <c r="E13" s="117">
        <f>+U23</f>
        <v>3192.89</v>
      </c>
      <c r="F13" s="117">
        <f>+V23</f>
        <v>17473.599482514288</v>
      </c>
      <c r="G13" s="117">
        <f>+W23</f>
        <v>19202.322750088075</v>
      </c>
      <c r="H13" s="117">
        <f>+X23</f>
        <v>20932.035483013336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51" t="s">
        <v>357</v>
      </c>
      <c r="M19" s="152"/>
      <c r="N19" s="152"/>
      <c r="O19" s="153"/>
      <c r="P19" s="113" t="s">
        <v>362</v>
      </c>
      <c r="Q19" s="113" t="s">
        <v>360</v>
      </c>
      <c r="R19" s="113" t="s">
        <v>361</v>
      </c>
      <c r="S19" s="113" t="s">
        <v>363</v>
      </c>
      <c r="T19" s="119" t="s">
        <v>364</v>
      </c>
      <c r="U19" s="119" t="s">
        <v>364</v>
      </c>
      <c r="V19" s="119" t="s">
        <v>364</v>
      </c>
      <c r="W19" s="119" t="s">
        <v>364</v>
      </c>
      <c r="X19" s="119" t="s">
        <v>364</v>
      </c>
    </row>
    <row r="20" spans="12:24" ht="15">
      <c r="L20" s="151" t="s">
        <v>358</v>
      </c>
      <c r="M20" s="152"/>
      <c r="N20" s="152"/>
      <c r="O20" s="153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1" t="s">
        <v>358</v>
      </c>
      <c r="M21" s="152"/>
      <c r="N21" s="152"/>
      <c r="O21" s="153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0</v>
      </c>
      <c r="V21" s="120">
        <f>+IF(F11&lt;$P$21,0,IF(F11&gt;$Q$21,(($Q$21-$P$21)*$S$21),((F11-$P$21)*$S$21)))</f>
        <v>6261.492561</v>
      </c>
      <c r="W21" s="120">
        <f>+IF(G11&lt;$P$21,0,IF(G11&gt;$Q$21,(($Q$21-$P$21)*$S$21),((G11-$P$21)*$S$21)))</f>
        <v>6261.492561</v>
      </c>
      <c r="X21" s="120">
        <f>+IF(H11&lt;$P$21,0,IF(H11&gt;$Q$21,(($Q$21-$P$21)*$S$21),((H11-$P$21)*$S$21)))</f>
        <v>6261.492561</v>
      </c>
    </row>
    <row r="22" spans="12:24" ht="15">
      <c r="L22" s="151" t="s">
        <v>358</v>
      </c>
      <c r="M22" s="152"/>
      <c r="N22" s="152"/>
      <c r="O22" s="153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8019.216921514288</v>
      </c>
      <c r="W22" s="120">
        <f>+IF(G11&lt;$P$22,0,(G11-$P$22)*$S$22)</f>
        <v>9747.940189088076</v>
      </c>
      <c r="X22" s="120">
        <f>+IF(H11&lt;$P$22,0,(H11-$P$22)*$S$22)</f>
        <v>11477.652922013338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3192.89</v>
      </c>
      <c r="V23" s="118">
        <f>SUM(V20:V22)</f>
        <v>17473.599482514288</v>
      </c>
      <c r="W23" s="118">
        <f>SUM(W20:W22)</f>
        <v>19202.322750088075</v>
      </c>
      <c r="X23" s="118">
        <f>SUM(X20:X22)</f>
        <v>20932.035483013336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428834.5</v>
      </c>
      <c r="D3" s="25">
        <f>+MCL!E69+finanziamento!F33+Input!E29+C3+'Mutuo invitalia'!F33+Input!E147</f>
        <v>873544.5</v>
      </c>
      <c r="E3" s="25">
        <f>+MCL!F69+finanziamento!G33+Input!F29+D3+'Mutuo invitalia'!G33+Input!F147</f>
        <v>1418044.5</v>
      </c>
      <c r="F3" s="25">
        <f>+MCL!G69+finanziamento!H33+Input!G29+E3+'Mutuo invitalia'!H33+Input!G147</f>
        <v>1974644.5</v>
      </c>
      <c r="G3" s="25">
        <f>+MCL!H69+finanziamento!I33+Input!H29+F3+'Mutuo invitalia'!I33+Input!H147</f>
        <v>2543344.5</v>
      </c>
    </row>
    <row r="4" spans="2:7" ht="15">
      <c r="B4" t="s">
        <v>61</v>
      </c>
      <c r="C4" s="25">
        <f>+MCL!M69+Inve!M23+Personale!D23+finanziamento!E34+'Altri costi'!D51+Iva!C27+Irap!E23+Input!D30+MCL!D89+Input!D130+'Mutuo invitalia'!E34</f>
        <v>476543.8503</v>
      </c>
      <c r="D4" s="25">
        <f>+MCL!N69+Inve!N23+Personale!E23+finanziamento!F34+'Altri costi'!E51+Iva!D27+Irap!F23+Input!E30+C4+MCL!E89+Input!E130-Input!D130+'Mutuo invitalia'!F34</f>
        <v>870786.814067687</v>
      </c>
      <c r="E4" s="25">
        <f>+MCL!O69+Inve!O23+Personale!F23+finanziamento!G34+'Altri costi'!F51+Iva!E27+Irap!G23+Input!F30+D4+MCL!F89+Input!F130-Input!E130+'Mutuo invitalia'!G34</f>
        <v>1321286.7869806658</v>
      </c>
      <c r="F4" s="25">
        <f>+MCL!P69+Inve!P23+Personale!G23+finanziamento!H34+'Altri costi'!G51+Iva!F27+Irap!H23+Input!G30+E4+MCL!G89+Input!G130-Input!F130+'Mutuo invitalia'!H34</f>
        <v>1777624.9004919778</v>
      </c>
      <c r="G4" s="25">
        <f>+MCL!Q69+Inve!Q23+Personale!H23+finanziamento!I34+'Altri costi'!H51+Iva!G27+Irap!I23+Input!H30+F4+MCL!H89+Input!H130-Input!G130+'Mutuo invitalia'!I34</f>
        <v>2238400.589832985</v>
      </c>
    </row>
    <row r="6" spans="2:7" ht="15">
      <c r="B6" t="s">
        <v>331</v>
      </c>
      <c r="C6" s="85">
        <f>+IF((C3-C4)&gt;0,(C3-C4),0)</f>
        <v>0</v>
      </c>
      <c r="D6" s="85">
        <f>+IF((D3-D4)&gt;0,(D3-D4),0)</f>
        <v>2757.6859323129756</v>
      </c>
      <c r="E6" s="85">
        <f>+IF((E3-E4)&gt;0,(E3-E4),0)</f>
        <v>96757.71301933425</v>
      </c>
      <c r="F6" s="85">
        <f>+IF((F3-F4)&gt;0,(F3-F4),0)</f>
        <v>197019.5995080222</v>
      </c>
      <c r="G6" s="85">
        <f>+IF((G3-G4)&gt;0,(G3-G4),0)</f>
        <v>304943.91016701516</v>
      </c>
    </row>
    <row r="7" spans="2:7" ht="15">
      <c r="B7" t="s">
        <v>332</v>
      </c>
      <c r="C7" s="85">
        <f>+IF((C3-C4)&lt;0,-(C3-C4),0)</f>
        <v>47709.35029999999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2385.467515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2385.467515</v>
      </c>
      <c r="D13" s="85">
        <f>+D7*Input!$D$123+C13</f>
        <v>2385.467515</v>
      </c>
      <c r="E13" s="85">
        <f>+E7*Input!$D$123+D13</f>
        <v>2385.467515</v>
      </c>
      <c r="F13" s="85">
        <f>+F7*Input!$D$123+E13</f>
        <v>2385.467515</v>
      </c>
      <c r="G13" s="85">
        <f>+G7*Input!$D$123+F13</f>
        <v>2385.467515</v>
      </c>
    </row>
    <row r="14" spans="2:7" ht="15">
      <c r="B14" t="s">
        <v>340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335</v>
      </c>
      <c r="C16" s="85">
        <f>+C13</f>
        <v>2385.467515</v>
      </c>
      <c r="D16" s="85">
        <f aca="true" t="shared" si="0" ref="D16:G17">+D13</f>
        <v>2385.467515</v>
      </c>
      <c r="E16" s="85">
        <f t="shared" si="0"/>
        <v>2385.467515</v>
      </c>
      <c r="F16" s="85">
        <f t="shared" si="0"/>
        <v>2385.467515</v>
      </c>
      <c r="G16" s="85">
        <f t="shared" si="0"/>
        <v>2385.467515</v>
      </c>
    </row>
    <row r="17" spans="2:7" ht="15">
      <c r="B17" t="s">
        <v>341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428834.5</v>
      </c>
      <c r="D20" s="85">
        <f>+D3+D17</f>
        <v>873544.5</v>
      </c>
      <c r="E20" s="85">
        <f>+E3+E17</f>
        <v>1418044.5</v>
      </c>
      <c r="F20" s="85">
        <f>+F3+F17</f>
        <v>1974644.5</v>
      </c>
      <c r="G20" s="85">
        <f>+G3+G17</f>
        <v>2543344.5</v>
      </c>
    </row>
    <row r="21" spans="2:7" ht="15">
      <c r="B21" t="s">
        <v>61</v>
      </c>
      <c r="C21" s="85">
        <f>+C4+C16</f>
        <v>478929.317815</v>
      </c>
      <c r="D21" s="85">
        <f>+D4+D16</f>
        <v>873172.281582687</v>
      </c>
      <c r="E21" s="85">
        <f>+E4+E16</f>
        <v>1323672.2544956657</v>
      </c>
      <c r="F21" s="85">
        <f>+F4+F16</f>
        <v>1780010.3680069777</v>
      </c>
      <c r="G21" s="85">
        <f>+G4+G16</f>
        <v>2240786.057347985</v>
      </c>
    </row>
    <row r="23" spans="2:7" ht="15">
      <c r="B23" t="s">
        <v>331</v>
      </c>
      <c r="C23" s="85">
        <f>+IF((C20-C21)&gt;0,(C20-C21),0)</f>
        <v>0</v>
      </c>
      <c r="D23" s="85">
        <f>+IF((D20-D21)&gt;0,(D20-D21),0)</f>
        <v>372.2184173129499</v>
      </c>
      <c r="E23" s="85">
        <f>+IF((E20-E21)&gt;0,(E20-E21),0)</f>
        <v>94372.24550433434</v>
      </c>
      <c r="F23" s="85">
        <f>+IF((F20-F21)&gt;0,(F20-F21),0)</f>
        <v>194634.13199302228</v>
      </c>
      <c r="G23" s="85">
        <f>+IF((G20-G21)&gt;0,(G20-G21),0)</f>
        <v>302558.442652015</v>
      </c>
    </row>
    <row r="24" spans="2:7" ht="15">
      <c r="B24" t="s">
        <v>332</v>
      </c>
      <c r="C24" s="85">
        <f>+IF((C20-C21)&lt;0,-(C20-C21),0)</f>
        <v>50094.81781500002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6" sqref="G26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0</v>
      </c>
      <c r="D4" s="35">
        <f>+Banca!D23</f>
        <v>372.2184173129499</v>
      </c>
      <c r="E4" s="35">
        <f>+Banca!E23</f>
        <v>94372.24550433434</v>
      </c>
      <c r="F4" s="35">
        <f>+Banca!F23</f>
        <v>194634.13199302228</v>
      </c>
      <c r="G4" s="35">
        <f>+Banca!G23</f>
        <v>302558.442652015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0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16875</v>
      </c>
      <c r="D11" s="35">
        <f>+MCL!N27</f>
        <v>21937.5</v>
      </c>
      <c r="E11" s="35">
        <f>+MCL!O27</f>
        <v>28125</v>
      </c>
      <c r="F11" s="35">
        <f>+MCL!P27</f>
        <v>28750</v>
      </c>
      <c r="G11" s="35">
        <f>+MCL!Q27</f>
        <v>29375</v>
      </c>
      <c r="H11" s="25"/>
    </row>
    <row r="13" spans="2:7" ht="15">
      <c r="B13" s="7" t="s">
        <v>39</v>
      </c>
      <c r="C13" s="35">
        <f>+C14+C15+C16-C17-C18-C19</f>
        <v>100272.65485714286</v>
      </c>
      <c r="D13" s="35">
        <f>+D14+D15+D16-D17-D18-D19</f>
        <v>76275.9197142857</v>
      </c>
      <c r="E13" s="35">
        <f>+E14+E15+E16-E17-E18-E19</f>
        <v>52279.18457142857</v>
      </c>
      <c r="F13" s="35">
        <f>+F14+F15+F16-F17-F18-F19</f>
        <v>28282.449428571425</v>
      </c>
      <c r="G13" s="35">
        <f>+G14+G15+G16-G17-G18-G19</f>
        <v>4285.714285714286</v>
      </c>
    </row>
    <row r="14" spans="2:7" ht="15">
      <c r="B14" t="s">
        <v>53</v>
      </c>
      <c r="C14" s="26">
        <f>+Input!E62</f>
        <v>109269.39</v>
      </c>
      <c r="D14" s="26">
        <f>+Input!F62+C14</f>
        <v>109269.39</v>
      </c>
      <c r="E14" s="26">
        <f>+Input!G62+D14</f>
        <v>109269.39</v>
      </c>
      <c r="F14" s="26">
        <f>+Input!H62+E14</f>
        <v>109269.39</v>
      </c>
      <c r="G14" s="26">
        <f>+Input!I62+F14</f>
        <v>109269.39</v>
      </c>
    </row>
    <row r="15" spans="2:7" ht="15">
      <c r="B15" t="s">
        <v>54</v>
      </c>
      <c r="C15" s="26">
        <f>+Input!E63</f>
        <v>0</v>
      </c>
      <c r="D15" s="26">
        <f>+Input!F63+C15</f>
        <v>0</v>
      </c>
      <c r="E15" s="26">
        <f>+Input!G63+D15</f>
        <v>0</v>
      </c>
      <c r="F15" s="26">
        <f>+Input!H63+E15</f>
        <v>0</v>
      </c>
      <c r="G15" s="26">
        <f>+Input!I63+F15</f>
        <v>0</v>
      </c>
    </row>
    <row r="16" spans="2:7" ht="15">
      <c r="B16" t="s">
        <v>420</v>
      </c>
      <c r="C16" s="26">
        <f>+Inve!D71</f>
        <v>15000</v>
      </c>
      <c r="D16" s="26">
        <f>+Inve!E71</f>
        <v>15000</v>
      </c>
      <c r="E16" s="26">
        <f>+Inve!F71</f>
        <v>15000</v>
      </c>
      <c r="F16" s="26">
        <f>+Inve!G71</f>
        <v>15000</v>
      </c>
      <c r="G16" s="26">
        <f>+Inve!H71</f>
        <v>15000</v>
      </c>
    </row>
    <row r="17" spans="2:7" ht="15">
      <c r="B17" t="s">
        <v>55</v>
      </c>
      <c r="C17" s="26">
        <f>+Inve!D62</f>
        <v>21853.878</v>
      </c>
      <c r="D17" s="26">
        <f>+Inve!E62</f>
        <v>43707.756</v>
      </c>
      <c r="E17" s="26">
        <f>+Inve!F62</f>
        <v>65561.634</v>
      </c>
      <c r="F17" s="26">
        <f>+Inve!G62</f>
        <v>87415.512</v>
      </c>
      <c r="G17" s="26">
        <f>+Inve!H62</f>
        <v>109269.39</v>
      </c>
    </row>
    <row r="18" spans="2:7" ht="15">
      <c r="B18" t="s">
        <v>56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421</v>
      </c>
      <c r="C19" s="26">
        <f>+Inve!D75</f>
        <v>2142.8571428571427</v>
      </c>
      <c r="D19" s="26">
        <f>+Inve!E75</f>
        <v>4285.714285714285</v>
      </c>
      <c r="E19" s="26">
        <f>+Inve!F75</f>
        <v>6428.5714285714275</v>
      </c>
      <c r="F19" s="26">
        <f>+Inve!G75</f>
        <v>8571.42857142857</v>
      </c>
      <c r="G19" s="26">
        <f>+Inve!H75</f>
        <v>10714.285714285714</v>
      </c>
    </row>
    <row r="20" spans="3:7" ht="15">
      <c r="C20" s="26"/>
      <c r="D20" s="26"/>
      <c r="E20" s="26"/>
      <c r="F20" s="26"/>
      <c r="G20" s="26"/>
    </row>
    <row r="21" spans="2:7" ht="15">
      <c r="B21" t="s">
        <v>396</v>
      </c>
      <c r="C21" s="26">
        <f>+Input!D130</f>
        <v>10000</v>
      </c>
      <c r="D21" s="26">
        <f>+Input!E130</f>
        <v>10000</v>
      </c>
      <c r="E21" s="26">
        <f>+Input!F130</f>
        <v>10000</v>
      </c>
      <c r="F21" s="26">
        <f>+Input!G130</f>
        <v>10000</v>
      </c>
      <c r="G21" s="26">
        <f>+Input!H130</f>
        <v>10000</v>
      </c>
    </row>
    <row r="23" spans="2:12" ht="15">
      <c r="B23" s="6" t="s">
        <v>28</v>
      </c>
      <c r="C23" s="35">
        <f>+C13+C11+C6+C4+C21</f>
        <v>127147.65485714286</v>
      </c>
      <c r="D23" s="35">
        <f>+D13+D11+D6+D4+D21</f>
        <v>108585.63813159865</v>
      </c>
      <c r="E23" s="35">
        <f>+E13+E11+E6+E4+E21</f>
        <v>184776.4300757629</v>
      </c>
      <c r="F23" s="35">
        <f>+F13+F11+F6+F4+F21</f>
        <v>261666.5814215937</v>
      </c>
      <c r="G23" s="35">
        <f>+G13+G11+G6+G4+G21</f>
        <v>346219.15693772933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50094.81781500002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15468.666246343566</v>
      </c>
      <c r="D29" s="35">
        <f>SUM(D30:D33)</f>
        <v>16258.612258085002</v>
      </c>
      <c r="E29" s="35">
        <f>SUM(E30:E33)</f>
        <v>22979.044523085005</v>
      </c>
      <c r="F29" s="35">
        <f>SUM(F30:F33)</f>
        <v>23199.95368611334</v>
      </c>
      <c r="G29" s="35">
        <f>SUM(G30:G33)</f>
        <v>23884.576865735577</v>
      </c>
      <c r="H29" s="25"/>
    </row>
    <row r="30" spans="2:12" ht="15">
      <c r="B30" t="s">
        <v>22</v>
      </c>
      <c r="C30" s="26">
        <f>+MCL!D55</f>
        <v>7031.25</v>
      </c>
      <c r="D30" s="26">
        <f>+MCL!E55</f>
        <v>7734.375</v>
      </c>
      <c r="E30" s="26">
        <f>+MCL!F55</f>
        <v>9890.625</v>
      </c>
      <c r="F30" s="26">
        <f>+MCL!G55</f>
        <v>9635.416666666666</v>
      </c>
      <c r="G30" s="26">
        <f>+MCL!H55</f>
        <v>9843.75</v>
      </c>
      <c r="L30" s="25"/>
    </row>
    <row r="31" spans="2:12" ht="15">
      <c r="B31" t="s">
        <v>62</v>
      </c>
      <c r="C31" s="26">
        <f>+Inve!M15</f>
        <v>-0.038100000005215406</v>
      </c>
      <c r="D31" s="26">
        <f>+Inve!N15+C31</f>
        <v>-0.038100000005215406</v>
      </c>
      <c r="E31" s="26">
        <f>+Inve!O15+D31</f>
        <v>-0.038100000005215406</v>
      </c>
      <c r="F31" s="26">
        <f>+Inve!P15+E31</f>
        <v>-0.038100000005215406</v>
      </c>
      <c r="G31" s="26">
        <f>+Inve!Q15+F31</f>
        <v>-0.038100000005215406</v>
      </c>
      <c r="L31" s="25"/>
    </row>
    <row r="32" spans="2:12" ht="15">
      <c r="B32" t="s">
        <v>298</v>
      </c>
      <c r="C32" s="26">
        <f>+Irap!E20</f>
        <v>5967.676546343571</v>
      </c>
      <c r="D32" s="26">
        <f>+Irap!F20</f>
        <v>2462.2832330849997</v>
      </c>
      <c r="E32" s="26">
        <f>+Irap!G20</f>
        <v>5293.966373085001</v>
      </c>
      <c r="F32" s="26">
        <f>+Irap!H20</f>
        <v>5595.083869446666</v>
      </c>
      <c r="G32" s="26">
        <f>+Irap!I20</f>
        <v>5896.373715735572</v>
      </c>
      <c r="L32" s="25"/>
    </row>
    <row r="33" spans="2:8" ht="15">
      <c r="B33" t="s">
        <v>19</v>
      </c>
      <c r="C33" s="26">
        <f>+Iva!C26</f>
        <v>2469.7778</v>
      </c>
      <c r="D33" s="26">
        <f>+Iva!D26</f>
        <v>6061.992125000008</v>
      </c>
      <c r="E33" s="26">
        <f>+Iva!E26</f>
        <v>7794.49125000001</v>
      </c>
      <c r="F33" s="26">
        <f>+Iva!F26</f>
        <v>7969.49125000001</v>
      </c>
      <c r="G33" s="26">
        <f>+Iva!G26</f>
        <v>8144.49125000001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113334.5</v>
      </c>
      <c r="D35" s="35">
        <f>SUM(D36:D40)</f>
        <v>145094.5</v>
      </c>
      <c r="E35" s="35">
        <f>SUM(E36:E40)</f>
        <v>145806.42774144997</v>
      </c>
      <c r="F35" s="35">
        <f>SUM(F36:F40)</f>
        <v>146297.3940377289</v>
      </c>
      <c r="G35" s="35">
        <f>SUM(G36:G40)</f>
        <v>146562.97965993342</v>
      </c>
      <c r="H35" s="25"/>
    </row>
    <row r="36" spans="2:8" ht="15">
      <c r="B36" t="s">
        <v>328</v>
      </c>
      <c r="C36" s="26">
        <f>+Personale!D22</f>
        <v>11200</v>
      </c>
      <c r="D36" s="26">
        <f>+Personale!E22+C36</f>
        <v>22960</v>
      </c>
      <c r="E36" s="26">
        <f>+Personale!F22+D36</f>
        <v>34720</v>
      </c>
      <c r="F36" s="26">
        <f>+Personale!G22+E36</f>
        <v>46480</v>
      </c>
      <c r="G36" s="26">
        <f>+Personale!H22+F36</f>
        <v>58240</v>
      </c>
      <c r="H36" s="25"/>
    </row>
    <row r="37" spans="2:8" ht="15">
      <c r="B37" t="s">
        <v>403</v>
      </c>
      <c r="C37" s="26">
        <f>+'Mutuo invitalia'!E22</f>
        <v>82134.5</v>
      </c>
      <c r="D37" s="26">
        <f>+'Mutuo invitalia'!F22</f>
        <v>82134.5</v>
      </c>
      <c r="E37" s="26">
        <f>+'Mutuo invitalia'!G22</f>
        <v>71086.42774144995</v>
      </c>
      <c r="F37" s="26">
        <f>+'Mutuo invitalia'!H22</f>
        <v>59817.394037728904</v>
      </c>
      <c r="G37" s="26">
        <f>+'Mutuo invitalia'!I22</f>
        <v>48322.97965993344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408</v>
      </c>
      <c r="C39" s="102">
        <f>+Input!D147</f>
        <v>20000</v>
      </c>
      <c r="D39" s="102">
        <f>+C39+Input!E147</f>
        <v>40000</v>
      </c>
      <c r="E39" s="102">
        <f>+D39+Input!F147</f>
        <v>40000</v>
      </c>
      <c r="F39" s="102">
        <f>+E39+Input!G147</f>
        <v>40000</v>
      </c>
      <c r="G39" s="102">
        <f>+F39+Input!H147</f>
        <v>40000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-51750.32920420071</v>
      </c>
      <c r="D42" s="35">
        <f>SUM(D43:D44)</f>
        <v>-52767.47412648642</v>
      </c>
      <c r="E42" s="35">
        <f>SUM(E43:E44)</f>
        <v>15990.957811227876</v>
      </c>
      <c r="F42" s="35">
        <f>SUM(F43:F44)</f>
        <v>92169.23369775151</v>
      </c>
      <c r="G42" s="35">
        <f>SUM(G43:G44)</f>
        <v>175771.60041206065</v>
      </c>
    </row>
    <row r="43" spans="2:8" ht="15">
      <c r="B43" t="s">
        <v>31</v>
      </c>
      <c r="D43" s="26">
        <f>+C43+C44</f>
        <v>-51750.32920420071</v>
      </c>
      <c r="E43" s="26">
        <f>+D43+D44</f>
        <v>-52767.47412648642</v>
      </c>
      <c r="F43" s="26">
        <f>+E43+E44</f>
        <v>15990.957811227876</v>
      </c>
      <c r="G43" s="26">
        <f>+F43+F44</f>
        <v>92169.23369775151</v>
      </c>
      <c r="H43" s="25"/>
    </row>
    <row r="44" spans="2:9" ht="15">
      <c r="B44" t="s">
        <v>30</v>
      </c>
      <c r="C44" s="26">
        <f>+'CE'!D55</f>
        <v>-51750.32920420071</v>
      </c>
      <c r="D44" s="26">
        <f>+'CE'!E55-Input!E30</f>
        <v>-1017.14492228571</v>
      </c>
      <c r="E44" s="26">
        <f>+'CE'!F55-Input!F30</f>
        <v>68758.4319377143</v>
      </c>
      <c r="F44" s="26">
        <f>+'CE'!G55-Input!G30</f>
        <v>76178.27588652364</v>
      </c>
      <c r="G44" s="26">
        <f>+'CE'!H55-Input!H30</f>
        <v>83602.36671430914</v>
      </c>
      <c r="H44" s="25"/>
      <c r="I44" s="25"/>
    </row>
    <row r="45" spans="2:8" ht="15">
      <c r="B45" s="6" t="s">
        <v>29</v>
      </c>
      <c r="C45" s="35">
        <f>+C27+C29+C35+C42</f>
        <v>127147.65485714289</v>
      </c>
      <c r="D45" s="35">
        <f>+D27+D29+D35+D42</f>
        <v>108585.63813159856</v>
      </c>
      <c r="E45" s="35">
        <f>+E27+E29+E35+E42</f>
        <v>184776.43007576285</v>
      </c>
      <c r="F45" s="35">
        <f>+F27+F29+F35+F42</f>
        <v>261666.58142159376</v>
      </c>
      <c r="G45" s="35">
        <f>+G27+G29+G35+G42</f>
        <v>346219.1569377297</v>
      </c>
      <c r="H45" s="35"/>
    </row>
    <row r="47" spans="2:7" ht="15">
      <c r="B47" s="6" t="s">
        <v>322</v>
      </c>
      <c r="C47" s="25">
        <f>+C23-C45</f>
        <v>0</v>
      </c>
      <c r="D47" s="25">
        <f>+D23-D45</f>
        <v>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>
        <f>+E47-D47</f>
        <v>0</v>
      </c>
      <c r="F48" s="25">
        <f>+F47-E47</f>
        <v>0</v>
      </c>
      <c r="G48" s="25">
        <f>+G47-F47</f>
        <v>0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30" sqref="N30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270000</v>
      </c>
      <c r="E3" s="35">
        <f>+MCL!E13</f>
        <v>351000</v>
      </c>
      <c r="F3" s="35">
        <f>+MCL!F13</f>
        <v>450000</v>
      </c>
      <c r="G3" s="35">
        <f>+MCL!G13</f>
        <v>460000</v>
      </c>
      <c r="H3" s="35">
        <f>+MCL!H13</f>
        <v>470000</v>
      </c>
    </row>
    <row r="5" spans="2:8" ht="15">
      <c r="B5" s="6" t="s">
        <v>388</v>
      </c>
      <c r="D5" s="35">
        <f>+D7-D8+D6</f>
        <v>67500</v>
      </c>
      <c r="E5" s="35">
        <f>+E7-E8+E6</f>
        <v>87750</v>
      </c>
      <c r="F5" s="35">
        <f>+F7-F8+F6</f>
        <v>112500</v>
      </c>
      <c r="G5" s="35">
        <f>+G7-G8+G6</f>
        <v>115000</v>
      </c>
      <c r="H5" s="35">
        <f>+H7-H8+H6</f>
        <v>117500</v>
      </c>
    </row>
    <row r="6" spans="2:8" ht="15">
      <c r="B6" t="s">
        <v>416</v>
      </c>
      <c r="D6" s="35"/>
      <c r="E6" s="35">
        <f>+D8</f>
        <v>16875</v>
      </c>
      <c r="F6" s="35">
        <f>+E8</f>
        <v>21937.5</v>
      </c>
      <c r="G6" s="35">
        <f>+F8</f>
        <v>28125</v>
      </c>
      <c r="H6" s="35">
        <f>+G8</f>
        <v>28750</v>
      </c>
    </row>
    <row r="7" spans="2:8" ht="15">
      <c r="B7" t="s">
        <v>9</v>
      </c>
      <c r="C7" s="6"/>
      <c r="D7" s="35">
        <f>+MCL!D27+MCL!M27</f>
        <v>84375</v>
      </c>
      <c r="E7" s="35">
        <f>+MCL!E27+MCL!N27-MCL!M27</f>
        <v>92812.5</v>
      </c>
      <c r="F7" s="35">
        <f>+MCL!F27+MCL!O27-MCL!N27</f>
        <v>118687.5</v>
      </c>
      <c r="G7" s="35">
        <f>+MCL!G27+MCL!P27-MCL!O27</f>
        <v>115625</v>
      </c>
      <c r="H7" s="35">
        <f>+MCL!H27+MCL!Q27-MCL!P27</f>
        <v>118125</v>
      </c>
    </row>
    <row r="8" spans="2:8" ht="15">
      <c r="B8" t="s">
        <v>417</v>
      </c>
      <c r="C8" s="6"/>
      <c r="D8" s="35">
        <f>+MCL!M27</f>
        <v>16875</v>
      </c>
      <c r="E8" s="35">
        <f>+MCL!N27</f>
        <v>21937.5</v>
      </c>
      <c r="F8" s="35">
        <f>+MCL!O27</f>
        <v>28125</v>
      </c>
      <c r="G8" s="35">
        <f>+MCL!P27</f>
        <v>28750</v>
      </c>
      <c r="H8" s="35">
        <f>+MCL!Q27</f>
        <v>29375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387</v>
      </c>
      <c r="C10" s="6"/>
      <c r="D10" s="35">
        <f>+MCL!D74</f>
        <v>0.45</v>
      </c>
      <c r="E10" s="35">
        <f>+MCL!E74</f>
        <v>0.45</v>
      </c>
      <c r="F10" s="35">
        <f>+MCL!F74</f>
        <v>0.5</v>
      </c>
      <c r="G10" s="35">
        <f>+MCL!G74</f>
        <v>0.5</v>
      </c>
      <c r="H10" s="35">
        <f>+MCL!H74</f>
        <v>0.5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202499.55</v>
      </c>
      <c r="E12" s="35">
        <f>+E3-E5-E10</f>
        <v>263249.55</v>
      </c>
      <c r="F12" s="35">
        <f>+F3-F5-F10</f>
        <v>337499.5</v>
      </c>
      <c r="G12" s="35">
        <f>+G3-G5-G10</f>
        <v>344999.5</v>
      </c>
      <c r="H12" s="35">
        <f>+H3-H5-H10</f>
        <v>352499.5</v>
      </c>
    </row>
    <row r="13" spans="2:8" ht="15">
      <c r="B13" t="s">
        <v>418</v>
      </c>
      <c r="D13" s="130">
        <f>+D12/D3</f>
        <v>0.7499983333333333</v>
      </c>
      <c r="E13" s="130">
        <f>+E12/E3</f>
        <v>0.7499987179487179</v>
      </c>
      <c r="F13" s="130">
        <f>+F12/F3</f>
        <v>0.7499988888888889</v>
      </c>
      <c r="G13" s="130">
        <f>+G12/G3</f>
        <v>0.7499989130434782</v>
      </c>
      <c r="H13" s="130">
        <f>+H12/H3</f>
        <v>0.7499989361702127</v>
      </c>
    </row>
    <row r="15" spans="2:8" ht="15">
      <c r="B15" s="6" t="s">
        <v>225</v>
      </c>
      <c r="C15" s="6"/>
      <c r="D15" s="35">
        <f>SUM(D16:D36)</f>
        <v>23100</v>
      </c>
      <c r="E15" s="35">
        <f>SUM(E16:E36)</f>
        <v>23100</v>
      </c>
      <c r="F15" s="35">
        <f>SUM(F16:F36)</f>
        <v>23100</v>
      </c>
      <c r="G15" s="35">
        <f>SUM(G16:G36)</f>
        <v>23100</v>
      </c>
      <c r="H15" s="35">
        <f>SUM(H16:H36)</f>
        <v>23100</v>
      </c>
    </row>
    <row r="16" spans="2:8" ht="15">
      <c r="B16" t="str">
        <f>+Input!C99</f>
        <v>spese utenze</v>
      </c>
      <c r="D16" s="26">
        <f>+Input!F99</f>
        <v>3000</v>
      </c>
      <c r="E16" s="26">
        <f>+Input!G99</f>
        <v>3000</v>
      </c>
      <c r="F16" s="26">
        <f>+Input!H99</f>
        <v>3000</v>
      </c>
      <c r="G16" s="26">
        <f>+Input!I99</f>
        <v>3000</v>
      </c>
      <c r="H16" s="26">
        <f>+Input!J99</f>
        <v>3000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18000</v>
      </c>
      <c r="E24" s="26">
        <f>+Input!G107</f>
        <v>18000</v>
      </c>
      <c r="F24" s="26">
        <f>+Input!H107</f>
        <v>18000</v>
      </c>
      <c r="G24" s="26">
        <f>+Input!I107</f>
        <v>18000</v>
      </c>
      <c r="H24" s="26">
        <f>+Input!J107</f>
        <v>18000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Contibuto Annuo pubblicitario</v>
      </c>
      <c r="D29" s="26">
        <f>+Input!F112</f>
        <v>0</v>
      </c>
      <c r="E29" s="26">
        <f>+Input!G112</f>
        <v>0</v>
      </c>
      <c r="F29" s="26">
        <f>+Input!H112</f>
        <v>0</v>
      </c>
      <c r="G29" s="26">
        <f>+Input!I112</f>
        <v>0</v>
      </c>
      <c r="H29" s="26">
        <f>+Input!J112</f>
        <v>0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23996.735142857142</v>
      </c>
      <c r="E38" s="35">
        <f>SUM(E39:E41)</f>
        <v>23996.735142857142</v>
      </c>
      <c r="F38" s="35">
        <f>SUM(F39:F41)</f>
        <v>23996.735142857142</v>
      </c>
      <c r="G38" s="35">
        <f>SUM(G39:G41)</f>
        <v>23996.735142857142</v>
      </c>
      <c r="H38" s="35">
        <f>SUM(H39:H41)</f>
        <v>23996.735142857142</v>
      </c>
    </row>
    <row r="39" spans="2:8" ht="15">
      <c r="B39" t="s">
        <v>51</v>
      </c>
      <c r="D39" s="26">
        <f>+Inve!D57</f>
        <v>21853.878</v>
      </c>
      <c r="E39" s="26">
        <f>+Inve!E57</f>
        <v>21853.878</v>
      </c>
      <c r="F39" s="26">
        <f>+Inve!F57</f>
        <v>21853.878</v>
      </c>
      <c r="G39" s="26">
        <f>+Inve!G57</f>
        <v>21853.878</v>
      </c>
      <c r="H39" s="26">
        <f>+Inve!H57</f>
        <v>21853.878</v>
      </c>
    </row>
    <row r="40" spans="2:8" ht="15">
      <c r="B40" t="s">
        <v>52</v>
      </c>
      <c r="D40" s="26">
        <f>+Inve!D58</f>
        <v>0</v>
      </c>
      <c r="E40" s="26">
        <f>+Inve!E58</f>
        <v>0</v>
      </c>
      <c r="F40" s="26">
        <f>+Inve!F58</f>
        <v>0</v>
      </c>
      <c r="G40" s="26">
        <f>+Inve!G58</f>
        <v>0</v>
      </c>
      <c r="H40" s="26">
        <f>+Inve!H58</f>
        <v>0</v>
      </c>
    </row>
    <row r="41" spans="2:8" ht="15">
      <c r="B41" t="s">
        <v>424</v>
      </c>
      <c r="D41" s="26">
        <f>+Inve!D73</f>
        <v>2142.8571428571427</v>
      </c>
      <c r="E41" s="26">
        <f>+Inve!E73</f>
        <v>2142.8571428571427</v>
      </c>
      <c r="F41" s="26">
        <f>+Inve!F73</f>
        <v>2142.8571428571427</v>
      </c>
      <c r="G41" s="26">
        <f>+Inve!G73</f>
        <v>2142.8571428571427</v>
      </c>
      <c r="H41" s="26">
        <f>+Inve!H73</f>
        <v>2142.8571428571427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198800</v>
      </c>
      <c r="E43" s="35">
        <f>+Personale!E8</f>
        <v>208740</v>
      </c>
      <c r="F43" s="35">
        <f>+Personale!F8</f>
        <v>208740</v>
      </c>
      <c r="G43" s="35">
        <f>+Personale!G8</f>
        <v>208740</v>
      </c>
      <c r="H43" s="35">
        <f>+Personale!H8</f>
        <v>208740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-43397.18514285714</v>
      </c>
      <c r="E45" s="35">
        <f>+E12-E15-E38-E43</f>
        <v>7412.814857142861</v>
      </c>
      <c r="F45" s="35">
        <f>+F12-F15-F38-F43</f>
        <v>81662.76485714287</v>
      </c>
      <c r="G45" s="35">
        <f>+G12-G15-G38-G43</f>
        <v>89162.76485714287</v>
      </c>
      <c r="H45" s="35">
        <f>+H12-H15-H38-H43</f>
        <v>96662.76485714287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-2385.467515</v>
      </c>
      <c r="E47" s="35">
        <f>-E48+E49</f>
        <v>0</v>
      </c>
      <c r="F47" s="35">
        <f>-F48+F49</f>
        <v>-1642.6900000000014</v>
      </c>
      <c r="G47" s="35">
        <f>-G48+G49</f>
        <v>-1421.7285548290004</v>
      </c>
      <c r="H47" s="35">
        <f>-H48+H49</f>
        <v>-1196.3478807545791</v>
      </c>
    </row>
    <row r="48" spans="2:8" ht="15">
      <c r="B48" t="s">
        <v>129</v>
      </c>
      <c r="D48" s="26">
        <f>+finanziamento!E28+Banca!C9+'Mutuo invitalia'!E28</f>
        <v>2385.467515</v>
      </c>
      <c r="E48" s="26">
        <f>+finanziamento!F28+Banca!D9+'Mutuo invitalia'!F28</f>
        <v>0</v>
      </c>
      <c r="F48" s="26">
        <f>+finanziamento!G28+Banca!E9+'Mutuo invitalia'!G28</f>
        <v>1642.6900000000014</v>
      </c>
      <c r="G48" s="26">
        <f>+finanziamento!H28+Banca!F9+'Mutuo invitalia'!H28</f>
        <v>1421.7285548290004</v>
      </c>
      <c r="H48" s="26">
        <f>+finanziamento!I28+Banca!G9+'Mutuo invitalia'!I28</f>
        <v>1196.3478807545791</v>
      </c>
    </row>
    <row r="49" spans="2:8" ht="15">
      <c r="B49" t="s">
        <v>338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-45782.652657857136</v>
      </c>
      <c r="E51" s="35">
        <f>+E45+E47</f>
        <v>7412.814857142861</v>
      </c>
      <c r="F51" s="35">
        <f>+F45+F47</f>
        <v>80020.07485714287</v>
      </c>
      <c r="G51" s="35">
        <f>+G45+G47</f>
        <v>87741.03630231388</v>
      </c>
      <c r="H51" s="35">
        <f>+H45+H47</f>
        <v>95466.4169763883</v>
      </c>
    </row>
    <row r="53" spans="2:8" ht="15">
      <c r="B53" t="s">
        <v>290</v>
      </c>
      <c r="D53" s="35">
        <f>+Irap!E16</f>
        <v>5967.676546343571</v>
      </c>
      <c r="E53" s="35">
        <f>+Irap!F16</f>
        <v>8429.959779428571</v>
      </c>
      <c r="F53" s="35">
        <f>+Irap!G16</f>
        <v>11261.642919428572</v>
      </c>
      <c r="G53" s="35">
        <f>+Irap!H16</f>
        <v>11562.760415790242</v>
      </c>
      <c r="H53" s="35">
        <f>+Irap!I16</f>
        <v>11864.050262079145</v>
      </c>
    </row>
    <row r="55" spans="2:8" ht="15">
      <c r="B55" s="6" t="s">
        <v>296</v>
      </c>
      <c r="D55" s="35">
        <f>+D51-D53</f>
        <v>-51750.32920420071</v>
      </c>
      <c r="E55" s="35">
        <f>+E51-E53</f>
        <v>-1017.14492228571</v>
      </c>
      <c r="F55" s="35">
        <f>+F51-F53</f>
        <v>68758.4319377143</v>
      </c>
      <c r="G55" s="35">
        <f>+G51-G53</f>
        <v>76178.27588652364</v>
      </c>
      <c r="H55" s="35">
        <f>+H51-H53</f>
        <v>83602.36671430914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355</v>
      </c>
      <c r="C60" s="12"/>
      <c r="D60" s="17"/>
      <c r="E60" s="17"/>
      <c r="F60" s="17"/>
      <c r="G60" s="17"/>
      <c r="H60" s="15"/>
    </row>
    <row r="61" spans="2:8" ht="15">
      <c r="B61" s="16" t="s">
        <v>354</v>
      </c>
      <c r="C61" s="121">
        <f>+Input!D27</f>
        <v>1</v>
      </c>
      <c r="D61" s="34">
        <f>+'Irpef socio'!G27</f>
        <v>0</v>
      </c>
      <c r="E61" s="34">
        <f>+'Irpef socio'!I27</f>
        <v>1704.947417142858</v>
      </c>
      <c r="F61" s="34">
        <f>+'Irpef socio'!K27</f>
        <v>27578.632188571435</v>
      </c>
      <c r="G61" s="34">
        <f>+'Irpef socio'!M27</f>
        <v>30898.64560999497</v>
      </c>
      <c r="H61" s="122">
        <f>+'Irpef socio'!O27</f>
        <v>34220.559299846966</v>
      </c>
    </row>
    <row r="62" spans="2:8" ht="15">
      <c r="B62" s="16" t="s">
        <v>365</v>
      </c>
      <c r="C62" s="121">
        <f>+Input!D27</f>
        <v>1</v>
      </c>
      <c r="D62" s="34">
        <f>+'Inps socio'!T23</f>
        <v>3192.89</v>
      </c>
      <c r="E62" s="34">
        <f>+'Inps socio'!U23</f>
        <v>3192.89</v>
      </c>
      <c r="F62" s="34">
        <f>+'Inps socio'!V23</f>
        <v>17473.599482514288</v>
      </c>
      <c r="G62" s="34">
        <f>+'Inps socio'!W23</f>
        <v>19202.322750088075</v>
      </c>
      <c r="H62" s="122">
        <f>+'Inps socio'!X23</f>
        <v>20932.035483013336</v>
      </c>
    </row>
    <row r="63" spans="2:8" ht="15">
      <c r="B63" s="123" t="s">
        <v>353</v>
      </c>
      <c r="C63" s="121">
        <f>+Input!D27</f>
        <v>1</v>
      </c>
      <c r="D63" s="34">
        <f>+(D55*$C$63)-D61-D62</f>
        <v>-54943.21920420071</v>
      </c>
      <c r="E63" s="34">
        <f>+(E55*$C$63)-E61-E62</f>
        <v>-5914.982339428569</v>
      </c>
      <c r="F63" s="34">
        <f>+(F55*$C$63)-F61-F62</f>
        <v>23706.200266628573</v>
      </c>
      <c r="G63" s="34">
        <f>+(G55*$C$63)-G61-G62</f>
        <v>26077.307526440592</v>
      </c>
      <c r="H63" s="122">
        <f>+(H55*$C$63)-H61-H62</f>
        <v>28449.771931448842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3"/>
  <sheetViews>
    <sheetView showGridLines="0" zoomScalePageLayoutView="0" workbookViewId="0" topLeftCell="A12">
      <selection activeCell="C17" sqref="C17:G17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-43397.18514285714</v>
      </c>
      <c r="D3" s="101">
        <f>+'CE'!E45</f>
        <v>7412.814857142861</v>
      </c>
      <c r="E3" s="101">
        <f>+'CE'!F45</f>
        <v>81662.76485714287</v>
      </c>
      <c r="F3" s="101">
        <f>+'CE'!G45</f>
        <v>89162.76485714287</v>
      </c>
      <c r="G3" s="101">
        <f>+'CE'!H45</f>
        <v>96662.76485714287</v>
      </c>
    </row>
    <row r="4" spans="2:7" ht="15">
      <c r="B4" t="s">
        <v>301</v>
      </c>
      <c r="C4" s="25">
        <f>+SP!C36</f>
        <v>11200</v>
      </c>
      <c r="D4" s="25">
        <f>+SP!D36-SP!C36</f>
        <v>11760</v>
      </c>
      <c r="E4" s="25">
        <f>+SP!E36-SP!D36</f>
        <v>11760</v>
      </c>
      <c r="F4" s="25">
        <f>+SP!F36-SP!E36</f>
        <v>11760</v>
      </c>
      <c r="G4" s="25">
        <f>+SP!G36-SP!F36</f>
        <v>11760</v>
      </c>
    </row>
    <row r="5" spans="2:7" ht="15">
      <c r="B5" t="s">
        <v>302</v>
      </c>
      <c r="C5" s="25">
        <f>+'CE'!D38</f>
        <v>23996.735142857142</v>
      </c>
      <c r="D5" s="25">
        <f>+'CE'!E38</f>
        <v>23996.735142857142</v>
      </c>
      <c r="E5" s="25">
        <f>+'CE'!F38</f>
        <v>23996.735142857142</v>
      </c>
      <c r="F5" s="25">
        <f>+'CE'!G38</f>
        <v>23996.735142857142</v>
      </c>
      <c r="G5" s="25">
        <f>+'CE'!H38</f>
        <v>23996.735142857142</v>
      </c>
    </row>
    <row r="6" spans="2:7" ht="15">
      <c r="B6" t="s">
        <v>303</v>
      </c>
      <c r="C6" s="101">
        <f>+C3+C4+C5</f>
        <v>-8200.449999999997</v>
      </c>
      <c r="D6" s="101">
        <f>+D3+D4+D5</f>
        <v>43169.55</v>
      </c>
      <c r="E6" s="101">
        <f>+E3+E4+E5</f>
        <v>117419.50000000001</v>
      </c>
      <c r="F6" s="101">
        <f>+F3+F4+F5</f>
        <v>124919.50000000001</v>
      </c>
      <c r="G6" s="101">
        <f>+G3+G4+G5</f>
        <v>132419.5</v>
      </c>
    </row>
    <row r="8" spans="2:7" ht="15">
      <c r="B8" s="6" t="s">
        <v>304</v>
      </c>
      <c r="C8" s="101">
        <f>SUM(C9:C13)</f>
        <v>-1406.2956536564288</v>
      </c>
      <c r="D8" s="101">
        <f>SUM(D9:D13)</f>
        <v>-4272.553988258564</v>
      </c>
      <c r="E8" s="101">
        <f>SUM(E9:E13)</f>
        <v>532.9322650000031</v>
      </c>
      <c r="F8" s="101">
        <f>SUM(F9:F13)</f>
        <v>-404.090836971669</v>
      </c>
      <c r="G8" s="101">
        <f>SUM(G9:G13)</f>
        <v>59.62317962224006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2469.7778</v>
      </c>
      <c r="D10" s="25">
        <f>+SP!C8-SP!D8+SP!D33-SP!C33</f>
        <v>3592.214325000008</v>
      </c>
      <c r="E10" s="25">
        <f>+SP!D8-SP!E8+SP!E33-SP!D33</f>
        <v>1732.499125000002</v>
      </c>
      <c r="F10" s="25">
        <f>+SP!E8-SP!F8+SP!F33-SP!E33</f>
        <v>175</v>
      </c>
      <c r="G10" s="25">
        <f>+SP!F8-SP!G8+SP!G33-SP!F33</f>
        <v>175</v>
      </c>
    </row>
    <row r="11" spans="2:7" ht="15">
      <c r="B11" t="s">
        <v>307</v>
      </c>
      <c r="C11" s="25">
        <f>-SP!C11</f>
        <v>-16875</v>
      </c>
      <c r="D11" s="25">
        <f>+SP!C11-SP!D11</f>
        <v>-5062.5</v>
      </c>
      <c r="E11" s="25">
        <f>+SP!D11-SP!E11</f>
        <v>-6187.5</v>
      </c>
      <c r="F11" s="25">
        <f>+SP!E11-SP!F11</f>
        <v>-625</v>
      </c>
      <c r="G11" s="25">
        <f>+SP!F11-SP!G11</f>
        <v>-625</v>
      </c>
    </row>
    <row r="12" spans="2:7" ht="15">
      <c r="B12" t="s">
        <v>308</v>
      </c>
      <c r="C12" s="25">
        <f>+SP!C30</f>
        <v>7031.25</v>
      </c>
      <c r="D12" s="25">
        <f>+SP!D30-SP!C30</f>
        <v>703.125</v>
      </c>
      <c r="E12" s="25">
        <f>+SP!E30-SP!D30</f>
        <v>2156.25</v>
      </c>
      <c r="F12" s="25">
        <f>+SP!F30-SP!E30</f>
        <v>-255.20833333333394</v>
      </c>
      <c r="G12" s="25">
        <f>+SP!G30-SP!F30</f>
        <v>208.33333333333394</v>
      </c>
    </row>
    <row r="13" spans="2:7" ht="15">
      <c r="B13" t="s">
        <v>306</v>
      </c>
      <c r="C13" s="25">
        <f>+SP!C32-SP!C9</f>
        <v>5967.676546343571</v>
      </c>
      <c r="D13" s="25">
        <f>+SP!D32-SP!C32+SP!C9-SP!D9</f>
        <v>-3505.3933132585717</v>
      </c>
      <c r="E13" s="25">
        <f>+SP!E32-SP!D32+SP!D9-SP!E9</f>
        <v>2831.683140000001</v>
      </c>
      <c r="F13" s="25">
        <f>+SP!F32-SP!E32+SP!E9-SP!F9</f>
        <v>301.11749636166496</v>
      </c>
      <c r="G13" s="25">
        <f>+SP!G32-SP!F32+SP!F9-SP!G9</f>
        <v>301.2898462889061</v>
      </c>
    </row>
    <row r="14" ht="15">
      <c r="A14" s="105"/>
    </row>
    <row r="15" spans="2:7" ht="15">
      <c r="B15" s="6" t="s">
        <v>309</v>
      </c>
      <c r="C15" s="101">
        <f>+C6+C8</f>
        <v>-9606.745653656426</v>
      </c>
      <c r="D15" s="101">
        <f>+D6+D8</f>
        <v>38896.99601174144</v>
      </c>
      <c r="E15" s="101">
        <f>+E6+E8</f>
        <v>117952.43226500001</v>
      </c>
      <c r="F15" s="101">
        <f>+F6+F8</f>
        <v>124515.40916302835</v>
      </c>
      <c r="G15" s="101">
        <f>+G6+G8</f>
        <v>132479.12317962223</v>
      </c>
    </row>
    <row r="17" spans="2:7" ht="15">
      <c r="B17" s="6" t="s">
        <v>310</v>
      </c>
      <c r="C17" s="101">
        <f>SUM(C18:C20)</f>
        <v>-124269.39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311</v>
      </c>
      <c r="C18" s="25">
        <f>-SP!C14</f>
        <v>-109269.39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427</v>
      </c>
      <c r="C20" s="25">
        <f>-SP!C16</f>
        <v>-15000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32" t="s">
        <v>397</v>
      </c>
      <c r="C22" s="101">
        <f>-SP!C21</f>
        <v>-10000</v>
      </c>
      <c r="D22" s="101">
        <f>+SP!C21-SP!D21</f>
        <v>0</v>
      </c>
      <c r="E22" s="101">
        <f>+SP!D21-SP!E21</f>
        <v>0</v>
      </c>
      <c r="F22" s="101">
        <f>+SP!E21-SP!F21</f>
        <v>0</v>
      </c>
      <c r="G22" s="101">
        <f>+SP!F21-SP!G21</f>
        <v>0</v>
      </c>
    </row>
    <row r="24" spans="2:7" ht="15">
      <c r="B24" s="6" t="s">
        <v>313</v>
      </c>
      <c r="C24" s="101">
        <f>+C15+C17+C22</f>
        <v>-143876.1356536564</v>
      </c>
      <c r="D24" s="101">
        <f>+D15+D17+D22</f>
        <v>38896.99601174144</v>
      </c>
      <c r="E24" s="101">
        <f>+E15+E17+E22</f>
        <v>117952.43226500001</v>
      </c>
      <c r="F24" s="101">
        <f>+F15+F17+F22</f>
        <v>124515.40916302835</v>
      </c>
      <c r="G24" s="101">
        <f>+G15+G17+G22</f>
        <v>132479.12317962223</v>
      </c>
    </row>
    <row r="26" spans="2:7" ht="15">
      <c r="B26" t="s">
        <v>314</v>
      </c>
      <c r="C26" s="101">
        <f>SUM(C27:C31)</f>
        <v>102134.4619</v>
      </c>
      <c r="D26" s="101">
        <f>SUM(D27:D31)</f>
        <v>20000</v>
      </c>
      <c r="E26" s="101">
        <f>SUM(E27:E31)</f>
        <v>-11048.072258550048</v>
      </c>
      <c r="F26" s="101">
        <f>SUM(F27:F31)</f>
        <v>-11269.033703721048</v>
      </c>
      <c r="G26" s="101">
        <f>SUM(G27:G31)</f>
        <v>-11494.414377795467</v>
      </c>
    </row>
    <row r="27" spans="2:7" ht="15">
      <c r="B27" t="s">
        <v>315</v>
      </c>
      <c r="C27" s="25">
        <f>+SP!C38</f>
        <v>0</v>
      </c>
      <c r="D27" s="25">
        <f>+SP!D38-SP!C38</f>
        <v>0</v>
      </c>
      <c r="E27" s="25">
        <f>+SP!E38-SP!D38</f>
        <v>0</v>
      </c>
      <c r="F27" s="25">
        <f>+SP!F38-SP!E38</f>
        <v>0</v>
      </c>
      <c r="G27" s="25">
        <f>+SP!G38-SP!F38</f>
        <v>0</v>
      </c>
    </row>
    <row r="28" spans="2:7" ht="15">
      <c r="B28" t="s">
        <v>316</v>
      </c>
      <c r="C28" s="25">
        <f>+SP!C40</f>
        <v>0</v>
      </c>
      <c r="D28" s="25">
        <f>+SP!D40-SP!C40</f>
        <v>0</v>
      </c>
      <c r="E28" s="25">
        <f>+SP!E40-SP!D40</f>
        <v>0</v>
      </c>
      <c r="F28" s="25">
        <f>+SP!F40-SP!E40</f>
        <v>0</v>
      </c>
      <c r="G28" s="25">
        <f>+SP!G40-SP!F40</f>
        <v>0</v>
      </c>
    </row>
    <row r="29" spans="2:7" ht="15">
      <c r="B29" t="s">
        <v>404</v>
      </c>
      <c r="C29" s="25">
        <f>+SP!C37</f>
        <v>82134.5</v>
      </c>
      <c r="D29" s="25">
        <f>+SP!D37-SP!C37</f>
        <v>0</v>
      </c>
      <c r="E29" s="25">
        <f>+SP!E37-SP!D37</f>
        <v>-11048.072258550048</v>
      </c>
      <c r="F29" s="25">
        <f>+SP!F37-SP!E37</f>
        <v>-11269.033703721048</v>
      </c>
      <c r="G29" s="25">
        <f>+SP!G37-SP!F37</f>
        <v>-11494.414377795467</v>
      </c>
    </row>
    <row r="30" spans="2:7" ht="15">
      <c r="B30" t="s">
        <v>317</v>
      </c>
      <c r="C30" s="25">
        <f>+SP!C31</f>
        <v>-0.038100000005215406</v>
      </c>
      <c r="D30" s="25">
        <f>+SP!D31-SP!C31</f>
        <v>0</v>
      </c>
      <c r="E30" s="25">
        <f>+SP!E31-SP!D31</f>
        <v>0</v>
      </c>
      <c r="F30" s="25">
        <f>+SP!F31-SP!E31</f>
        <v>0</v>
      </c>
      <c r="G30" s="25">
        <f>+SP!G31-SP!F31</f>
        <v>0</v>
      </c>
    </row>
    <row r="31" spans="2:7" ht="15">
      <c r="B31" t="s">
        <v>410</v>
      </c>
      <c r="C31" s="25">
        <f>+SP!C39</f>
        <v>20000</v>
      </c>
      <c r="D31" s="25">
        <f>+SP!D39-SP!C39</f>
        <v>20000</v>
      </c>
      <c r="E31" s="25">
        <f>+SP!E39-SP!D39</f>
        <v>0</v>
      </c>
      <c r="F31" s="25">
        <f>+SP!F39-SP!E39</f>
        <v>0</v>
      </c>
      <c r="G31" s="25">
        <f>+SP!G39-SP!F39</f>
        <v>0</v>
      </c>
    </row>
    <row r="33" spans="2:7" ht="15">
      <c r="B33" t="s">
        <v>318</v>
      </c>
      <c r="C33" s="101">
        <f>+'CE'!D47</f>
        <v>-2385.467515</v>
      </c>
      <c r="D33" s="101">
        <f>+'CE'!E47</f>
        <v>0</v>
      </c>
      <c r="E33" s="101">
        <f>+'CE'!F47</f>
        <v>-1642.6900000000014</v>
      </c>
      <c r="F33" s="101">
        <f>+'CE'!G47</f>
        <v>-1421.7285548290004</v>
      </c>
      <c r="G33" s="101">
        <f>+'CE'!H47</f>
        <v>-1196.3478807545791</v>
      </c>
    </row>
    <row r="34" spans="2:7" ht="15">
      <c r="B34" t="s">
        <v>319</v>
      </c>
      <c r="C34" s="101">
        <f>-'CE'!D53</f>
        <v>-5967.676546343571</v>
      </c>
      <c r="D34" s="101">
        <f>-'CE'!E53</f>
        <v>-8429.959779428571</v>
      </c>
      <c r="E34" s="101">
        <f>-'CE'!F53</f>
        <v>-11261.642919428572</v>
      </c>
      <c r="F34" s="101">
        <f>-'CE'!G53</f>
        <v>-11562.760415790242</v>
      </c>
      <c r="G34" s="101">
        <f>-'CE'!H53</f>
        <v>-11864.050262079145</v>
      </c>
    </row>
    <row r="35" spans="3:7" ht="15">
      <c r="C35" s="101"/>
      <c r="D35" s="101"/>
      <c r="E35" s="101"/>
      <c r="F35" s="101"/>
      <c r="G35" s="101"/>
    </row>
    <row r="37" spans="2:7" ht="15">
      <c r="B37" t="s">
        <v>320</v>
      </c>
      <c r="C37" s="101">
        <f>+SP!C43</f>
        <v>0</v>
      </c>
      <c r="D37" s="101">
        <f>+SP!D43-SP!C43-SP!C44</f>
        <v>0</v>
      </c>
      <c r="E37" s="101">
        <f>+SP!E43-SP!D43-SP!D44</f>
        <v>-1.8189894035458565E-12</v>
      </c>
      <c r="F37" s="101">
        <f>+SP!F43-SP!E43-SP!E44</f>
        <v>0</v>
      </c>
      <c r="G37" s="101">
        <f>+SP!G43-SP!F43-SP!F44</f>
        <v>0</v>
      </c>
    </row>
    <row r="39" spans="2:7" ht="15">
      <c r="B39" s="6" t="s">
        <v>321</v>
      </c>
      <c r="C39" s="101">
        <f>+C24+C26+C33+C34+C37</f>
        <v>-50094.81781499999</v>
      </c>
      <c r="D39" s="101">
        <f>+D24+D26+D33+D34+D37</f>
        <v>50467.036232312865</v>
      </c>
      <c r="E39" s="101">
        <f>+E24+E26+E33+E34+E37</f>
        <v>94000.02708702139</v>
      </c>
      <c r="F39" s="101">
        <f>+F24+F26+F33+F34+F37</f>
        <v>100261.88648868808</v>
      </c>
      <c r="G39" s="101">
        <f>+G24+G26+G33+G34+G37</f>
        <v>107924.31065899302</v>
      </c>
    </row>
    <row r="41" spans="2:7" ht="15">
      <c r="B41" t="s">
        <v>322</v>
      </c>
      <c r="C41" s="25">
        <f>+SP!C4-SP!C27</f>
        <v>-50094.81781500002</v>
      </c>
      <c r="D41" s="25">
        <f>-(+SP!D27-SP!C27+SP!C4-SP!D4)</f>
        <v>50467.03623231297</v>
      </c>
      <c r="E41" s="25">
        <f>-(+SP!E27-SP!D27+SP!D4-SP!E4)</f>
        <v>94000.02708702139</v>
      </c>
      <c r="F41" s="25">
        <f>-(+SP!F27-SP!E27+SP!E4-SP!F4)</f>
        <v>100261.88648868795</v>
      </c>
      <c r="G41" s="25">
        <f>-(+SP!G27-SP!F27+SP!F4-SP!G4)</f>
        <v>107924.31065899273</v>
      </c>
    </row>
    <row r="43" spans="3:7" ht="15">
      <c r="C43" s="25"/>
      <c r="D43" s="25"/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31">
      <selection activeCell="E60" sqref="E60:H60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270000</v>
      </c>
      <c r="E4" s="33">
        <f>+Input!J35*Input!P35</f>
        <v>351000</v>
      </c>
      <c r="F4" s="33">
        <f>+Input!K35*Input!Q35</f>
        <v>450000</v>
      </c>
      <c r="G4" s="33">
        <f>+Input!L35*Input!R35</f>
        <v>460000</v>
      </c>
      <c r="H4" s="33">
        <f>+Input!M35*Input!S35</f>
        <v>470000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270000</v>
      </c>
      <c r="E13" s="34">
        <f>SUM(E4:E12)</f>
        <v>351000</v>
      </c>
      <c r="F13" s="34">
        <f>SUM(F4:F12)</f>
        <v>450000</v>
      </c>
      <c r="G13" s="34">
        <f>SUM(G4:G12)</f>
        <v>460000</v>
      </c>
      <c r="H13" s="34">
        <f>SUM(H4:H12)</f>
        <v>470000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67500</v>
      </c>
      <c r="E18" s="33">
        <f>+E4*(1-(Input!$E35))</f>
        <v>87750</v>
      </c>
      <c r="F18" s="33">
        <f>+F4*(1-(Input!$E35))</f>
        <v>112500</v>
      </c>
      <c r="G18" s="33">
        <f>+G4*(1-(Input!$E35))</f>
        <v>115000</v>
      </c>
      <c r="H18" s="33">
        <f>+H4*(1-(Input!$E35))</f>
        <v>117500</v>
      </c>
      <c r="I18" s="15"/>
      <c r="K18" s="31"/>
      <c r="L18" s="17" t="str">
        <f aca="true" t="shared" si="0" ref="L18:L26">+C18</f>
        <v>Mp xTipologia 1</v>
      </c>
      <c r="M18" s="29">
        <f>+D18*(Input!$F48/360)</f>
        <v>16875</v>
      </c>
      <c r="N18" s="29">
        <f>+E18*(Input!$F48/360)</f>
        <v>21937.5</v>
      </c>
      <c r="O18" s="29">
        <f>+F18*(Input!$F48/360)</f>
        <v>28125</v>
      </c>
      <c r="P18" s="29">
        <f>+G18*(Input!$F48/360)</f>
        <v>28750</v>
      </c>
      <c r="Q18" s="29">
        <f>+H18*(Input!$F48/360)</f>
        <v>29375</v>
      </c>
      <c r="R18" s="32"/>
      <c r="T18" s="31"/>
      <c r="U18" s="17" t="str">
        <f aca="true" t="shared" si="1" ref="U18:U26">+L18</f>
        <v>Mp xTipologia 1</v>
      </c>
      <c r="V18" s="29">
        <f>+D18+M18</f>
        <v>84375</v>
      </c>
      <c r="W18" s="29">
        <f>+E18+N18-M18</f>
        <v>92812.5</v>
      </c>
      <c r="X18" s="29">
        <f aca="true" t="shared" si="2" ref="X18:Z26">+F18+O18-N18</f>
        <v>118687.5</v>
      </c>
      <c r="Y18" s="29">
        <f t="shared" si="2"/>
        <v>115625</v>
      </c>
      <c r="Z18" s="29">
        <f t="shared" si="2"/>
        <v>118125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67500</v>
      </c>
      <c r="E27" s="34">
        <f>SUM(E18:E26)</f>
        <v>87750</v>
      </c>
      <c r="F27" s="34">
        <f>SUM(F18:F26)</f>
        <v>112500</v>
      </c>
      <c r="G27" s="34">
        <f>SUM(G18:G26)</f>
        <v>115000</v>
      </c>
      <c r="H27" s="34">
        <f>SUM(H18:H26)</f>
        <v>117500</v>
      </c>
      <c r="I27" s="15"/>
      <c r="K27" s="16"/>
      <c r="L27" s="12" t="s">
        <v>15</v>
      </c>
      <c r="M27" s="34">
        <f>SUM(M18:M26)</f>
        <v>16875</v>
      </c>
      <c r="N27" s="34">
        <f>SUM(N18:N26)</f>
        <v>21937.5</v>
      </c>
      <c r="O27" s="34">
        <f>SUM(O18:O26)</f>
        <v>28125</v>
      </c>
      <c r="P27" s="34">
        <f>SUM(P18:P26)</f>
        <v>28750</v>
      </c>
      <c r="Q27" s="34">
        <f>SUM(Q18:Q26)</f>
        <v>29375</v>
      </c>
      <c r="R27" s="32"/>
      <c r="T27" s="16"/>
      <c r="U27" s="12" t="s">
        <v>15</v>
      </c>
      <c r="V27" s="34">
        <f>SUM(V18:V26)</f>
        <v>84375</v>
      </c>
      <c r="W27" s="34">
        <f>SUM(W18:W26)</f>
        <v>92812.5</v>
      </c>
      <c r="X27" s="34">
        <f>SUM(X18:X26)</f>
        <v>118687.5</v>
      </c>
      <c r="Y27" s="34">
        <f>SUM(Y18:Y26)</f>
        <v>115625</v>
      </c>
      <c r="Z27" s="34">
        <f>SUM(Z18:Z26)</f>
        <v>118125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368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56700</v>
      </c>
      <c r="N32" s="33">
        <f>+Input!$F35*E4</f>
        <v>73710</v>
      </c>
      <c r="O32" s="33">
        <f>+Input!$F35*F4</f>
        <v>94500</v>
      </c>
      <c r="P32" s="33">
        <f>+Input!$F35*G4</f>
        <v>96600</v>
      </c>
      <c r="Q32" s="33">
        <f>+Input!$F35*H4</f>
        <v>98700</v>
      </c>
      <c r="R32" s="15"/>
      <c r="T32" s="16"/>
      <c r="U32" s="17" t="str">
        <f>+U18</f>
        <v>Mp xTipologia 1</v>
      </c>
      <c r="V32" s="33">
        <f>+M32/12</f>
        <v>4725</v>
      </c>
      <c r="W32" s="33">
        <f aca="true" t="shared" si="5" ref="W32:Z40">+N32/12</f>
        <v>6142.5</v>
      </c>
      <c r="X32" s="33">
        <f t="shared" si="5"/>
        <v>7875</v>
      </c>
      <c r="Y32" s="33">
        <f t="shared" si="5"/>
        <v>8050</v>
      </c>
      <c r="Z32" s="33">
        <f t="shared" si="5"/>
        <v>8225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56700</v>
      </c>
      <c r="N41" s="34">
        <f>SUM(N32:N40)</f>
        <v>73710</v>
      </c>
      <c r="O41" s="34">
        <f>SUM(O32:O40)</f>
        <v>94500</v>
      </c>
      <c r="P41" s="34">
        <f>SUM(P32:P40)</f>
        <v>96600</v>
      </c>
      <c r="Q41" s="34">
        <f>SUM(Q32:Q40)</f>
        <v>98700</v>
      </c>
      <c r="R41" s="15"/>
      <c r="T41" s="16"/>
      <c r="U41" s="12" t="s">
        <v>370</v>
      </c>
      <c r="V41" s="34">
        <f>SUM(V32:V40)</f>
        <v>4725</v>
      </c>
      <c r="W41" s="34">
        <f>SUM(W32:W40)</f>
        <v>6142.5</v>
      </c>
      <c r="X41" s="34">
        <f>SUM(X32:X40)</f>
        <v>7875</v>
      </c>
      <c r="Y41" s="34">
        <f>SUM(Y32:Y40)</f>
        <v>8050</v>
      </c>
      <c r="Z41" s="34">
        <f>SUM(Z32:Z40)</f>
        <v>8225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369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7031.25</v>
      </c>
      <c r="E46" s="33">
        <f>+IF(Input!$G48=0,0,IF(Input!$G48=30,(W18+N46)/12,IF(Input!$G48=60,(W18+N46)/6,IF(Input!$G48=90,(W18+N46)/4,IF(Input!$G48=120,(W18+N46)/3,IF(Input!$G48=150,(W18+N46)*0.416667,(W18+N46)/2))))))</f>
        <v>7734.375</v>
      </c>
      <c r="F46" s="33">
        <f>+IF(Input!$G48=0,0,IF(Input!$G48=30,(X18+O46)/12,IF(Input!$G48=60,(X18+O46)/6,IF(Input!$G48=90,(X18+O46)/4,IF(Input!$G48=120,(X18+O46)/3,IF(Input!$G48=150,(X18+O46)*0.416667,(X18+O46)/2))))))</f>
        <v>9890.625</v>
      </c>
      <c r="G46" s="33">
        <f>+IF(Input!$G48=0,0,IF(Input!$G48=30,(Y18+P46)/12,IF(Input!$G48=60,(Y18+P46)/6,IF(Input!$G48=90,(Y18+P46)/4,IF(Input!$G48=120,(Y18+P46)/3,IF(Input!$G48=150,(Y18+P46)*0.416667,(Y18+P46)/2))))))</f>
        <v>9635.416666666666</v>
      </c>
      <c r="H46" s="33">
        <f>+IF(Input!$G48=0,0,IF(Input!$G48=30,(Z18+Q46)/12,IF(Input!$G48=60,(Z18+Q46)/6,IF(Input!$G48=90,(Z18+Q46)/4,IF(Input!$G48=120,(Z18+Q46)/3,IF(Input!$G48=150,(Z18+Q46)*0.416667,(Z18+Q46)/2))))))</f>
        <v>9843.75</v>
      </c>
      <c r="I46" s="15"/>
      <c r="K46" s="16"/>
      <c r="L46" s="17" t="str">
        <f>+L32</f>
        <v>Mp xTipologia 1</v>
      </c>
      <c r="M46" s="33">
        <f>+MCL!V18*Input!$E48</f>
        <v>0</v>
      </c>
      <c r="N46" s="33">
        <f>+MCL!W18*Input!$E48</f>
        <v>0</v>
      </c>
      <c r="O46" s="33">
        <f>+MCL!X18*Input!$E48</f>
        <v>0</v>
      </c>
      <c r="P46" s="33">
        <f>+MCL!Y18*Input!$E48</f>
        <v>0</v>
      </c>
      <c r="Q46" s="33">
        <f>+MCL!Z18*Input!$E48</f>
        <v>0</v>
      </c>
      <c r="R46" s="15"/>
      <c r="T46" s="16"/>
      <c r="U46" s="17" t="str">
        <f>+U32</f>
        <v>Mp xTipologia 1</v>
      </c>
      <c r="V46" s="33">
        <f>+M46/12</f>
        <v>0</v>
      </c>
      <c r="W46" s="33">
        <f aca="true" t="shared" si="10" ref="W46:W54">+N46/12</f>
        <v>0</v>
      </c>
      <c r="X46" s="33">
        <f aca="true" t="shared" si="11" ref="X46:X54">+O46/12</f>
        <v>0</v>
      </c>
      <c r="Y46" s="33">
        <f aca="true" t="shared" si="12" ref="Y46:Y54">+P46/12</f>
        <v>0</v>
      </c>
      <c r="Z46" s="33">
        <f aca="true" t="shared" si="13" ref="Z46:Z54">+Q46/12</f>
        <v>0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7031.25</v>
      </c>
      <c r="E55" s="34">
        <f>SUM(E46:E54)</f>
        <v>7734.375</v>
      </c>
      <c r="F55" s="34">
        <f>SUM(F46:F54)</f>
        <v>9890.625</v>
      </c>
      <c r="G55" s="34">
        <f>SUM(G46:G54)</f>
        <v>9635.416666666666</v>
      </c>
      <c r="H55" s="34">
        <f>SUM(H46:H54)</f>
        <v>9843.75</v>
      </c>
      <c r="I55" s="15"/>
      <c r="K55" s="16"/>
      <c r="L55" s="12" t="s">
        <v>25</v>
      </c>
      <c r="M55" s="34">
        <f>SUM(M46:M54)</f>
        <v>0</v>
      </c>
      <c r="N55" s="34">
        <f>SUM(N46:N54)</f>
        <v>0</v>
      </c>
      <c r="O55" s="34">
        <f>SUM(O46:O54)</f>
        <v>0</v>
      </c>
      <c r="P55" s="34">
        <f>SUM(P46:P54)</f>
        <v>0</v>
      </c>
      <c r="Q55" s="34">
        <f>SUM(Q46:Q54)</f>
        <v>0</v>
      </c>
      <c r="R55" s="15"/>
      <c r="T55" s="16"/>
      <c r="U55" s="12" t="s">
        <v>371</v>
      </c>
      <c r="V55" s="34">
        <f>SUM(V46:V54)</f>
        <v>0</v>
      </c>
      <c r="W55" s="34">
        <f>SUM(W46:W54)</f>
        <v>0</v>
      </c>
      <c r="X55" s="34">
        <f>SUM(X46:X54)</f>
        <v>0</v>
      </c>
      <c r="Y55" s="34">
        <f>SUM(Y46:Y54)</f>
        <v>0</v>
      </c>
      <c r="Z55" s="34">
        <f>SUM(Z46:Z54)</f>
        <v>0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326700</v>
      </c>
      <c r="E60" s="33">
        <f>+E4+MCL!N32-MCL!E32+D32</f>
        <v>424710</v>
      </c>
      <c r="F60" s="33">
        <f>+F4+MCL!O32-MCL!F32+E32</f>
        <v>544500</v>
      </c>
      <c r="G60" s="33">
        <f>+G4+MCL!P32-MCL!G32+F32</f>
        <v>556600</v>
      </c>
      <c r="H60" s="33">
        <f>+H4+MCL!Q32-MCL!H32+G32</f>
        <v>568700</v>
      </c>
      <c r="I60" s="15"/>
      <c r="K60" s="16"/>
      <c r="L60" s="17" t="str">
        <f>+L46</f>
        <v>Mp xTipologia 1</v>
      </c>
      <c r="M60" s="33">
        <f>+V18+M46-D46</f>
        <v>77343.75</v>
      </c>
      <c r="N60" s="33">
        <f>+W18+N46-E46+D46</f>
        <v>92109.375</v>
      </c>
      <c r="O60" s="33">
        <f aca="true" t="shared" si="18" ref="O60:Q68">+X18+O46-F46+E46</f>
        <v>116531.25</v>
      </c>
      <c r="P60" s="33">
        <f t="shared" si="18"/>
        <v>115880.20833333333</v>
      </c>
      <c r="Q60" s="33">
        <f t="shared" si="18"/>
        <v>117916.66666666667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326700</v>
      </c>
      <c r="E69" s="34">
        <f>SUM(E60:E68)</f>
        <v>424710</v>
      </c>
      <c r="F69" s="34">
        <f>SUM(F60:F68)</f>
        <v>544500</v>
      </c>
      <c r="G69" s="34">
        <f>SUM(G60:G68)</f>
        <v>556600</v>
      </c>
      <c r="H69" s="34">
        <f>SUM(H60:H68)</f>
        <v>568700</v>
      </c>
      <c r="I69" s="15"/>
      <c r="K69" s="16"/>
      <c r="L69" s="12" t="s">
        <v>36</v>
      </c>
      <c r="M69" s="34">
        <f>SUM(M60:M68)</f>
        <v>77343.75</v>
      </c>
      <c r="N69" s="34">
        <f>SUM(N60:N68)</f>
        <v>92109.375</v>
      </c>
      <c r="O69" s="34">
        <f>SUM(O60:O68)</f>
        <v>116531.25</v>
      </c>
      <c r="P69" s="34">
        <f>SUM(P60:P68)</f>
        <v>115880.20833333333</v>
      </c>
      <c r="Q69" s="34">
        <f>SUM(Q60:Q68)</f>
        <v>117916.66666666667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383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382</v>
      </c>
      <c r="D74" s="33">
        <f>+Input!$D$18*Input!I35</f>
        <v>0.45</v>
      </c>
      <c r="E74" s="33">
        <f>+Input!$D$18*Input!J35</f>
        <v>0.45</v>
      </c>
      <c r="F74" s="33">
        <f>+Input!$D$18*Input!K35</f>
        <v>0.5</v>
      </c>
      <c r="G74" s="33">
        <f>+Input!$D$18*Input!L35</f>
        <v>0.5</v>
      </c>
      <c r="H74" s="33">
        <f>+Input!$D$18*Input!M35</f>
        <v>0.5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382</v>
      </c>
      <c r="D79" s="33">
        <f>+(D74*Input!$F$18)</f>
        <v>0.0945</v>
      </c>
      <c r="E79" s="33">
        <f>+(E74*Input!$F$18)</f>
        <v>0.0945</v>
      </c>
      <c r="F79" s="33">
        <f>+(F74*Input!$F$18)</f>
        <v>0.105</v>
      </c>
      <c r="G79" s="33">
        <f>+(G74*Input!$F$18)</f>
        <v>0.105</v>
      </c>
      <c r="H79" s="33">
        <f>+(H74*Input!$F$18)</f>
        <v>0.105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389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382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390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382</v>
      </c>
      <c r="D89" s="33">
        <f>+D74+D79-D84</f>
        <v>0.5445</v>
      </c>
      <c r="E89" s="33">
        <f>+E74+E79-E84</f>
        <v>0.5445</v>
      </c>
      <c r="F89" s="33">
        <f>+F74+F79-F84</f>
        <v>0.605</v>
      </c>
      <c r="G89" s="33">
        <f>+G74+G79-G84</f>
        <v>0.605</v>
      </c>
      <c r="H89" s="33">
        <f>+H74+H79-H84</f>
        <v>0.605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109269.39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22946.5719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420</v>
      </c>
      <c r="M6" s="33">
        <f>+Input!$D$21*Input!E21</f>
        <v>3150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26096.5719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21853.878</v>
      </c>
      <c r="E10" s="33">
        <f>+IF(D16&gt;=$D$4,0,$D4*Input!$E$70)</f>
        <v>21853.878</v>
      </c>
      <c r="F10" s="33">
        <f>+IF(E16&gt;=$D$4,0,$D4*Input!$E$70)</f>
        <v>21853.878</v>
      </c>
      <c r="G10" s="33">
        <f>+IF(F16&gt;=$D$4,0,$D4*Input!$E$70)</f>
        <v>21853.878</v>
      </c>
      <c r="H10" s="33">
        <f>+IF(G16&gt;=$D$4,0,$D4*Input!$E$70)</f>
        <v>21853.878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0</v>
      </c>
      <c r="E11" s="33">
        <f>+IF(D17&gt;=$D$5,0,$D5*Input!$E$71)</f>
        <v>0</v>
      </c>
      <c r="F11" s="33">
        <f>+IF(E17&gt;=$D$5,0,$D5*Input!$E$71)</f>
        <v>0</v>
      </c>
      <c r="G11" s="33">
        <f>+IF(F17&gt;=$D$5,0,$D5*Input!$E$71)</f>
        <v>0</v>
      </c>
      <c r="H11" s="33">
        <f>+IF(G17&gt;=$D$5,0,$D5*Input!$E$71)</f>
        <v>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-0.038100000005215406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-0.038100000005215406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21853.878</v>
      </c>
      <c r="E16" s="33">
        <f aca="true" t="shared" si="0" ref="E16:H17">+D16+E10</f>
        <v>43707.756</v>
      </c>
      <c r="F16" s="33">
        <f t="shared" si="0"/>
        <v>65561.634</v>
      </c>
      <c r="G16" s="33">
        <f t="shared" si="0"/>
        <v>87415.512</v>
      </c>
      <c r="H16" s="33">
        <f t="shared" si="0"/>
        <v>109269.39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132216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420</v>
      </c>
      <c r="M22" s="33">
        <f>+Input!D23</f>
        <v>18150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150366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21853.878</v>
      </c>
      <c r="E57" s="33">
        <f t="shared" si="5"/>
        <v>21853.878</v>
      </c>
      <c r="F57" s="33">
        <f t="shared" si="5"/>
        <v>21853.878</v>
      </c>
      <c r="G57" s="33">
        <f t="shared" si="5"/>
        <v>21853.878</v>
      </c>
      <c r="H57" s="33">
        <f t="shared" si="5"/>
        <v>21853.878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0</v>
      </c>
      <c r="E58" s="33">
        <f t="shared" si="5"/>
        <v>0</v>
      </c>
      <c r="F58" s="33">
        <f t="shared" si="5"/>
        <v>0</v>
      </c>
      <c r="G58" s="33">
        <f t="shared" si="5"/>
        <v>0</v>
      </c>
      <c r="H58" s="33">
        <f t="shared" si="5"/>
        <v>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21853.878</v>
      </c>
      <c r="E62" s="45">
        <f aca="true" t="shared" si="6" ref="E62:H63">+E57+D62</f>
        <v>43707.756</v>
      </c>
      <c r="F62" s="45">
        <f t="shared" si="6"/>
        <v>65561.634</v>
      </c>
      <c r="G62" s="45">
        <f t="shared" si="6"/>
        <v>87415.512</v>
      </c>
      <c r="H62" s="45">
        <f t="shared" si="6"/>
        <v>109269.39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 t="shared" si="6"/>
        <v>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420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420</v>
      </c>
      <c r="D71" s="33">
        <f>+Input!$D$21</f>
        <v>15000</v>
      </c>
      <c r="E71" s="33">
        <f>+Input!$D$21</f>
        <v>15000</v>
      </c>
      <c r="F71" s="33">
        <f>+Input!$D$21</f>
        <v>15000</v>
      </c>
      <c r="G71" s="33">
        <f>+Input!$D$21</f>
        <v>15000</v>
      </c>
      <c r="H71" s="33">
        <f>+Input!$D$21</f>
        <v>15000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423</v>
      </c>
      <c r="D73" s="33">
        <f>+Input!D21/Input!F21</f>
        <v>2142.8571428571427</v>
      </c>
      <c r="E73" s="33">
        <f>+IF(D75&gt;=Input!$D$21,0,Input!$D$21/Input!$F$21)</f>
        <v>2142.8571428571427</v>
      </c>
      <c r="F73" s="33">
        <f>+IF(E75&gt;=Input!$D$21,0,Input!$D$21/Input!$F$21)</f>
        <v>2142.8571428571427</v>
      </c>
      <c r="G73" s="33">
        <f>+IF(F75&gt;=Input!$D$21,0,Input!$D$21/Input!$F$21)</f>
        <v>2142.8571428571427</v>
      </c>
      <c r="H73" s="33">
        <f>+IF(G75&gt;=Input!$D$21,0,Input!$D$21/Input!$F$21)</f>
        <v>2142.8571428571427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422</v>
      </c>
      <c r="D75" s="33">
        <f>+D73</f>
        <v>2142.8571428571427</v>
      </c>
      <c r="E75" s="33">
        <f>+E73+D75</f>
        <v>4285.714285714285</v>
      </c>
      <c r="F75" s="33">
        <f>+F73+E75</f>
        <v>6428.5714285714275</v>
      </c>
      <c r="G75" s="33">
        <f>+G73+F75</f>
        <v>8571.42857142857</v>
      </c>
      <c r="H75" s="33">
        <f>+H73+G75</f>
        <v>10714.285714285714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140000</v>
      </c>
      <c r="E4" s="33">
        <f>+Input!F79*Input!F77</f>
        <v>147000</v>
      </c>
      <c r="F4" s="33">
        <f>+Input!G79*Input!G77</f>
        <v>147000</v>
      </c>
      <c r="G4" s="33">
        <f>+Input!H79*Input!H77</f>
        <v>147000</v>
      </c>
      <c r="H4" s="33">
        <f>+Input!I79*Input!I77</f>
        <v>147000</v>
      </c>
      <c r="I4" s="15"/>
    </row>
    <row r="5" spans="2:9" ht="15">
      <c r="B5" s="16"/>
      <c r="C5" s="17" t="s">
        <v>69</v>
      </c>
      <c r="D5" s="33">
        <f>+D4*Input!$E$81</f>
        <v>42000</v>
      </c>
      <c r="E5" s="33">
        <f>+E4*Input!$E$81</f>
        <v>44100</v>
      </c>
      <c r="F5" s="33">
        <f>+F4*Input!$E$81</f>
        <v>44100</v>
      </c>
      <c r="G5" s="33">
        <f>+G4*Input!$E$81</f>
        <v>44100</v>
      </c>
      <c r="H5" s="33">
        <f>+H4*Input!$E$81</f>
        <v>44100</v>
      </c>
      <c r="I5" s="15"/>
    </row>
    <row r="6" spans="2:9" ht="15">
      <c r="B6" s="16"/>
      <c r="C6" s="17" t="s">
        <v>70</v>
      </c>
      <c r="D6" s="33">
        <f>+D4*Input!$E$82</f>
        <v>5600</v>
      </c>
      <c r="E6" s="33">
        <f>+E4*Input!$E$82</f>
        <v>5880</v>
      </c>
      <c r="F6" s="33">
        <f>+F4*Input!$E$82</f>
        <v>5880</v>
      </c>
      <c r="G6" s="33">
        <f>+G4*Input!$E$82</f>
        <v>5880</v>
      </c>
      <c r="H6" s="33">
        <f>+H4*Input!$E$82</f>
        <v>5880</v>
      </c>
      <c r="I6" s="15"/>
    </row>
    <row r="7" spans="2:9" ht="15">
      <c r="B7" s="16"/>
      <c r="C7" s="17" t="s">
        <v>71</v>
      </c>
      <c r="D7" s="33">
        <f>+D4*Input!$E$83</f>
        <v>11200</v>
      </c>
      <c r="E7" s="33">
        <f>+E4*Input!$E$83</f>
        <v>11760</v>
      </c>
      <c r="F7" s="33">
        <f>+F4*Input!$E$83</f>
        <v>11760</v>
      </c>
      <c r="G7" s="33">
        <f>+G4*Input!$E$83</f>
        <v>11760</v>
      </c>
      <c r="H7" s="33">
        <f>+H4*Input!$E$83</f>
        <v>11760</v>
      </c>
      <c r="I7" s="15"/>
    </row>
    <row r="8" spans="2:9" ht="15">
      <c r="B8" s="16"/>
      <c r="C8" s="12" t="s">
        <v>74</v>
      </c>
      <c r="D8" s="50">
        <f>SUM(D4:D7)</f>
        <v>198800</v>
      </c>
      <c r="E8" s="50">
        <f>SUM(E4:E7)</f>
        <v>208740</v>
      </c>
      <c r="F8" s="50">
        <f>SUM(F4:F7)</f>
        <v>208740</v>
      </c>
      <c r="G8" s="50">
        <f>SUM(G4:G7)</f>
        <v>208740</v>
      </c>
      <c r="H8" s="50">
        <f>SUM(H4:H7)</f>
        <v>208740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140000</v>
      </c>
      <c r="E14" s="45">
        <f t="shared" si="0"/>
        <v>147000</v>
      </c>
      <c r="F14" s="45">
        <f t="shared" si="0"/>
        <v>147000</v>
      </c>
      <c r="G14" s="45">
        <f t="shared" si="0"/>
        <v>147000</v>
      </c>
      <c r="H14" s="45">
        <f t="shared" si="0"/>
        <v>147000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42000</v>
      </c>
      <c r="E15" s="45">
        <f t="shared" si="0"/>
        <v>44100</v>
      </c>
      <c r="F15" s="45">
        <f t="shared" si="0"/>
        <v>44100</v>
      </c>
      <c r="G15" s="45">
        <f t="shared" si="0"/>
        <v>44100</v>
      </c>
      <c r="H15" s="45">
        <f t="shared" si="0"/>
        <v>44100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5600</v>
      </c>
      <c r="E16" s="45">
        <f aca="true" t="shared" si="2" ref="E16:H17">+E6</f>
        <v>5880</v>
      </c>
      <c r="F16" s="45">
        <f t="shared" si="2"/>
        <v>5880</v>
      </c>
      <c r="G16" s="45">
        <f t="shared" si="2"/>
        <v>5880</v>
      </c>
      <c r="H16" s="45">
        <f t="shared" si="2"/>
        <v>5880</v>
      </c>
      <c r="I16" s="15"/>
    </row>
    <row r="17" spans="2:9" ht="15">
      <c r="B17" s="16"/>
      <c r="C17" s="17" t="str">
        <f t="shared" si="1"/>
        <v>TFR</v>
      </c>
      <c r="D17" s="45">
        <f t="shared" si="1"/>
        <v>11200</v>
      </c>
      <c r="E17" s="45">
        <f t="shared" si="2"/>
        <v>11760</v>
      </c>
      <c r="F17" s="45">
        <f t="shared" si="2"/>
        <v>11760</v>
      </c>
      <c r="G17" s="45">
        <f t="shared" si="2"/>
        <v>11760</v>
      </c>
      <c r="H17" s="45">
        <f t="shared" si="2"/>
        <v>11760</v>
      </c>
      <c r="I17" s="15"/>
    </row>
    <row r="18" spans="2:9" ht="15">
      <c r="B18" s="16"/>
      <c r="C18" s="12" t="s">
        <v>74</v>
      </c>
      <c r="D18" s="50">
        <f>SUM(D14:D17)</f>
        <v>198800</v>
      </c>
      <c r="E18" s="50">
        <f>SUM(E14:E17)</f>
        <v>208740</v>
      </c>
      <c r="F18" s="50">
        <f>SUM(F14:F17)</f>
        <v>208740</v>
      </c>
      <c r="G18" s="50">
        <f>SUM(G14:G17)</f>
        <v>208740</v>
      </c>
      <c r="H18" s="50">
        <f>SUM(H14:H17)</f>
        <v>208740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11200</v>
      </c>
      <c r="E22" s="25">
        <f>+E17</f>
        <v>11760</v>
      </c>
      <c r="F22" s="25">
        <f>+F17</f>
        <v>11760</v>
      </c>
      <c r="G22" s="25">
        <f>+G17</f>
        <v>11760</v>
      </c>
      <c r="H22" s="25">
        <f>+H17</f>
        <v>11760</v>
      </c>
    </row>
    <row r="23" spans="3:8" ht="15">
      <c r="C23" t="s">
        <v>37</v>
      </c>
      <c r="D23" s="25">
        <f>+D18-D22</f>
        <v>187600</v>
      </c>
      <c r="E23" s="25">
        <f>+E18-E22</f>
        <v>196980</v>
      </c>
      <c r="F23" s="25">
        <f>+F18-F22</f>
        <v>196980</v>
      </c>
      <c r="G23" s="25">
        <f>+G18-G22</f>
        <v>196980</v>
      </c>
      <c r="H23" s="25">
        <f>+H18-H22</f>
        <v>196980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2013-01-19T11:24:46Z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