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Mutuo invitalia" sheetId="10" r:id="rId10"/>
    <sheet name="finanziamento" sheetId="11" r:id="rId11"/>
    <sheet name="Altri costi" sheetId="12" r:id="rId12"/>
    <sheet name="Iva" sheetId="13" r:id="rId13"/>
    <sheet name="Irap" sheetId="14" r:id="rId14"/>
    <sheet name="Irpef socio" sheetId="15" r:id="rId15"/>
    <sheet name="Inps socio" sheetId="16" r:id="rId16"/>
    <sheet name="Banca" sheetId="17" r:id="rId17"/>
    <sheet name="Sheet5" sheetId="18" r:id="rId1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<sst xmlns="http://schemas.openxmlformats.org/spreadsheetml/2006/main" count="800" uniqueCount="428">
  <si>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</si>
  <si>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</si>
  <si>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</si>
  <si>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</si>
  <si>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</si>
  <si>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</si>
  <si>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</si>
  <si>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</si>
  <si>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</si>
  <si>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</si>
  <si>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Vendite</t>
  </si>
  <si>
    <t>Aliquota iva media</t>
  </si>
  <si>
    <t>dilazione Clienti</t>
  </si>
  <si>
    <t>Giorni dil fornitore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</si>
  <si>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</si>
  <si>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</si>
  <si>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</si>
  <si>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</si>
  <si>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</si>
  <si>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</si>
  <si>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</si>
  <si>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</si>
  <si>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</si>
  <si>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</si>
  <si>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</si>
  <si>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</si>
  <si>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</si>
  <si>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</si>
  <si>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</si>
  <si>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</si>
  <si>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</si>
  <si>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</si>
  <si>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</si>
  <si>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</si>
  <si>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</si>
  <si>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</si>
  <si>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</si>
  <si>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</si>
  <si>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</si>
  <si>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</si>
  <si>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</si>
  <si>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</si>
  <si>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</si>
  <si>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</si>
  <si>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</si>
  <si>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</si>
  <si>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</si>
  <si>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</si>
  <si>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</si>
  <si>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</si>
  <si>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</si>
  <si>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</si>
  <si>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</si>
  <si>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</si>
  <si>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</si>
  <si>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</si>
  <si>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</si>
  <si>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</si>
  <si>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</si>
  <si>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</si>
  <si>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</si>
  <si>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</si>
  <si>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</si>
  <si>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</si>
  <si>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</si>
  <si>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</si>
  <si>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</si>
  <si>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</si>
  <si>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</si>
  <si>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</si>
  <si>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</si>
  <si>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</si>
  <si>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</si>
  <si>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</si>
  <si>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</si>
  <si>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</si>
  <si>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</si>
  <si>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</si>
  <si>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</si>
  <si>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</si>
  <si>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</si>
  <si>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</si>
  <si>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</si>
  <si>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</si>
  <si>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</si>
  <si>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</si>
  <si>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</si>
  <si>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</si>
  <si>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</si>
  <si>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</si>
  <si>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</si>
  <si>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</si>
  <si>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</si>
  <si>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</si>
  <si>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</si>
  <si>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</si>
  <si>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</si>
  <si>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</si>
  <si>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</si>
  <si>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</si>
  <si>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</si>
  <si>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</si>
  <si>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</si>
  <si>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</si>
  <si>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</si>
  <si>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</si>
  <si>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</si>
  <si>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</si>
  <si>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</si>
  <si>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</si>
  <si>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</si>
  <si>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</si>
  <si>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</si>
  <si>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</si>
  <si>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</si>
  <si>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</si>
  <si>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</si>
  <si>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</si>
  <si>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</si>
  <si>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</si>
  <si>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</si>
  <si>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</si>
  <si>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</si>
  <si>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</si>
  <si>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</si>
  <si>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</si>
  <si>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</si>
  <si>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</si>
  <si>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</si>
  <si>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</si>
  <si>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</si>
  <si>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</si>
  <si>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</si>
  <si>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</si>
  <si>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</si>
  <si>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</si>
  <si>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</si>
  <si>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</si>
  <si>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</si>
  <si>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</si>
  <si>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</si>
  <si>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</si>
  <si>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</si>
  <si>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</si>
  <si>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</si>
  <si>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</si>
  <si>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</si>
  <si>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</si>
  <si>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</si>
  <si>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</si>
  <si>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</si>
  <si>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</si>
  <si>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</si>
  <si>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</si>
  <si>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</si>
  <si>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</si>
  <si>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</si>
  <si>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</si>
  <si>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</si>
  <si>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</si>
  <si>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</si>
  <si>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</si>
  <si>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</si>
  <si>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</si>
  <si>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</si>
  <si>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</si>
  <si>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</si>
  <si>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</si>
  <si>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</si>
  <si>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</si>
  <si>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</si>
  <si>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</si>
  <si>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</si>
  <si>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</si>
  <si>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</si>
  <si>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</si>
  <si>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</si>
  <si>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</si>
  <si>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</si>
  <si>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</si>
  <si>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</si>
  <si>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</si>
  <si>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</si>
  <si>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</si>
  <si>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</si>
  <si>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</si>
  <si>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</si>
  <si>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</si>
  <si>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</si>
  <si>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</si>
  <si>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</si>
  <si>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</si>
  <si>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</si>
  <si>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</si>
  <si>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</si>
  <si>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</si>
  <si>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</si>
  <si>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</si>
  <si>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</si>
  <si>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</si>
  <si>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</si>
  <si>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</si>
  <si>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</si>
  <si>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</si>
  <si>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</si>
  <si>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</si>
  <si>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</si>
  <si>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</si>
  <si>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</si>
  <si>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</si>
  <si>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</si>
  <si>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</si>
  <si>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</si>
  <si>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</si>
  <si>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</si>
  <si>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</si>
  <si>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</si>
  <si>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</si>
  <si>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</si>
  <si>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</si>
  <si>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</si>
  <si>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</si>
  <si>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</si>
  <si>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</si>
  <si>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</si>
  <si>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</si>
  <si>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</si>
  <si>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</si>
  <si>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</si>
  <si>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</si>
  <si>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</si>
  <si>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</si>
  <si>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</si>
  <si>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</si>
  <si>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</si>
  <si>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</si>
  <si>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</si>
  <si>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</si>
  <si>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</si>
  <si>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</si>
  <si>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</si>
  <si>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</si>
  <si>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</si>
  <si>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</si>
  <si>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</si>
  <si>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</si>
  <si>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</si>
  <si>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</si>
  <si>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</si>
  <si>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</si>
  <si>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</si>
  <si>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</si>
  <si>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</si>
  <si>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</si>
  <si>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</si>
  <si>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</si>
  <si>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</si>
  <si>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</si>
  <si>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</si>
  <si>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</si>
  <si>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</si>
  <si>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</si>
  <si>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</si>
  <si>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</si>
  <si>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</si>
  <si>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</si>
  <si>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</si>
  <si>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</si>
  <si>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</si>
  <si>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</si>
  <si>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</si>
  <si>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</si>
  <si>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</si>
  <si>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</si>
  <si>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</si>
  <si>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</si>
  <si>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</si>
  <si>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</si>
  <si>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</si>
  <si>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</si>
  <si>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</si>
  <si>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</si>
  <si>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</si>
  <si>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</si>
  <si>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</si>
  <si>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</si>
  <si>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</si>
  <si>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</si>
  <si>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</si>
  <si>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</si>
  <si>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</si>
  <si>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</si>
  <si>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</si>
  <si>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</si>
  <si>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</si>
  <si>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</si>
  <si>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</si>
  <si>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</si>
  <si>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</si>
  <si>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</si>
  <si>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</si>
  <si>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</si>
  <si>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</si>
  <si>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</si>
  <si>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</si>
  <si>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</si>
  <si>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</si>
  <si>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</si>
  <si>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</si>
  <si>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</si>
  <si>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</si>
  <si>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</si>
  <si>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</si>
  <si>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</si>
  <si>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</si>
  <si>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</si>
  <si>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</si>
  <si>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</si>
  <si>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</si>
  <si>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</si>
  <si>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</si>
  <si>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</si>
  <si>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</si>
  <si>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</si>
  <si>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</si>
  <si>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</si>
  <si>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</si>
  <si>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</si>
  <si>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</si>
  <si>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</si>
  <si>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</si>
  <si>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</si>
  <si>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</si>
  <si>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</si>
  <si>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</si>
  <si>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</si>
  <si>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</si>
  <si>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</si>
  <si>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</si>
  <si>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</si>
  <si>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</si>
  <si>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</si>
  <si>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</si>
  <si>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</si>
  <si>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</si>
  <si>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</si>
  <si>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</si>
  <si>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</si>
  <si>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</si>
  <si>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</si>
  <si>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</si>
  <si>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 xml:space="preserve">Commercio 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</si>
  <si>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</si>
  <si>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</si>
  <si>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</si>
  <si>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</si>
  <si>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</si>
  <si>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</si>
  <si>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</si>
  <si>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</si>
  <si>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</si>
  <si>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</si>
  <si>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</si>
  <si>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</si>
  <si>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</si>
  <si>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</si>
  <si>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</si>
  <si>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</si>
  <si>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</si>
  <si>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</si>
  <si>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</si>
  <si>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</si>
  <si>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</si>
  <si>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Tipologia 1</t>
  </si>
  <si>
    <t>Tipologia 2</t>
  </si>
  <si>
    <t>Tipologia 3</t>
  </si>
  <si>
    <t>Tipologia 4</t>
  </si>
  <si>
    <t>Tipologia 5</t>
  </si>
  <si>
    <t>Tipologia 6</t>
  </si>
  <si>
    <t>Tipologia 7</t>
  </si>
  <si>
    <t>Tipologia 8</t>
  </si>
  <si>
    <t>Tipologia 9</t>
  </si>
  <si>
    <t>Royalties Fatturato</t>
  </si>
  <si>
    <t xml:space="preserve">Royalties </t>
  </si>
  <si>
    <t>Royalties Franchising</t>
  </si>
  <si>
    <t>Royalties franchising</t>
  </si>
  <si>
    <t>Acquisti</t>
  </si>
  <si>
    <t>Debito v/Franchisor</t>
  </si>
  <si>
    <t>Uscite Franchisor</t>
  </si>
  <si>
    <t>www.bpexcel.it</t>
  </si>
  <si>
    <t>MARCHIO:</t>
  </si>
  <si>
    <t>Margine contribuzione</t>
  </si>
  <si>
    <t>Importo Fidejussione</t>
  </si>
  <si>
    <t>SEZIONE FINANZIAMENTO INVITALIA</t>
  </si>
  <si>
    <t>Fidejussione</t>
  </si>
  <si>
    <t xml:space="preserve">      -Fidejussione</t>
  </si>
  <si>
    <t>Investimenti Finanziabili</t>
  </si>
  <si>
    <t>Costi di conto gestione finanziabili</t>
  </si>
  <si>
    <t>Contributo a fondo Perduto</t>
  </si>
  <si>
    <t>Totale Contributo</t>
  </si>
  <si>
    <t>tasso interesse mutuo</t>
  </si>
  <si>
    <t>Mutuo invitalia</t>
  </si>
  <si>
    <t xml:space="preserve">     - Mutuo Invitalia</t>
  </si>
  <si>
    <t>Erogazione</t>
  </si>
  <si>
    <t>Conto Gestione</t>
  </si>
  <si>
    <t>a3</t>
  </si>
  <si>
    <t>Contributo f/perduto</t>
  </si>
  <si>
    <t>Costo annuale fidejussione</t>
  </si>
  <si>
    <t xml:space="preserve">     - Contributo fondo Perduto</t>
  </si>
  <si>
    <t>Consumi MP</t>
  </si>
  <si>
    <t>Giacenza magazzino</t>
  </si>
  <si>
    <t>Prezzo medio</t>
  </si>
  <si>
    <t>Quantità</t>
  </si>
  <si>
    <t>Mp iniziali</t>
  </si>
  <si>
    <t>Mp Finali</t>
  </si>
  <si>
    <t>% Margine di contribuzione</t>
  </si>
  <si>
    <t>anni durata contratto</t>
  </si>
  <si>
    <t>Fee d'ingresso</t>
  </si>
  <si>
    <t>F.ddo amm.to fee d'ingresso</t>
  </si>
  <si>
    <t>Fondo ammortamento</t>
  </si>
  <si>
    <t>Ammortamento</t>
  </si>
  <si>
    <t>Amm.ti fee d'ingresso</t>
  </si>
  <si>
    <t>Fee di Ingresso (al netto iva)</t>
  </si>
  <si>
    <t>Pagamento fee d'ingresso (con iva)</t>
  </si>
  <si>
    <t xml:space="preserve">          3) Fee d'ingresso</t>
  </si>
  <si>
    <t>Materassi &amp; Materassi</t>
  </si>
  <si>
    <t>Settore Bedding</t>
  </si>
  <si>
    <t>% Fatturato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</si>
</sst>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9" fontId="43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3" fillId="8" borderId="0" xfId="0" applyFont="1" applyFill="1" applyBorder="1" applyAlignment="1">
      <alignment/>
    </xf>
    <xf numFmtId="0" fontId="43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3" fillId="0" borderId="26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3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7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0" fontId="27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 applyProtection="1">
      <alignment horizontal="left"/>
      <protection hidden="1"/>
    </xf>
    <xf numFmtId="164" fontId="43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3" fillId="0" borderId="0" xfId="0" applyFont="1" applyFill="1" applyAlignment="1" quotePrefix="1">
      <alignment/>
    </xf>
    <xf numFmtId="9" fontId="43" fillId="0" borderId="0" xfId="59" applyNumberFormat="1" applyFont="1" applyFill="1" applyAlignment="1">
      <alignment/>
    </xf>
    <xf numFmtId="3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37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0" fontId="46" fillId="0" borderId="36" xfId="0" applyNumberFormat="1" applyFont="1" applyBorder="1" applyAlignment="1">
      <alignment horizontal="center" vertical="center" wrapText="1"/>
    </xf>
    <xf numFmtId="165" fontId="46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0" fontId="45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3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3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173" fontId="0" fillId="2" borderId="0" xfId="59" applyNumberFormat="1" applyFont="1" applyFill="1" applyAlignment="1" applyProtection="1">
      <alignment horizontal="center"/>
      <protection hidden="1"/>
    </xf>
    <xf numFmtId="10" fontId="0" fillId="0" borderId="0" xfId="59" applyNumberFormat="1" applyFont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47" fillId="16" borderId="0" xfId="53" applyFont="1" applyFill="1" applyAlignment="1">
      <alignment horizontal="center"/>
    </xf>
    <xf numFmtId="0" fontId="43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32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3" fillId="0" borderId="18" xfId="0" applyFont="1" applyBorder="1" applyAlignment="1">
      <alignment/>
    </xf>
    <xf numFmtId="0" fontId="0" fillId="7" borderId="0" xfId="0" applyFill="1" applyBorder="1" applyAlignment="1">
      <alignment/>
    </xf>
    <xf numFmtId="9" fontId="0" fillId="7" borderId="34" xfId="59" applyFont="1" applyFill="1" applyBorder="1" applyAlignment="1">
      <alignment horizontal="center"/>
    </xf>
    <xf numFmtId="165" fontId="43" fillId="0" borderId="15" xfId="0" applyNumberFormat="1" applyFont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48"/>
  <sheetViews>
    <sheetView showGridLines="0" tabSelected="1" zoomScale="110" zoomScaleNormal="110" zoomScalePageLayoutView="0" workbookViewId="0" topLeftCell="A1">
      <pane xSplit="1" ySplit="11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1" sqref="A151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bestFit="1" customWidth="1"/>
    <col min="5" max="5" width="15.140625" style="0" customWidth="1"/>
    <col min="6" max="6" width="12.00390625" style="0" customWidth="1"/>
    <col min="7" max="7" width="11.421875" style="0" customWidth="1"/>
    <col min="8" max="8" width="19.421875" style="0" bestFit="1" customWidth="1"/>
    <col min="9" max="9" width="17.00390625" style="0" bestFit="1" customWidth="1"/>
    <col min="10" max="10" width="13.140625" style="0" bestFit="1" customWidth="1"/>
    <col min="11" max="11" width="17.8515625" style="0" customWidth="1"/>
    <col min="13" max="13" width="11.421875" style="0" customWidth="1"/>
    <col min="18" max="18" width="9.7109375" style="0" bestFit="1" customWidth="1"/>
    <col min="29" max="29" width="11.00390625" style="0" bestFit="1" customWidth="1"/>
    <col min="30" max="30" width="15.57421875" style="0" bestFit="1" customWidth="1"/>
  </cols>
  <sheetData>
    <row r="2" spans="5:6" ht="15">
      <c r="E2" s="6" t="s">
        <v>390</v>
      </c>
      <c r="F2" s="137" t="s">
        <v>425</v>
      </c>
    </row>
    <row r="3" spans="3:13" ht="46.5">
      <c r="C3" s="136" t="s">
        <v>389</v>
      </c>
      <c r="E3" s="6" t="s">
        <v>348</v>
      </c>
      <c r="F3" t="s">
        <v>351</v>
      </c>
      <c r="H3" t="s">
        <v>372</v>
      </c>
      <c r="I3" s="126" t="s">
        <v>426</v>
      </c>
      <c r="J3" s="6" t="s">
        <v>349</v>
      </c>
      <c r="K3" s="126" t="s">
        <v>352</v>
      </c>
      <c r="M3" s="2" t="s">
        <v>367</v>
      </c>
    </row>
    <row r="4" ht="15.75" thickBot="1"/>
    <row r="5" spans="2:11" ht="15">
      <c r="B5" s="8"/>
      <c r="C5" s="21" t="s">
        <v>251</v>
      </c>
      <c r="D5" s="9"/>
      <c r="E5" s="9"/>
      <c r="F5" s="9"/>
      <c r="G5" s="9"/>
      <c r="H5" s="9"/>
      <c r="I5" s="10"/>
      <c r="K5" s="6" t="s">
        <v>347</v>
      </c>
    </row>
    <row r="6" spans="2:11" ht="15">
      <c r="B6" s="16"/>
      <c r="C6" s="17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5"/>
      <c r="K6" s="105" t="s">
        <v>344</v>
      </c>
    </row>
    <row r="7" spans="2:11" ht="15">
      <c r="B7" s="16"/>
      <c r="C7" s="17" t="s">
        <v>350</v>
      </c>
      <c r="D7" s="50">
        <f>+'CE'!D55</f>
        <v>6182.517788214283</v>
      </c>
      <c r="E7" s="50">
        <f>+'CE'!E55</f>
        <v>16886.57428571427</v>
      </c>
      <c r="F7" s="50">
        <f>+'CE'!F55</f>
        <v>29898.514285714286</v>
      </c>
      <c r="G7" s="50">
        <f>+'CE'!G55</f>
        <v>32347.10687451087</v>
      </c>
      <c r="H7" s="50">
        <f>+'CE'!H55</f>
        <v>34798.54331508339</v>
      </c>
      <c r="I7" s="15"/>
      <c r="K7" s="105" t="s">
        <v>345</v>
      </c>
    </row>
    <row r="8" spans="2:11" ht="15">
      <c r="B8" s="16"/>
      <c r="C8" s="17" t="s">
        <v>366</v>
      </c>
      <c r="D8" s="50">
        <f>+'CE'!D63</f>
        <v>1112.3113560714269</v>
      </c>
      <c r="E8" s="50">
        <f>+'CE'!E63</f>
        <v>8105.988896142848</v>
      </c>
      <c r="F8" s="50">
        <f>+'CE'!F63</f>
        <v>14023.937181857145</v>
      </c>
      <c r="G8" s="50">
        <f>+'CE'!G63</f>
        <v>14959.294454851137</v>
      </c>
      <c r="H8" s="50">
        <f>+'CE'!H63</f>
        <v>15895.738073305009</v>
      </c>
      <c r="I8" s="15"/>
      <c r="K8" s="105" t="s">
        <v>299</v>
      </c>
    </row>
    <row r="9" spans="2:9" ht="15">
      <c r="B9" s="16"/>
      <c r="C9" s="17"/>
      <c r="D9" s="124"/>
      <c r="E9" s="124"/>
      <c r="F9" s="124"/>
      <c r="G9" s="124"/>
      <c r="H9" s="124"/>
      <c r="I9" s="15"/>
    </row>
    <row r="10" spans="2:9" ht="15">
      <c r="B10" s="16"/>
      <c r="C10" s="17" t="s">
        <v>283</v>
      </c>
      <c r="D10" s="50">
        <f>+IF(SP!C4&gt;0,SP!C4,-SP!C27)</f>
        <v>11161.852499999979</v>
      </c>
      <c r="E10" s="50">
        <f>+IF(SP!D4&gt;0,SP!D4,-SP!D27)</f>
        <v>67686.9348621429</v>
      </c>
      <c r="F10" s="50">
        <f>+IF(SP!E4&gt;0,SP!E4,-SP!E27)</f>
        <v>112603.61703837721</v>
      </c>
      <c r="G10" s="50">
        <f>+IF(SP!F4&gt;0,SP!F4,-SP!F27)</f>
        <v>157953.5933812781</v>
      </c>
      <c r="H10" s="50">
        <f>+IF(SP!G4&gt;0,SP!G4,-SP!G27)</f>
        <v>205932.9366612623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268</v>
      </c>
      <c r="D14" s="17"/>
      <c r="E14" s="17"/>
      <c r="F14" s="17"/>
      <c r="G14" s="17"/>
      <c r="H14" s="17"/>
      <c r="I14" s="15"/>
    </row>
    <row r="15" spans="2:34" ht="15">
      <c r="B15" s="16"/>
      <c r="C15" s="17" t="s">
        <v>256</v>
      </c>
      <c r="D15" s="104" t="s">
        <v>266</v>
      </c>
      <c r="E15" s="17"/>
      <c r="F15" s="17"/>
      <c r="G15" s="17"/>
      <c r="H15" s="17"/>
      <c r="I15" s="15"/>
      <c r="AH15" t="s">
        <v>266</v>
      </c>
    </row>
    <row r="16" spans="2:34" ht="15">
      <c r="B16" s="16"/>
      <c r="C16" s="17"/>
      <c r="D16" s="17"/>
      <c r="E16" s="17"/>
      <c r="F16" s="17"/>
      <c r="G16" s="17"/>
      <c r="H16" s="17"/>
      <c r="I16" s="15"/>
      <c r="AH16" t="s">
        <v>267</v>
      </c>
    </row>
    <row r="17" spans="2:9" ht="15">
      <c r="B17" s="16"/>
      <c r="C17" s="17"/>
      <c r="D17" s="13" t="s">
        <v>427</v>
      </c>
      <c r="E17" s="127"/>
      <c r="F17" s="127" t="s">
        <v>226</v>
      </c>
      <c r="G17" s="17"/>
      <c r="H17" s="17"/>
      <c r="I17" s="15"/>
    </row>
    <row r="18" spans="2:9" ht="15">
      <c r="B18" s="16"/>
      <c r="C18" s="17" t="s">
        <v>384</v>
      </c>
      <c r="D18" s="23">
        <v>0.05</v>
      </c>
      <c r="E18" s="17"/>
      <c r="F18" s="23">
        <v>0.21</v>
      </c>
      <c r="G18" s="17"/>
      <c r="H18" s="17"/>
      <c r="I18" s="15"/>
    </row>
    <row r="19" spans="2:9" ht="15">
      <c r="B19" s="16"/>
      <c r="C19" s="17"/>
      <c r="D19" s="17"/>
      <c r="E19" s="17"/>
      <c r="F19" s="17"/>
      <c r="G19" s="17"/>
      <c r="H19" s="17"/>
      <c r="I19" s="15"/>
    </row>
    <row r="20" spans="2:9" ht="30">
      <c r="B20" s="16"/>
      <c r="C20" s="17"/>
      <c r="D20" s="17"/>
      <c r="E20" s="127" t="s">
        <v>226</v>
      </c>
      <c r="F20" s="127" t="s">
        <v>416</v>
      </c>
      <c r="G20" s="17"/>
      <c r="H20" s="17"/>
      <c r="I20" s="15"/>
    </row>
    <row r="21" spans="2:9" ht="15">
      <c r="B21" s="16"/>
      <c r="C21" s="17" t="s">
        <v>422</v>
      </c>
      <c r="D21" s="2">
        <v>15000</v>
      </c>
      <c r="E21" s="23">
        <v>0.21</v>
      </c>
      <c r="F21" s="146">
        <v>7</v>
      </c>
      <c r="G21" s="17"/>
      <c r="H21" s="17"/>
      <c r="I21" s="15"/>
    </row>
    <row r="22" spans="2:10" ht="15">
      <c r="B22" s="16"/>
      <c r="C22" s="17"/>
      <c r="D22" s="13" t="str">
        <f>+D6</f>
        <v>Anno 1</v>
      </c>
      <c r="E22" s="13" t="str">
        <f>+E6</f>
        <v>Anno 2</v>
      </c>
      <c r="F22" s="13" t="str">
        <f>+F6</f>
        <v>Anno 3</v>
      </c>
      <c r="G22" s="13" t="str">
        <f>+G6</f>
        <v>Anno 4</v>
      </c>
      <c r="H22" s="13" t="str">
        <f>+H6</f>
        <v>Anno 5</v>
      </c>
      <c r="I22" s="148" t="s">
        <v>45</v>
      </c>
      <c r="J22" s="17"/>
    </row>
    <row r="23" spans="2:9" ht="15">
      <c r="B23" s="16"/>
      <c r="C23" s="17" t="s">
        <v>423</v>
      </c>
      <c r="D23" s="2">
        <v>9680</v>
      </c>
      <c r="E23" s="2">
        <v>0</v>
      </c>
      <c r="F23" s="2"/>
      <c r="G23" s="2"/>
      <c r="H23" s="2"/>
      <c r="I23" s="147">
        <f>+($D$21+($D$21*E21))-SUM(D23:H23)</f>
        <v>8470</v>
      </c>
    </row>
    <row r="24" spans="2:9" ht="15">
      <c r="B24" s="16"/>
      <c r="C24" s="17"/>
      <c r="D24" s="17"/>
      <c r="E24" s="17"/>
      <c r="F24" s="17"/>
      <c r="G24" s="17"/>
      <c r="H24" s="17"/>
      <c r="I24" s="15"/>
    </row>
    <row r="25" spans="2:9" ht="15">
      <c r="B25" s="16"/>
      <c r="C25" s="17"/>
      <c r="D25" s="2"/>
      <c r="E25" s="17"/>
      <c r="F25" s="17"/>
      <c r="G25" s="17"/>
      <c r="H25" s="17"/>
      <c r="I25" s="15"/>
    </row>
    <row r="26" spans="2:9" ht="15">
      <c r="B26" s="16"/>
      <c r="C26" s="17"/>
      <c r="D26" s="17"/>
      <c r="E26" s="17"/>
      <c r="F26" s="17"/>
      <c r="G26" s="17"/>
      <c r="H26" s="17"/>
      <c r="I26" s="15"/>
    </row>
    <row r="27" spans="2:9" ht="15">
      <c r="B27" s="16"/>
      <c r="C27" s="17" t="s">
        <v>282</v>
      </c>
      <c r="D27" s="23">
        <v>1</v>
      </c>
      <c r="E27" s="12"/>
      <c r="F27" s="17"/>
      <c r="G27" s="17"/>
      <c r="H27" s="17"/>
      <c r="I27" s="15"/>
    </row>
    <row r="28" spans="2:9" ht="15">
      <c r="B28" s="16"/>
      <c r="C28" s="17"/>
      <c r="D28" s="12" t="str">
        <f>+D6</f>
        <v>Anno 1</v>
      </c>
      <c r="E28" s="12" t="str">
        <f>+E6</f>
        <v>Anno 2</v>
      </c>
      <c r="F28" s="12" t="str">
        <f>+F6</f>
        <v>Anno 3</v>
      </c>
      <c r="G28" s="12" t="str">
        <f>+G6</f>
        <v>Anno 4</v>
      </c>
      <c r="H28" s="12" t="str">
        <f>+H6</f>
        <v>Anno 5</v>
      </c>
      <c r="I28" s="15"/>
    </row>
    <row r="29" spans="2:9" ht="15">
      <c r="B29" s="16"/>
      <c r="C29" s="17" t="s">
        <v>336</v>
      </c>
      <c r="D29" s="2">
        <v>0</v>
      </c>
      <c r="E29" s="2"/>
      <c r="F29" s="2"/>
      <c r="G29" s="2"/>
      <c r="H29" s="2"/>
      <c r="I29" s="15"/>
    </row>
    <row r="30" spans="2:9" ht="15">
      <c r="B30" s="16"/>
      <c r="C30" s="17" t="s">
        <v>337</v>
      </c>
      <c r="E30" s="2">
        <v>0</v>
      </c>
      <c r="F30" s="2"/>
      <c r="G30" s="2"/>
      <c r="H30" s="2"/>
      <c r="I30" s="15"/>
    </row>
    <row r="31" spans="2:9" ht="15.75" thickBot="1">
      <c r="B31" s="18"/>
      <c r="C31" s="19"/>
      <c r="D31" s="103"/>
      <c r="E31" s="103"/>
      <c r="F31" s="103"/>
      <c r="G31" s="103"/>
      <c r="H31" s="103"/>
      <c r="I31" s="20"/>
    </row>
    <row r="32" ht="15.75" thickBot="1"/>
    <row r="33" spans="2:20" ht="15">
      <c r="B33" s="8"/>
      <c r="C33" s="21" t="s">
        <v>10</v>
      </c>
      <c r="D33" s="9"/>
      <c r="E33" s="9"/>
      <c r="F33" s="9"/>
      <c r="G33" s="9"/>
      <c r="H33" s="9"/>
      <c r="I33" s="21" t="s">
        <v>411</v>
      </c>
      <c r="J33" s="21"/>
      <c r="K33" s="21"/>
      <c r="L33" s="21"/>
      <c r="M33" s="21"/>
      <c r="N33" s="9"/>
      <c r="O33" s="21" t="s">
        <v>412</v>
      </c>
      <c r="P33" s="21"/>
      <c r="Q33" s="21"/>
      <c r="R33" s="151"/>
      <c r="S33" s="21"/>
      <c r="T33" s="10"/>
    </row>
    <row r="34" spans="1:30" ht="30">
      <c r="A34" s="6"/>
      <c r="B34" s="11"/>
      <c r="C34" s="12" t="s">
        <v>9</v>
      </c>
      <c r="D34" s="12"/>
      <c r="E34" s="22" t="s">
        <v>391</v>
      </c>
      <c r="F34" s="22" t="s">
        <v>1</v>
      </c>
      <c r="G34" s="22" t="s">
        <v>2</v>
      </c>
      <c r="H34" s="14"/>
      <c r="I34" s="13" t="s">
        <v>3</v>
      </c>
      <c r="J34" s="13" t="s">
        <v>4</v>
      </c>
      <c r="K34" s="13" t="s">
        <v>5</v>
      </c>
      <c r="L34" s="13" t="s">
        <v>6</v>
      </c>
      <c r="M34" s="13" t="s">
        <v>7</v>
      </c>
      <c r="N34" s="14"/>
      <c r="O34" s="13" t="s">
        <v>3</v>
      </c>
      <c r="P34" s="13" t="s">
        <v>4</v>
      </c>
      <c r="Q34" s="13" t="s">
        <v>5</v>
      </c>
      <c r="R34" s="13" t="s">
        <v>6</v>
      </c>
      <c r="S34" s="13" t="s">
        <v>7</v>
      </c>
      <c r="T34" s="15"/>
      <c r="AC34" t="s">
        <v>8</v>
      </c>
      <c r="AD34" t="s">
        <v>12</v>
      </c>
    </row>
    <row r="35" spans="2:30" ht="15">
      <c r="B35" s="16"/>
      <c r="C35" s="27" t="s">
        <v>373</v>
      </c>
      <c r="D35" s="12"/>
      <c r="E35" s="23">
        <v>0.58</v>
      </c>
      <c r="F35" s="23">
        <v>0.21</v>
      </c>
      <c r="G35" s="24">
        <v>0</v>
      </c>
      <c r="H35" s="17"/>
      <c r="I35" s="2">
        <v>95</v>
      </c>
      <c r="J35" s="2">
        <v>95</v>
      </c>
      <c r="K35" s="139">
        <v>100</v>
      </c>
      <c r="L35" s="139">
        <v>100</v>
      </c>
      <c r="M35" s="139">
        <v>100</v>
      </c>
      <c r="N35" s="17"/>
      <c r="O35" s="140">
        <v>1800</v>
      </c>
      <c r="P35" s="141">
        <v>2100</v>
      </c>
      <c r="Q35" s="141">
        <v>2300</v>
      </c>
      <c r="R35" s="141">
        <v>2350</v>
      </c>
      <c r="S35" s="142">
        <v>2400</v>
      </c>
      <c r="T35" s="15"/>
      <c r="AC35" s="1">
        <v>0</v>
      </c>
      <c r="AD35" s="1">
        <v>0</v>
      </c>
    </row>
    <row r="36" spans="2:30" ht="15">
      <c r="B36" s="16"/>
      <c r="C36" s="27" t="s">
        <v>374</v>
      </c>
      <c r="D36" s="12"/>
      <c r="E36" s="23">
        <v>0</v>
      </c>
      <c r="F36" s="23">
        <v>0</v>
      </c>
      <c r="G36" s="24">
        <v>0</v>
      </c>
      <c r="H36" s="17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7"/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5"/>
      <c r="AC36" s="1">
        <v>30</v>
      </c>
      <c r="AD36" s="1">
        <v>30</v>
      </c>
    </row>
    <row r="37" spans="2:30" ht="15">
      <c r="B37" s="16"/>
      <c r="C37" s="27" t="s">
        <v>375</v>
      </c>
      <c r="D37" s="12"/>
      <c r="E37" s="23">
        <v>0</v>
      </c>
      <c r="F37" s="23">
        <v>0</v>
      </c>
      <c r="G37" s="24">
        <v>0</v>
      </c>
      <c r="H37" s="17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7"/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5"/>
      <c r="AC37" s="1">
        <v>60</v>
      </c>
      <c r="AD37" s="1">
        <v>60</v>
      </c>
    </row>
    <row r="38" spans="2:30" ht="15">
      <c r="B38" s="16"/>
      <c r="C38" s="27" t="s">
        <v>376</v>
      </c>
      <c r="D38" s="12"/>
      <c r="E38" s="23">
        <v>0</v>
      </c>
      <c r="F38" s="23">
        <v>0</v>
      </c>
      <c r="G38" s="24">
        <v>0</v>
      </c>
      <c r="H38" s="17"/>
      <c r="I38" s="3">
        <v>0</v>
      </c>
      <c r="J38" s="4">
        <v>0</v>
      </c>
      <c r="K38" s="4">
        <v>0</v>
      </c>
      <c r="L38" s="4">
        <v>0</v>
      </c>
      <c r="M38" s="5">
        <v>0</v>
      </c>
      <c r="N38" s="17"/>
      <c r="O38" s="143">
        <v>0</v>
      </c>
      <c r="P38" s="144">
        <v>0</v>
      </c>
      <c r="Q38" s="144">
        <v>0</v>
      </c>
      <c r="R38" s="144">
        <v>0</v>
      </c>
      <c r="S38" s="145">
        <v>0</v>
      </c>
      <c r="T38" s="15"/>
      <c r="AC38" s="1">
        <v>90</v>
      </c>
      <c r="AD38" s="1">
        <v>90</v>
      </c>
    </row>
    <row r="39" spans="2:30" ht="15">
      <c r="B39" s="16"/>
      <c r="C39" s="27" t="s">
        <v>377</v>
      </c>
      <c r="D39" s="12"/>
      <c r="E39" s="23">
        <v>0</v>
      </c>
      <c r="F39" s="23">
        <v>0</v>
      </c>
      <c r="G39" s="24">
        <v>0</v>
      </c>
      <c r="H39" s="17"/>
      <c r="I39" s="3"/>
      <c r="J39" s="4"/>
      <c r="K39" s="4"/>
      <c r="L39" s="4"/>
      <c r="M39" s="5"/>
      <c r="N39" s="17"/>
      <c r="O39" s="143"/>
      <c r="P39" s="144"/>
      <c r="Q39" s="144"/>
      <c r="R39" s="144"/>
      <c r="S39" s="145"/>
      <c r="T39" s="15"/>
      <c r="AC39" s="1">
        <v>120</v>
      </c>
      <c r="AD39" s="1">
        <v>120</v>
      </c>
    </row>
    <row r="40" spans="2:30" ht="15">
      <c r="B40" s="16"/>
      <c r="C40" s="27" t="s">
        <v>378</v>
      </c>
      <c r="D40" s="12"/>
      <c r="E40" s="23">
        <v>0</v>
      </c>
      <c r="F40" s="23">
        <v>0</v>
      </c>
      <c r="G40" s="24">
        <v>0</v>
      </c>
      <c r="H40" s="17"/>
      <c r="I40" s="3"/>
      <c r="J40" s="4"/>
      <c r="K40" s="4"/>
      <c r="L40" s="4"/>
      <c r="M40" s="5"/>
      <c r="N40" s="17"/>
      <c r="O40" s="143"/>
      <c r="P40" s="144"/>
      <c r="Q40" s="144"/>
      <c r="R40" s="144"/>
      <c r="S40" s="145"/>
      <c r="T40" s="15"/>
      <c r="AC40" s="1">
        <v>150</v>
      </c>
      <c r="AD40" s="1">
        <v>150</v>
      </c>
    </row>
    <row r="41" spans="2:30" ht="15">
      <c r="B41" s="16"/>
      <c r="C41" s="27" t="s">
        <v>379</v>
      </c>
      <c r="D41" s="12"/>
      <c r="E41" s="23">
        <v>0</v>
      </c>
      <c r="F41" s="23">
        <v>0</v>
      </c>
      <c r="G41" s="24">
        <v>0</v>
      </c>
      <c r="H41" s="17"/>
      <c r="I41" s="3"/>
      <c r="J41" s="4"/>
      <c r="K41" s="4"/>
      <c r="L41" s="4"/>
      <c r="M41" s="5"/>
      <c r="N41" s="17"/>
      <c r="O41" s="143"/>
      <c r="P41" s="144"/>
      <c r="Q41" s="144"/>
      <c r="R41" s="144"/>
      <c r="S41" s="145"/>
      <c r="T41" s="15"/>
      <c r="AC41" s="1">
        <v>180</v>
      </c>
      <c r="AD41" s="1">
        <v>180</v>
      </c>
    </row>
    <row r="42" spans="2:20" ht="15">
      <c r="B42" s="16"/>
      <c r="C42" s="27" t="s">
        <v>380</v>
      </c>
      <c r="D42" s="12"/>
      <c r="E42" s="23">
        <v>0</v>
      </c>
      <c r="F42" s="23">
        <v>0</v>
      </c>
      <c r="G42" s="24">
        <v>0</v>
      </c>
      <c r="H42" s="17"/>
      <c r="I42" s="3"/>
      <c r="J42" s="4"/>
      <c r="K42" s="4"/>
      <c r="L42" s="4"/>
      <c r="M42" s="5"/>
      <c r="N42" s="17"/>
      <c r="O42" s="143"/>
      <c r="P42" s="144"/>
      <c r="Q42" s="144"/>
      <c r="R42" s="144"/>
      <c r="S42" s="145"/>
      <c r="T42" s="15"/>
    </row>
    <row r="43" spans="2:20" ht="15">
      <c r="B43" s="16"/>
      <c r="C43" s="27" t="s">
        <v>381</v>
      </c>
      <c r="D43" s="12"/>
      <c r="E43" s="23">
        <v>0</v>
      </c>
      <c r="F43" s="23">
        <v>0</v>
      </c>
      <c r="G43" s="24">
        <v>0</v>
      </c>
      <c r="H43" s="17"/>
      <c r="I43" s="3"/>
      <c r="J43" s="4"/>
      <c r="K43" s="4"/>
      <c r="L43" s="4"/>
      <c r="M43" s="5"/>
      <c r="N43" s="17"/>
      <c r="O43" s="143"/>
      <c r="P43" s="144"/>
      <c r="Q43" s="144"/>
      <c r="R43" s="144"/>
      <c r="S43" s="145"/>
      <c r="T43" s="15"/>
    </row>
    <row r="44" spans="2:20" ht="15.75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ht="15.75" thickBot="1"/>
    <row r="46" spans="2:12" ht="15">
      <c r="B46" s="8"/>
      <c r="C46" s="21" t="s">
        <v>409</v>
      </c>
      <c r="D46" s="9"/>
      <c r="E46" s="28"/>
      <c r="F46" s="9"/>
      <c r="G46" s="9"/>
      <c r="H46" s="10"/>
      <c r="L46" s="128"/>
    </row>
    <row r="47" spans="2:15" ht="26.25" customHeight="1">
      <c r="B47" s="16"/>
      <c r="C47" s="17"/>
      <c r="D47" s="17"/>
      <c r="E47" s="22" t="s">
        <v>11</v>
      </c>
      <c r="F47" s="22" t="s">
        <v>410</v>
      </c>
      <c r="G47" s="22" t="s">
        <v>13</v>
      </c>
      <c r="H47" s="15"/>
      <c r="O47" s="129"/>
    </row>
    <row r="48" spans="2:8" ht="15">
      <c r="B48" s="16"/>
      <c r="C48" s="27" t="str">
        <f>+"Mp x"&amp;C35</f>
        <v>Mp xTipologia 1</v>
      </c>
      <c r="D48" s="17"/>
      <c r="E48" s="38">
        <v>0.21</v>
      </c>
      <c r="F48" s="24">
        <v>60</v>
      </c>
      <c r="G48" s="24">
        <v>60</v>
      </c>
      <c r="H48" s="15"/>
    </row>
    <row r="49" spans="2:8" ht="15">
      <c r="B49" s="16"/>
      <c r="C49" s="27" t="str">
        <f aca="true" t="shared" si="0" ref="C49:C56">+"Mp x"&amp;C36</f>
        <v>Mp xTipologia 2</v>
      </c>
      <c r="D49" s="17"/>
      <c r="E49" s="38">
        <v>0</v>
      </c>
      <c r="F49" s="24">
        <v>60</v>
      </c>
      <c r="G49" s="24">
        <v>30</v>
      </c>
      <c r="H49" s="15"/>
    </row>
    <row r="50" spans="2:8" ht="15">
      <c r="B50" s="16"/>
      <c r="C50" s="27" t="str">
        <f t="shared" si="0"/>
        <v>Mp xTipologia 3</v>
      </c>
      <c r="D50" s="17"/>
      <c r="E50" s="38">
        <v>0</v>
      </c>
      <c r="F50" s="24">
        <v>60</v>
      </c>
      <c r="G50" s="24">
        <v>30</v>
      </c>
      <c r="H50" s="15"/>
    </row>
    <row r="51" spans="2:8" ht="15">
      <c r="B51" s="16"/>
      <c r="C51" s="27" t="str">
        <f t="shared" si="0"/>
        <v>Mp xTipologia 4</v>
      </c>
      <c r="D51" s="17"/>
      <c r="E51" s="38">
        <v>0</v>
      </c>
      <c r="F51" s="24">
        <v>60</v>
      </c>
      <c r="G51" s="24">
        <v>30</v>
      </c>
      <c r="H51" s="15"/>
    </row>
    <row r="52" spans="2:8" ht="15">
      <c r="B52" s="16"/>
      <c r="C52" s="27" t="str">
        <f t="shared" si="0"/>
        <v>Mp xTipologia 5</v>
      </c>
      <c r="D52" s="17"/>
      <c r="E52" s="38">
        <v>0</v>
      </c>
      <c r="F52" s="24">
        <v>60</v>
      </c>
      <c r="G52" s="24">
        <v>30</v>
      </c>
      <c r="H52" s="15"/>
    </row>
    <row r="53" spans="2:8" ht="15">
      <c r="B53" s="16"/>
      <c r="C53" s="27" t="str">
        <f t="shared" si="0"/>
        <v>Mp xTipologia 6</v>
      </c>
      <c r="D53" s="17"/>
      <c r="E53" s="38">
        <v>0</v>
      </c>
      <c r="F53" s="24">
        <v>60</v>
      </c>
      <c r="G53" s="24">
        <v>30</v>
      </c>
      <c r="H53" s="15"/>
    </row>
    <row r="54" spans="2:8" ht="15">
      <c r="B54" s="16"/>
      <c r="C54" s="27" t="str">
        <f t="shared" si="0"/>
        <v>Mp xTipologia 7</v>
      </c>
      <c r="D54" s="17"/>
      <c r="E54" s="38">
        <v>0</v>
      </c>
      <c r="F54" s="24">
        <v>60</v>
      </c>
      <c r="G54" s="24">
        <v>30</v>
      </c>
      <c r="H54" s="15"/>
    </row>
    <row r="55" spans="2:8" ht="15">
      <c r="B55" s="16"/>
      <c r="C55" s="27" t="str">
        <f>+"Mp x"&amp;C42</f>
        <v>Mp xTipologia 8</v>
      </c>
      <c r="D55" s="17"/>
      <c r="E55" s="38">
        <v>0</v>
      </c>
      <c r="F55" s="24">
        <v>60</v>
      </c>
      <c r="G55" s="24">
        <v>30</v>
      </c>
      <c r="H55" s="15"/>
    </row>
    <row r="56" spans="2:8" ht="15">
      <c r="B56" s="16"/>
      <c r="C56" s="27" t="str">
        <f t="shared" si="0"/>
        <v>Mp xTipologia 9</v>
      </c>
      <c r="D56" s="17"/>
      <c r="E56" s="38">
        <v>0</v>
      </c>
      <c r="F56" s="24">
        <v>60</v>
      </c>
      <c r="G56" s="24">
        <v>30</v>
      </c>
      <c r="H56" s="15"/>
    </row>
    <row r="57" spans="2:8" ht="15.75" thickBot="1">
      <c r="B57" s="18"/>
      <c r="C57" s="19"/>
      <c r="D57" s="19"/>
      <c r="E57" s="19"/>
      <c r="F57" s="19"/>
      <c r="G57" s="19"/>
      <c r="H57" s="20"/>
    </row>
    <row r="59" ht="15.75" thickBot="1"/>
    <row r="60" spans="2:12" ht="15">
      <c r="B60" s="8"/>
      <c r="C60" s="21" t="s">
        <v>40</v>
      </c>
      <c r="D60" s="9"/>
      <c r="E60" s="9"/>
      <c r="F60" s="9"/>
      <c r="G60" s="9"/>
      <c r="H60" s="9"/>
      <c r="I60" s="9"/>
      <c r="J60" s="9"/>
      <c r="K60" s="9"/>
      <c r="L60" s="10"/>
    </row>
    <row r="61" spans="2:12" ht="15">
      <c r="B61" s="16"/>
      <c r="C61" s="17"/>
      <c r="D61" s="17"/>
      <c r="E61" s="13" t="str">
        <f>+I34</f>
        <v>Anno 1</v>
      </c>
      <c r="F61" s="13" t="str">
        <f>+J34</f>
        <v>Anno 2</v>
      </c>
      <c r="G61" s="13" t="str">
        <f>+K34</f>
        <v>Anno 3</v>
      </c>
      <c r="H61" s="13" t="str">
        <f>+L34</f>
        <v>Anno 4</v>
      </c>
      <c r="I61" s="13" t="str">
        <f>+M34</f>
        <v>Anno 5</v>
      </c>
      <c r="J61" s="17"/>
      <c r="K61" s="17"/>
      <c r="L61" s="15"/>
    </row>
    <row r="62" spans="2:12" ht="15">
      <c r="B62" s="16"/>
      <c r="C62" s="17" t="s">
        <v>41</v>
      </c>
      <c r="D62" s="17"/>
      <c r="E62" s="2">
        <v>80000</v>
      </c>
      <c r="F62" s="2"/>
      <c r="G62" s="2"/>
      <c r="H62" s="2"/>
      <c r="I62" s="2"/>
      <c r="J62" s="17"/>
      <c r="K62" s="17"/>
      <c r="L62" s="15"/>
    </row>
    <row r="63" spans="2:12" ht="15">
      <c r="B63" s="16"/>
      <c r="C63" s="17" t="s">
        <v>42</v>
      </c>
      <c r="D63" s="17"/>
      <c r="E63" s="2">
        <v>0</v>
      </c>
      <c r="F63" s="2"/>
      <c r="G63" s="2"/>
      <c r="H63" s="2"/>
      <c r="I63" s="2"/>
      <c r="J63" s="17"/>
      <c r="K63" s="17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2:12" ht="15">
      <c r="B65" s="16"/>
      <c r="C65" s="17" t="s">
        <v>1</v>
      </c>
      <c r="D65" s="17"/>
      <c r="E65" s="23">
        <v>0.21</v>
      </c>
      <c r="F65" s="17"/>
      <c r="G65" s="17"/>
      <c r="H65" s="17"/>
      <c r="I65" s="17"/>
      <c r="J65" s="17"/>
      <c r="K65" s="12" t="s">
        <v>45</v>
      </c>
      <c r="L65" s="15"/>
    </row>
    <row r="66" spans="2:12" ht="15">
      <c r="B66" s="16"/>
      <c r="C66" s="17"/>
      <c r="D66" s="17"/>
      <c r="E66" s="17" t="str">
        <f>+E61</f>
        <v>Anno 1</v>
      </c>
      <c r="F66" s="17" t="str">
        <f>+F61</f>
        <v>Anno 2</v>
      </c>
      <c r="G66" s="17" t="str">
        <f>+G61</f>
        <v>Anno 3</v>
      </c>
      <c r="H66" s="17" t="str">
        <f>+H61</f>
        <v>Anno 4</v>
      </c>
      <c r="I66" s="17" t="str">
        <f>+I61</f>
        <v>Anno 5</v>
      </c>
      <c r="J66" s="17"/>
      <c r="K66" s="17"/>
      <c r="L66" s="15"/>
    </row>
    <row r="67" spans="2:12" ht="15">
      <c r="B67" s="16"/>
      <c r="C67" s="17" t="s">
        <v>43</v>
      </c>
      <c r="D67" s="17"/>
      <c r="E67" s="2">
        <v>96800</v>
      </c>
      <c r="F67" s="2">
        <v>0</v>
      </c>
      <c r="G67" s="2"/>
      <c r="H67" s="2"/>
      <c r="I67" s="2"/>
      <c r="J67" s="17"/>
      <c r="K67" s="39">
        <f>+(SUM(E62:I62)+(SUM(E62:I62)*E65))-SUM(E67:I67)</f>
        <v>0</v>
      </c>
      <c r="L67" s="15"/>
    </row>
    <row r="68" spans="2:12" ht="15">
      <c r="B68" s="16"/>
      <c r="C68" s="17" t="s">
        <v>44</v>
      </c>
      <c r="D68" s="17"/>
      <c r="E68" s="2">
        <v>0</v>
      </c>
      <c r="F68" s="2"/>
      <c r="G68" s="2"/>
      <c r="H68" s="2"/>
      <c r="I68" s="2"/>
      <c r="J68" s="17"/>
      <c r="K68" s="39">
        <f>+(SUM(E63:I63)+(SUM(E63:I63)*E65))-SUM(E68:I68)</f>
        <v>0</v>
      </c>
      <c r="L68" s="15"/>
    </row>
    <row r="69" spans="2:12" ht="1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5"/>
    </row>
    <row r="70" spans="2:12" ht="15">
      <c r="B70" s="16"/>
      <c r="C70" s="17" t="s">
        <v>46</v>
      </c>
      <c r="D70" s="17"/>
      <c r="E70" s="23">
        <v>0.2</v>
      </c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47</v>
      </c>
      <c r="D71" s="17"/>
      <c r="E71" s="23">
        <v>0.2</v>
      </c>
      <c r="F71" s="17"/>
      <c r="G71" s="17"/>
      <c r="H71" s="17"/>
      <c r="I71" s="17"/>
      <c r="J71" s="17"/>
      <c r="K71" s="17"/>
      <c r="L71" s="15"/>
    </row>
    <row r="72" spans="2:12" ht="15.75" thickBo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ht="15.75" thickBot="1"/>
    <row r="74" spans="2:10" ht="15">
      <c r="B74" s="8"/>
      <c r="C74" s="9"/>
      <c r="D74" s="9"/>
      <c r="E74" s="9"/>
      <c r="F74" s="9"/>
      <c r="G74" s="9"/>
      <c r="H74" s="9"/>
      <c r="I74" s="9"/>
      <c r="J74" s="10"/>
    </row>
    <row r="75" spans="2:10" ht="15">
      <c r="B75" s="16"/>
      <c r="C75" s="12" t="s">
        <v>63</v>
      </c>
      <c r="D75" s="17"/>
      <c r="E75" s="17"/>
      <c r="F75" s="17"/>
      <c r="G75" s="17"/>
      <c r="H75" s="17"/>
      <c r="I75" s="17"/>
      <c r="J75" s="15"/>
    </row>
    <row r="76" spans="2:10" ht="15">
      <c r="B76" s="16"/>
      <c r="C76" s="17"/>
      <c r="D76" s="17"/>
      <c r="E76" s="13" t="str">
        <f>+E61</f>
        <v>Anno 1</v>
      </c>
      <c r="F76" s="13" t="str">
        <f>+F61</f>
        <v>Anno 2</v>
      </c>
      <c r="G76" s="13" t="str">
        <f>+G61</f>
        <v>Anno 3</v>
      </c>
      <c r="H76" s="13" t="str">
        <f>+H61</f>
        <v>Anno 4</v>
      </c>
      <c r="I76" s="13" t="str">
        <f>+I61</f>
        <v>Anno 5</v>
      </c>
      <c r="J76" s="15"/>
    </row>
    <row r="77" spans="2:10" ht="15">
      <c r="B77" s="16"/>
      <c r="C77" s="17" t="s">
        <v>64</v>
      </c>
      <c r="D77" s="17"/>
      <c r="E77" s="135">
        <v>1.5</v>
      </c>
      <c r="F77" s="135">
        <v>1.5</v>
      </c>
      <c r="G77" s="135">
        <v>1.5</v>
      </c>
      <c r="H77" s="135">
        <v>1.5</v>
      </c>
      <c r="I77" s="135">
        <v>1.5</v>
      </c>
      <c r="J77" s="15"/>
    </row>
    <row r="78" spans="2:10" ht="15">
      <c r="B78" s="16"/>
      <c r="C78" s="17"/>
      <c r="D78" s="17"/>
      <c r="E78" s="17"/>
      <c r="F78" s="17"/>
      <c r="G78" s="17"/>
      <c r="H78" s="17"/>
      <c r="I78" s="17"/>
      <c r="J78" s="15"/>
    </row>
    <row r="79" spans="2:10" ht="15">
      <c r="B79" s="16"/>
      <c r="C79" s="17" t="s">
        <v>73</v>
      </c>
      <c r="D79" s="17"/>
      <c r="E79" s="2">
        <v>20000</v>
      </c>
      <c r="F79" s="2">
        <f>1500*14</f>
        <v>21000</v>
      </c>
      <c r="G79" s="2">
        <f>1500*14</f>
        <v>21000</v>
      </c>
      <c r="H79" s="2">
        <f>1500*14</f>
        <v>21000</v>
      </c>
      <c r="I79" s="2">
        <f>1500*14</f>
        <v>21000</v>
      </c>
      <c r="J79" s="15"/>
    </row>
    <row r="80" spans="2:10" ht="15">
      <c r="B80" s="16"/>
      <c r="C80" s="52"/>
      <c r="D80" s="17"/>
      <c r="E80" s="17"/>
      <c r="F80" s="17"/>
      <c r="G80" s="17"/>
      <c r="H80" s="17"/>
      <c r="I80" s="17"/>
      <c r="J80" s="15"/>
    </row>
    <row r="81" spans="2:10" ht="15">
      <c r="B81" s="16"/>
      <c r="C81" s="17" t="s">
        <v>65</v>
      </c>
      <c r="D81" s="17"/>
      <c r="E81" s="106">
        <v>0.3</v>
      </c>
      <c r="F81" s="17"/>
      <c r="G81" s="17"/>
      <c r="H81" s="17"/>
      <c r="I81" s="17"/>
      <c r="J81" s="15"/>
    </row>
    <row r="82" spans="2:10" ht="15">
      <c r="B82" s="16"/>
      <c r="C82" s="17" t="s">
        <v>66</v>
      </c>
      <c r="D82" s="17"/>
      <c r="E82" s="107">
        <v>0.04</v>
      </c>
      <c r="F82" s="17"/>
      <c r="G82" s="17"/>
      <c r="H82" s="17"/>
      <c r="I82" s="17"/>
      <c r="J82" s="15"/>
    </row>
    <row r="83" spans="2:10" ht="15">
      <c r="B83" s="16"/>
      <c r="C83" s="17" t="s">
        <v>67</v>
      </c>
      <c r="D83" s="17"/>
      <c r="E83" s="108">
        <v>0.08</v>
      </c>
      <c r="F83" s="17"/>
      <c r="G83" s="17"/>
      <c r="H83" s="17"/>
      <c r="I83" s="17"/>
      <c r="J83" s="15"/>
    </row>
    <row r="84" spans="2:10" ht="15.75" thickBot="1">
      <c r="B84" s="18"/>
      <c r="C84" s="19"/>
      <c r="D84" s="19"/>
      <c r="E84" s="19"/>
      <c r="F84" s="19"/>
      <c r="G84" s="19"/>
      <c r="H84" s="19"/>
      <c r="I84" s="19"/>
      <c r="J84" s="20"/>
    </row>
    <row r="86" ht="15.75" thickBot="1"/>
    <row r="87" spans="2:6" ht="15">
      <c r="B87" s="8"/>
      <c r="C87" s="21" t="s">
        <v>76</v>
      </c>
      <c r="D87" s="9"/>
      <c r="E87" s="9"/>
      <c r="F87" s="10"/>
    </row>
    <row r="88" spans="2:6" ht="15">
      <c r="B88" s="16"/>
      <c r="C88" s="17"/>
      <c r="D88" s="17"/>
      <c r="E88" s="17"/>
      <c r="F88" s="15"/>
    </row>
    <row r="89" spans="2:40" ht="15">
      <c r="B89" s="16"/>
      <c r="C89" s="17" t="s">
        <v>77</v>
      </c>
      <c r="D89" s="17"/>
      <c r="E89" s="109" t="s">
        <v>93</v>
      </c>
      <c r="F89" s="15"/>
      <c r="AN89" t="s">
        <v>91</v>
      </c>
    </row>
    <row r="90" spans="2:40" ht="15">
      <c r="B90" s="16"/>
      <c r="C90" s="17" t="s">
        <v>78</v>
      </c>
      <c r="D90" s="17"/>
      <c r="E90" s="108">
        <v>0.01</v>
      </c>
      <c r="F90" s="15"/>
      <c r="AN90" t="s">
        <v>92</v>
      </c>
    </row>
    <row r="91" spans="2:40" ht="15">
      <c r="B91" s="16"/>
      <c r="C91" s="17"/>
      <c r="D91" s="17"/>
      <c r="E91" s="17"/>
      <c r="F91" s="15"/>
      <c r="AN91" t="s">
        <v>93</v>
      </c>
    </row>
    <row r="92" spans="2:40" ht="15">
      <c r="B92" s="16"/>
      <c r="C92" s="17" t="s">
        <v>79</v>
      </c>
      <c r="D92" s="17"/>
      <c r="E92" s="110">
        <v>0</v>
      </c>
      <c r="F92" s="15"/>
      <c r="AN92" t="s">
        <v>94</v>
      </c>
    </row>
    <row r="93" spans="2:40" ht="15">
      <c r="B93" s="16"/>
      <c r="C93" s="17" t="s">
        <v>80</v>
      </c>
      <c r="D93" s="17"/>
      <c r="E93" s="111">
        <v>1</v>
      </c>
      <c r="F93" s="15"/>
      <c r="AN93" t="s">
        <v>95</v>
      </c>
    </row>
    <row r="94" spans="2:6" ht="15.75" thickBot="1">
      <c r="B94" s="18"/>
      <c r="C94" s="19"/>
      <c r="D94" s="19"/>
      <c r="E94" s="19"/>
      <c r="F94" s="20"/>
    </row>
    <row r="95" ht="15.75" thickBot="1"/>
    <row r="96" spans="2:11" ht="15">
      <c r="B96" s="8"/>
      <c r="C96" s="9"/>
      <c r="D96" s="9"/>
      <c r="E96" s="9"/>
      <c r="F96" s="9"/>
      <c r="G96" s="9"/>
      <c r="H96" s="9"/>
      <c r="I96" s="9"/>
      <c r="J96" s="9"/>
      <c r="K96" s="10"/>
    </row>
    <row r="97" spans="2:11" ht="15">
      <c r="B97" s="16"/>
      <c r="C97" s="13" t="s">
        <v>225</v>
      </c>
      <c r="D97" s="83" t="s">
        <v>226</v>
      </c>
      <c r="E97" s="12" t="s">
        <v>227</v>
      </c>
      <c r="F97" s="13" t="str">
        <f>+E76</f>
        <v>Anno 1</v>
      </c>
      <c r="G97" s="13" t="str">
        <f>+F76</f>
        <v>Anno 2</v>
      </c>
      <c r="H97" s="13" t="str">
        <f>+G76</f>
        <v>Anno 3</v>
      </c>
      <c r="I97" s="13" t="str">
        <f>+H76</f>
        <v>Anno 4</v>
      </c>
      <c r="J97" s="13" t="str">
        <f>+I76</f>
        <v>Anno 5</v>
      </c>
      <c r="K97" s="15"/>
    </row>
    <row r="98" spans="2:11" ht="15">
      <c r="B98" s="16"/>
      <c r="C98" s="13"/>
      <c r="D98" s="17"/>
      <c r="E98" s="14"/>
      <c r="F98" s="14"/>
      <c r="G98" s="14"/>
      <c r="H98" s="14"/>
      <c r="I98" s="14"/>
      <c r="J98" s="14"/>
      <c r="K98" s="15"/>
    </row>
    <row r="99" spans="2:11" ht="15">
      <c r="B99" s="16"/>
      <c r="C99" s="17" t="s">
        <v>228</v>
      </c>
      <c r="D99" s="107">
        <v>0.21</v>
      </c>
      <c r="E99" s="17"/>
      <c r="F99" s="2">
        <f>150*12</f>
        <v>1800</v>
      </c>
      <c r="G99" s="2">
        <f>150*12</f>
        <v>1800</v>
      </c>
      <c r="H99" s="2">
        <f>150*12</f>
        <v>1800</v>
      </c>
      <c r="I99" s="2">
        <f>150*12</f>
        <v>1800</v>
      </c>
      <c r="J99" s="2">
        <f>150*12</f>
        <v>1800</v>
      </c>
      <c r="K99" s="15"/>
    </row>
    <row r="100" spans="2:11" ht="15">
      <c r="B100" s="16"/>
      <c r="C100" s="17" t="s">
        <v>229</v>
      </c>
      <c r="D100" s="107">
        <v>0.21</v>
      </c>
      <c r="E100" s="17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5"/>
    </row>
    <row r="101" spans="2:11" ht="15">
      <c r="B101" s="16"/>
      <c r="C101" s="17" t="s">
        <v>230</v>
      </c>
      <c r="D101" s="107">
        <v>0.21</v>
      </c>
      <c r="E101" s="17"/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5"/>
    </row>
    <row r="102" spans="2:11" ht="15">
      <c r="B102" s="16"/>
      <c r="C102" s="17" t="s">
        <v>231</v>
      </c>
      <c r="D102" s="107">
        <v>0.21</v>
      </c>
      <c r="E102" s="17"/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5"/>
    </row>
    <row r="103" spans="2:11" ht="15">
      <c r="B103" s="16"/>
      <c r="C103" s="17" t="s">
        <v>232</v>
      </c>
      <c r="D103" s="107">
        <v>0.21</v>
      </c>
      <c r="E103" s="17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5"/>
    </row>
    <row r="104" spans="2:11" ht="15">
      <c r="B104" s="16"/>
      <c r="C104" s="17" t="s">
        <v>233</v>
      </c>
      <c r="D104" s="107">
        <v>0.21</v>
      </c>
      <c r="E104" s="17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5"/>
    </row>
    <row r="105" spans="2:11" ht="15">
      <c r="B105" s="16"/>
      <c r="C105" s="17" t="s">
        <v>234</v>
      </c>
      <c r="D105" s="107">
        <v>0.21</v>
      </c>
      <c r="E105" s="17"/>
      <c r="F105" s="2">
        <v>600</v>
      </c>
      <c r="G105" s="2">
        <v>600</v>
      </c>
      <c r="H105" s="2">
        <v>600</v>
      </c>
      <c r="I105" s="2">
        <v>600</v>
      </c>
      <c r="J105" s="2">
        <v>600</v>
      </c>
      <c r="K105" s="15"/>
    </row>
    <row r="106" spans="2:11" ht="15">
      <c r="B106" s="16"/>
      <c r="C106" s="17" t="s">
        <v>235</v>
      </c>
      <c r="D106" s="107">
        <v>0.21</v>
      </c>
      <c r="E106" s="17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5"/>
    </row>
    <row r="107" spans="2:11" ht="15">
      <c r="B107" s="16"/>
      <c r="C107" s="17" t="s">
        <v>239</v>
      </c>
      <c r="D107" s="107">
        <v>0</v>
      </c>
      <c r="E107" s="17"/>
      <c r="F107" s="2">
        <f>800*12</f>
        <v>9600</v>
      </c>
      <c r="G107" s="2">
        <f>800*12</f>
        <v>9600</v>
      </c>
      <c r="H107" s="2">
        <f>800*12</f>
        <v>9600</v>
      </c>
      <c r="I107" s="2">
        <f>800*12</f>
        <v>9600</v>
      </c>
      <c r="J107" s="2">
        <f>800*12</f>
        <v>9600</v>
      </c>
      <c r="K107" s="15"/>
    </row>
    <row r="108" spans="2:11" ht="15">
      <c r="B108" s="16"/>
      <c r="C108" s="17" t="s">
        <v>236</v>
      </c>
      <c r="D108" s="107">
        <v>0.21</v>
      </c>
      <c r="E108" s="17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5"/>
    </row>
    <row r="109" spans="2:11" ht="15">
      <c r="B109" s="16"/>
      <c r="C109" s="17" t="s">
        <v>237</v>
      </c>
      <c r="D109" s="107">
        <v>0.21</v>
      </c>
      <c r="E109" s="17"/>
      <c r="F109" s="2">
        <v>1000</v>
      </c>
      <c r="G109" s="2">
        <v>1000</v>
      </c>
      <c r="H109" s="2">
        <v>1000</v>
      </c>
      <c r="I109" s="2">
        <v>1000</v>
      </c>
      <c r="J109" s="2">
        <v>1000</v>
      </c>
      <c r="K109" s="15"/>
    </row>
    <row r="110" spans="2:11" ht="15">
      <c r="B110" s="16"/>
      <c r="C110" s="17" t="s">
        <v>238</v>
      </c>
      <c r="D110" s="107">
        <v>0</v>
      </c>
      <c r="E110" s="17"/>
      <c r="F110" s="2">
        <v>500</v>
      </c>
      <c r="G110" s="2">
        <v>500</v>
      </c>
      <c r="H110" s="2">
        <v>500</v>
      </c>
      <c r="I110" s="2">
        <v>500</v>
      </c>
      <c r="J110" s="2">
        <v>500</v>
      </c>
      <c r="K110" s="15"/>
    </row>
    <row r="111" spans="2:11" ht="15">
      <c r="B111" s="16"/>
      <c r="C111" s="52" t="s">
        <v>407</v>
      </c>
      <c r="D111" s="107">
        <v>0</v>
      </c>
      <c r="E111" s="17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5"/>
    </row>
    <row r="112" spans="2:11" ht="15">
      <c r="B112" s="16"/>
      <c r="C112" s="149" t="str">
        <f>+C18</f>
        <v>Royalties Franchising</v>
      </c>
      <c r="D112" s="150">
        <f>+F18</f>
        <v>0.21</v>
      </c>
      <c r="E112" s="17"/>
      <c r="F112" s="39">
        <f>+$D$18*MCL!D13</f>
        <v>8550</v>
      </c>
      <c r="G112" s="39">
        <f>+$D$18*MCL!E13</f>
        <v>9975</v>
      </c>
      <c r="H112" s="39">
        <f>+$D$18*MCL!F13</f>
        <v>11500</v>
      </c>
      <c r="I112" s="39">
        <f>+$D$18*MCL!G13</f>
        <v>11750</v>
      </c>
      <c r="J112" s="39">
        <f>+$D$18*MCL!H13</f>
        <v>12000</v>
      </c>
      <c r="K112" s="15"/>
    </row>
    <row r="113" spans="2:11" ht="15">
      <c r="B113" s="16"/>
      <c r="C113" s="52" t="s">
        <v>240</v>
      </c>
      <c r="D113" s="107">
        <v>0</v>
      </c>
      <c r="E113" s="17"/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5"/>
    </row>
    <row r="114" spans="2:11" ht="15">
      <c r="B114" s="16"/>
      <c r="C114" s="52" t="s">
        <v>241</v>
      </c>
      <c r="D114" s="107">
        <v>0</v>
      </c>
      <c r="E114" s="17"/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5"/>
    </row>
    <row r="115" spans="2:11" ht="15">
      <c r="B115" s="16"/>
      <c r="C115" s="52" t="s">
        <v>242</v>
      </c>
      <c r="D115" s="107">
        <v>0</v>
      </c>
      <c r="E115" s="17"/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5"/>
    </row>
    <row r="116" spans="2:11" ht="15">
      <c r="B116" s="16"/>
      <c r="C116" s="52" t="s">
        <v>243</v>
      </c>
      <c r="D116" s="107">
        <v>0</v>
      </c>
      <c r="E116" s="17"/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5"/>
    </row>
    <row r="117" spans="2:11" ht="15">
      <c r="B117" s="16"/>
      <c r="C117" s="52" t="s">
        <v>244</v>
      </c>
      <c r="D117" s="107">
        <v>0</v>
      </c>
      <c r="E117" s="17"/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5"/>
    </row>
    <row r="118" spans="2:11" ht="15">
      <c r="B118" s="16"/>
      <c r="C118" s="52" t="s">
        <v>245</v>
      </c>
      <c r="D118" s="107">
        <v>0</v>
      </c>
      <c r="E118" s="17"/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5"/>
    </row>
    <row r="119" spans="2:11" ht="15">
      <c r="B119" s="16"/>
      <c r="C119" s="52" t="s">
        <v>246</v>
      </c>
      <c r="D119" s="107">
        <v>0</v>
      </c>
      <c r="E119" s="17"/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5"/>
    </row>
    <row r="120" spans="2:11" ht="15.75" thickBot="1">
      <c r="B120" s="18"/>
      <c r="C120" s="19"/>
      <c r="D120" s="19"/>
      <c r="E120" s="19"/>
      <c r="F120" s="19"/>
      <c r="G120" s="19"/>
      <c r="H120" s="19"/>
      <c r="I120" s="19"/>
      <c r="J120" s="19"/>
      <c r="K120" s="20"/>
    </row>
    <row r="121" ht="15.75" thickBot="1"/>
    <row r="122" spans="2:5" ht="15">
      <c r="B122" s="8"/>
      <c r="C122" s="9"/>
      <c r="D122" s="9"/>
      <c r="E122" s="10"/>
    </row>
    <row r="123" spans="2:5" ht="15">
      <c r="B123" s="16"/>
      <c r="C123" s="17" t="s">
        <v>250</v>
      </c>
      <c r="D123" s="107">
        <v>0.05</v>
      </c>
      <c r="E123" s="15"/>
    </row>
    <row r="124" spans="2:5" ht="15">
      <c r="B124" s="16"/>
      <c r="C124" s="17"/>
      <c r="D124" s="17"/>
      <c r="E124" s="15"/>
    </row>
    <row r="125" spans="2:5" ht="15">
      <c r="B125" s="16"/>
      <c r="C125" s="17" t="s">
        <v>334</v>
      </c>
      <c r="D125" s="107">
        <v>0.03</v>
      </c>
      <c r="E125" s="15"/>
    </row>
    <row r="126" spans="2:5" ht="15.75" thickBot="1">
      <c r="B126" s="18"/>
      <c r="C126" s="19"/>
      <c r="D126" s="19"/>
      <c r="E126" s="20"/>
    </row>
    <row r="127" ht="15.75" thickBot="1"/>
    <row r="128" spans="2:9" ht="15">
      <c r="B128" s="8"/>
      <c r="C128" s="9"/>
      <c r="D128" s="9"/>
      <c r="E128" s="9"/>
      <c r="F128" s="9"/>
      <c r="G128" s="9"/>
      <c r="H128" s="9"/>
      <c r="I128" s="10"/>
    </row>
    <row r="129" spans="2:9" ht="15">
      <c r="B129" s="16"/>
      <c r="C129" s="17"/>
      <c r="D129" s="13" t="str">
        <f>+F97</f>
        <v>Anno 1</v>
      </c>
      <c r="E129" s="13" t="str">
        <f>+G97</f>
        <v>Anno 2</v>
      </c>
      <c r="F129" s="13" t="str">
        <f>+H97</f>
        <v>Anno 3</v>
      </c>
      <c r="G129" s="13" t="str">
        <f>+I97</f>
        <v>Anno 4</v>
      </c>
      <c r="H129" s="13" t="str">
        <f>+J97</f>
        <v>Anno 5</v>
      </c>
      <c r="I129" s="36"/>
    </row>
    <row r="130" spans="2:9" ht="15">
      <c r="B130" s="16"/>
      <c r="C130" s="131" t="s">
        <v>392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15"/>
    </row>
    <row r="131" spans="2:9" ht="15.75" thickBot="1">
      <c r="B131" s="18"/>
      <c r="C131" s="19"/>
      <c r="D131" s="19"/>
      <c r="E131" s="19"/>
      <c r="F131" s="19"/>
      <c r="G131" s="19"/>
      <c r="H131" s="19"/>
      <c r="I131" s="20"/>
    </row>
    <row r="133" ht="15.75" thickBot="1"/>
    <row r="134" spans="2:9" ht="15">
      <c r="B134" s="8"/>
      <c r="C134" s="9"/>
      <c r="D134" s="9"/>
      <c r="E134" s="9"/>
      <c r="F134" s="9"/>
      <c r="G134" s="9"/>
      <c r="H134" s="9"/>
      <c r="I134" s="10"/>
    </row>
    <row r="135" spans="2:9" ht="15">
      <c r="B135" s="16"/>
      <c r="C135" s="12" t="s">
        <v>393</v>
      </c>
      <c r="D135" s="17"/>
      <c r="E135" s="17"/>
      <c r="F135" s="17"/>
      <c r="G135" s="17"/>
      <c r="H135" s="17"/>
      <c r="I135" s="15"/>
    </row>
    <row r="136" spans="2:9" ht="15">
      <c r="B136" s="16"/>
      <c r="C136" s="17"/>
      <c r="D136" s="17"/>
      <c r="E136" s="17"/>
      <c r="F136" s="17"/>
      <c r="G136" s="17"/>
      <c r="H136" s="17"/>
      <c r="I136" s="15"/>
    </row>
    <row r="137" spans="2:9" ht="15">
      <c r="B137" s="16"/>
      <c r="C137" s="17" t="s">
        <v>396</v>
      </c>
      <c r="D137" s="4">
        <f>65000+15000</f>
        <v>80000</v>
      </c>
      <c r="E137" s="17"/>
      <c r="F137" s="17"/>
      <c r="G137" s="17"/>
      <c r="H137" s="17"/>
      <c r="I137" s="15"/>
    </row>
    <row r="138" spans="2:9" ht="15">
      <c r="B138" s="16"/>
      <c r="C138" s="17" t="s">
        <v>397</v>
      </c>
      <c r="D138" s="4">
        <v>30000</v>
      </c>
      <c r="E138" s="17"/>
      <c r="F138" s="17"/>
      <c r="G138" s="17"/>
      <c r="H138" s="17"/>
      <c r="I138" s="15"/>
    </row>
    <row r="139" spans="2:9" ht="15">
      <c r="B139" s="16"/>
      <c r="C139" s="17"/>
      <c r="D139" s="34">
        <f>SUM(D137:D138)</f>
        <v>110000</v>
      </c>
      <c r="E139" s="17"/>
      <c r="F139" s="17"/>
      <c r="G139" s="17"/>
      <c r="H139" s="17"/>
      <c r="I139" s="15"/>
    </row>
    <row r="140" spans="2:9" ht="15">
      <c r="B140" s="16"/>
      <c r="C140" s="17"/>
      <c r="D140" s="17"/>
      <c r="E140" s="17"/>
      <c r="F140" s="17"/>
      <c r="G140" s="17"/>
      <c r="H140" s="17"/>
      <c r="I140" s="15"/>
    </row>
    <row r="141" spans="2:9" ht="15">
      <c r="B141" s="16"/>
      <c r="C141" s="17" t="s">
        <v>90</v>
      </c>
      <c r="D141" s="39">
        <f>+IF(((D137+D138)/2)&gt;D137,D137,((D137+D138)/2))</f>
        <v>55000</v>
      </c>
      <c r="E141" s="134"/>
      <c r="F141" s="17" t="s">
        <v>400</v>
      </c>
      <c r="G141" s="17"/>
      <c r="H141" s="107">
        <v>0.02</v>
      </c>
      <c r="I141" s="15"/>
    </row>
    <row r="142" spans="2:9" ht="15">
      <c r="B142" s="16"/>
      <c r="C142" s="17" t="s">
        <v>398</v>
      </c>
      <c r="D142" s="39">
        <f>+D141</f>
        <v>55000</v>
      </c>
      <c r="E142" s="17"/>
      <c r="F142" s="17"/>
      <c r="G142" s="17"/>
      <c r="H142" s="17"/>
      <c r="I142" s="15"/>
    </row>
    <row r="143" spans="2:9" ht="15">
      <c r="B143" s="16"/>
      <c r="C143" s="12" t="s">
        <v>399</v>
      </c>
      <c r="D143" s="34">
        <f>SUM(D141:D142)</f>
        <v>110000</v>
      </c>
      <c r="E143" s="17"/>
      <c r="F143" s="17"/>
      <c r="G143" s="17"/>
      <c r="H143" s="17"/>
      <c r="I143" s="15"/>
    </row>
    <row r="144" spans="2:9" ht="15">
      <c r="B144" s="16"/>
      <c r="C144" s="12"/>
      <c r="D144" s="34"/>
      <c r="E144" s="17"/>
      <c r="F144" s="17"/>
      <c r="G144" s="17"/>
      <c r="H144" s="17"/>
      <c r="I144" s="15"/>
    </row>
    <row r="145" spans="2:9" ht="15">
      <c r="B145" s="16"/>
      <c r="C145" s="12" t="s">
        <v>403</v>
      </c>
      <c r="D145" s="34" t="s">
        <v>260</v>
      </c>
      <c r="E145" s="34" t="s">
        <v>261</v>
      </c>
      <c r="F145" s="17"/>
      <c r="G145" s="17"/>
      <c r="H145" s="17"/>
      <c r="I145" s="15"/>
    </row>
    <row r="146" spans="2:9" ht="15">
      <c r="B146" s="16"/>
      <c r="C146" s="17" t="s">
        <v>39</v>
      </c>
      <c r="D146" s="39">
        <f>+D137</f>
        <v>80000</v>
      </c>
      <c r="E146" s="17"/>
      <c r="F146" s="17"/>
      <c r="G146" s="17"/>
      <c r="H146" s="17"/>
      <c r="I146" s="15"/>
    </row>
    <row r="147" spans="2:9" ht="15">
      <c r="B147" s="16"/>
      <c r="C147" s="17" t="s">
        <v>404</v>
      </c>
      <c r="D147" s="4">
        <v>15000</v>
      </c>
      <c r="E147" s="4">
        <v>15000</v>
      </c>
      <c r="F147" s="17"/>
      <c r="G147" s="17"/>
      <c r="H147" s="17"/>
      <c r="I147" s="15"/>
    </row>
    <row r="148" spans="2:9" ht="15.75" thickBot="1">
      <c r="B148" s="18"/>
      <c r="C148" s="19"/>
      <c r="D148" s="19"/>
      <c r="E148" s="19"/>
      <c r="F148" s="19"/>
      <c r="G148" s="19"/>
      <c r="H148" s="19"/>
      <c r="I148" s="20"/>
    </row>
  </sheetData>
  <sheetProtection/>
  <dataValidations count="4">
    <dataValidation type="list" allowBlank="1" showInputMessage="1" showErrorMessage="1" sqref="G48:G56 E24:E25 G35:G43">
      <formula1>$AD$35:$AD$41</formula1>
    </dataValidation>
    <dataValidation type="list" allowBlank="1" showInputMessage="1" showErrorMessage="1" sqref="F48:F56">
      <formula1>$AC$35:$AC$41</formula1>
    </dataValidation>
    <dataValidation type="list" allowBlank="1" showInputMessage="1" showErrorMessage="1" sqref="E89">
      <formula1>$AN$89:$AN$93</formula1>
    </dataValidation>
    <dataValidation type="list" allowBlank="1" showInputMessage="1" showErrorMessage="1" sqref="D15">
      <formula1>$AH$15:$AH$32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6">
      <selection activeCell="E22" sqref="E22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">
        <v>405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+Input!H141</f>
        <v>0.02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">
        <v>405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+Input!D141</f>
        <v>55000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133">
        <f>((1+C5)^(1/C8))-1</f>
        <v>0.020000000000000018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8498.15758567049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8498.15758567049</v>
      </c>
      <c r="H18" s="69">
        <f t="shared" si="4"/>
        <v>8498.15758567049</v>
      </c>
      <c r="I18" s="69">
        <f t="shared" si="4"/>
        <v>8498.15758567049</v>
      </c>
      <c r="J18" s="69">
        <f t="shared" si="4"/>
        <v>8498.15758567049</v>
      </c>
      <c r="K18" s="69">
        <f t="shared" si="4"/>
        <v>8498.15758567049</v>
      </c>
      <c r="L18" s="69">
        <f t="shared" si="4"/>
        <v>8498.15758567049</v>
      </c>
      <c r="M18" s="69">
        <f t="shared" si="4"/>
        <v>8498.15758567049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7398.1575856704885</v>
      </c>
      <c r="H19" s="69">
        <f t="shared" si="5"/>
        <v>7546.120737383899</v>
      </c>
      <c r="I19" s="69">
        <f t="shared" si="5"/>
        <v>7697.043152131577</v>
      </c>
      <c r="J19" s="69">
        <f>J18-J21</f>
        <v>7850.984015174208</v>
      </c>
      <c r="K19" s="69">
        <f aca="true" t="shared" si="6" ref="K19:AM19">K18-K21</f>
        <v>8008.003695477692</v>
      </c>
      <c r="L19" s="69">
        <f t="shared" si="6"/>
        <v>8168.163769387246</v>
      </c>
      <c r="M19" s="69">
        <f t="shared" si="6"/>
        <v>8331.527044774992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7398.1575856704885</v>
      </c>
      <c r="H20" s="69">
        <f t="shared" si="7"/>
        <v>14944.278323054386</v>
      </c>
      <c r="I20" s="69">
        <f t="shared" si="7"/>
        <v>22641.321475185963</v>
      </c>
      <c r="J20" s="69">
        <f t="shared" si="7"/>
        <v>30492.305490360173</v>
      </c>
      <c r="K20" s="69">
        <f t="shared" si="7"/>
        <v>38500.30918583787</v>
      </c>
      <c r="L20" s="69">
        <f t="shared" si="7"/>
        <v>46668.472955225116</v>
      </c>
      <c r="M20" s="69">
        <f t="shared" si="7"/>
        <v>55000.00000000011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1100.000000000001</v>
      </c>
      <c r="H21" s="69">
        <f t="shared" si="8"/>
        <v>952.0368482865911</v>
      </c>
      <c r="I21" s="69">
        <f t="shared" si="8"/>
        <v>801.114433538913</v>
      </c>
      <c r="J21" s="69">
        <f t="shared" si="8"/>
        <v>647.1735704962813</v>
      </c>
      <c r="K21" s="69">
        <f t="shared" si="8"/>
        <v>490.15389019279695</v>
      </c>
      <c r="L21" s="69">
        <f t="shared" si="8"/>
        <v>329.99381628324295</v>
      </c>
      <c r="M21" s="69">
        <f t="shared" si="8"/>
        <v>166.63054089549783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>+Input!D141</f>
        <v>55000</v>
      </c>
      <c r="F22" s="69">
        <f t="shared" si="9"/>
        <v>55000</v>
      </c>
      <c r="G22" s="69">
        <f t="shared" si="9"/>
        <v>47601.84241432951</v>
      </c>
      <c r="H22" s="69">
        <f t="shared" si="9"/>
        <v>40055.72167694561</v>
      </c>
      <c r="I22" s="69">
        <f t="shared" si="9"/>
        <v>32358.678524814037</v>
      </c>
      <c r="J22" s="69">
        <f t="shared" si="9"/>
        <v>24507.694509639827</v>
      </c>
      <c r="K22" s="69">
        <f t="shared" si="9"/>
        <v>16499.69081416213</v>
      </c>
      <c r="L22" s="69">
        <f t="shared" si="9"/>
        <v>8331.527044774884</v>
      </c>
      <c r="M22" s="69">
        <f t="shared" si="9"/>
        <v>-1.0913936421275139E-10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55000</v>
      </c>
      <c r="F26" s="69">
        <f>+F22-F28</f>
        <v>55000</v>
      </c>
      <c r="G26" s="69">
        <f t="shared" si="11"/>
        <v>46501.84241432951</v>
      </c>
      <c r="H26" s="69">
        <f t="shared" si="11"/>
        <v>39103.684828659025</v>
      </c>
      <c r="I26" s="69">
        <f t="shared" si="11"/>
        <v>31557.564091275122</v>
      </c>
      <c r="J26" s="69">
        <f>+J22-SUM($I$28:J28)</f>
        <v>23059.40650560463</v>
      </c>
      <c r="K26" s="69">
        <f>+K22-SUM($I$28:K28)</f>
        <v>14561.24891993414</v>
      </c>
      <c r="L26" s="69">
        <f>+L22-SUM($I$28:L28)</f>
        <v>6063.09133426365</v>
      </c>
      <c r="M26" s="69">
        <f>+M22-SUM($I$28:M28)</f>
        <v>-2435.066251406841</v>
      </c>
      <c r="N26" s="69">
        <f>+N22-SUM($I$28:N28)</f>
        <v>-2435.0662514067317</v>
      </c>
      <c r="O26" s="69">
        <f>+O22-SUM($I$28:O28)</f>
        <v>-2435.0662514067317</v>
      </c>
      <c r="P26" s="69">
        <f>+P22-SUM($I$28:P28)</f>
        <v>-2435.0662514067317</v>
      </c>
      <c r="Q26" s="69">
        <f>+Q22-SUM($I$28:Q28)</f>
        <v>-2435.0662514067317</v>
      </c>
      <c r="R26" s="69">
        <f>+R22-SUM($I$28:R28)</f>
        <v>-2435.0662514067317</v>
      </c>
      <c r="S26" s="69">
        <f>+S22-SUM($I$28:S28)</f>
        <v>-2435.0662514067317</v>
      </c>
      <c r="T26" s="69">
        <f>+T22-SUM($I$28:T28)</f>
        <v>-2435.0662514067317</v>
      </c>
      <c r="U26" s="69">
        <f>+U22-SUM($I$28:U28)</f>
        <v>-2435.0662514067317</v>
      </c>
      <c r="V26" s="69">
        <f>+V22-SUM($I$28:V28)</f>
        <v>-2435.0662514067317</v>
      </c>
      <c r="W26" s="69">
        <f>+W22-SUM($I$28:W28)</f>
        <v>-2435.0662514067317</v>
      </c>
      <c r="X26" s="69">
        <f>+X22-SUM($I$28:X28)</f>
        <v>-2435.0662514067317</v>
      </c>
      <c r="Y26" s="69">
        <f>+Y22-SUM($I$28:Y28)</f>
        <v>-2435.0662514067317</v>
      </c>
      <c r="Z26" s="69">
        <f>+Z22-SUM($I$28:Z28)</f>
        <v>-2435.0662514067317</v>
      </c>
      <c r="AA26" s="69">
        <f>+AA22-SUM($I$28:AA28)</f>
        <v>-2435.0662514067317</v>
      </c>
      <c r="AB26" s="69">
        <f>+AB22-SUM($I$28:AB28)</f>
        <v>-2435.0662514067317</v>
      </c>
      <c r="AC26" s="69">
        <f>+AC22-SUM($I$28:AC28)</f>
        <v>-2435.0662514067317</v>
      </c>
      <c r="AD26" s="69">
        <f>+AD22-SUM($I$28:AD28)</f>
        <v>-2435.0662514067317</v>
      </c>
      <c r="AE26" s="69">
        <f>+AE22-SUM($I$28:AE28)</f>
        <v>-2435.0662514067317</v>
      </c>
      <c r="AF26" s="69">
        <f>+AF22-SUM($I$28:AF28)</f>
        <v>-2435.0662514067317</v>
      </c>
      <c r="AG26" s="69">
        <f>+AG22-SUM($I$28:AG28)</f>
        <v>-2435.0662514067317</v>
      </c>
      <c r="AH26" s="69">
        <f>+AH22-SUM($I$28:AH28)</f>
        <v>-2435.0662514067317</v>
      </c>
      <c r="AI26" s="69">
        <f>+AI22-SUM($I$28:AI28)</f>
        <v>-2435.0662514067317</v>
      </c>
      <c r="AJ26" s="69">
        <f>+AJ22-SUM($I$28:AJ28)</f>
        <v>-2435.0662514067317</v>
      </c>
      <c r="AK26" s="69">
        <f>+AK22-SUM($I$28:AK28)</f>
        <v>-2435.0662514067317</v>
      </c>
      <c r="AL26" s="69">
        <f>+AL22-SUM($I$28:AL28)</f>
        <v>-2435.0662514067317</v>
      </c>
      <c r="AM26" s="69">
        <f>+AM22-SUM($I$28:AM28)</f>
        <v>-2435.0662514067317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1100.000000000001</v>
      </c>
      <c r="H28" s="69">
        <f t="shared" si="12"/>
        <v>952.0368482865911</v>
      </c>
      <c r="I28" s="69">
        <f t="shared" si="12"/>
        <v>801.114433538913</v>
      </c>
      <c r="J28" s="69">
        <f t="shared" si="12"/>
        <v>647.1735704962813</v>
      </c>
      <c r="K28" s="69">
        <f t="shared" si="12"/>
        <v>490.15389019279695</v>
      </c>
      <c r="L28" s="69">
        <f t="shared" si="12"/>
        <v>329.99381628324295</v>
      </c>
      <c r="M28" s="69">
        <f t="shared" si="12"/>
        <v>166.63054089549783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+Input!D141</f>
        <v>55000</v>
      </c>
      <c r="F33" s="82"/>
      <c r="G33" s="82"/>
      <c r="H33" s="82"/>
      <c r="I33" s="82"/>
      <c r="J33" s="82"/>
      <c r="K33" s="82"/>
      <c r="L33" s="82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3" ref="G34:L34">+IF(G22-G21-F22&lt;0,-(G22-G21-F22),0)</f>
        <v>8498.157585670488</v>
      </c>
      <c r="H34" s="82">
        <f t="shared" si="13"/>
        <v>8498.157585670488</v>
      </c>
      <c r="I34" s="82">
        <f t="shared" si="13"/>
        <v>8498.157585670491</v>
      </c>
      <c r="J34" s="82">
        <f t="shared" si="13"/>
        <v>8498.157585670491</v>
      </c>
      <c r="K34" s="82">
        <f t="shared" si="13"/>
        <v>8498.157585670491</v>
      </c>
      <c r="L34" s="82">
        <f t="shared" si="13"/>
        <v>8498.157585670491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4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5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4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5"/>
        <v>39</v>
      </c>
      <c r="GK69" s="75">
        <f aca="true" t="shared" si="16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4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5"/>
        <v>40</v>
      </c>
      <c r="GK70" s="75">
        <f t="shared" si="16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4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5"/>
        <v>41</v>
      </c>
      <c r="GK71" s="75">
        <f t="shared" si="16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4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5"/>
        <v>42</v>
      </c>
      <c r="GK72" s="75">
        <f t="shared" si="16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4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5"/>
        <v>43</v>
      </c>
      <c r="GK73" s="75">
        <f t="shared" si="16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4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5"/>
        <v>44</v>
      </c>
      <c r="GK74" s="75">
        <f t="shared" si="16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4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5"/>
        <v>45</v>
      </c>
      <c r="GK75" s="75">
        <f t="shared" si="16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4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5"/>
        <v>46</v>
      </c>
      <c r="GK76" s="75">
        <f t="shared" si="16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4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5"/>
        <v>47</v>
      </c>
      <c r="GK77" s="75">
        <f t="shared" si="16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4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5"/>
        <v>48</v>
      </c>
      <c r="GK78" s="75">
        <f t="shared" si="16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4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5"/>
        <v>49</v>
      </c>
      <c r="GK79" s="75">
        <f t="shared" si="16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4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5"/>
        <v>50</v>
      </c>
      <c r="GK80" s="75">
        <f t="shared" si="16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4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5"/>
        <v>51</v>
      </c>
      <c r="GK81" s="75">
        <f t="shared" si="16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4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5"/>
        <v>52</v>
      </c>
      <c r="GK82" s="75">
        <f t="shared" si="16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4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5"/>
        <v>53</v>
      </c>
      <c r="GK83" s="75">
        <f t="shared" si="16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4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5"/>
        <v>54</v>
      </c>
      <c r="GK84" s="75">
        <f t="shared" si="16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4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5"/>
        <v>55</v>
      </c>
      <c r="GK85" s="75">
        <f t="shared" si="16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4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5"/>
        <v>56</v>
      </c>
      <c r="GK86" s="75">
        <f t="shared" si="16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4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5"/>
        <v>57</v>
      </c>
      <c r="GK87" s="75">
        <f t="shared" si="16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4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5"/>
        <v>58</v>
      </c>
      <c r="GK88" s="75">
        <f t="shared" si="16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4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5"/>
        <v>59</v>
      </c>
      <c r="GK89" s="75">
        <f t="shared" si="16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4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5"/>
        <v>60</v>
      </c>
      <c r="GK90" s="75">
        <f t="shared" si="16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4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5"/>
        <v>61</v>
      </c>
      <c r="GK91" s="75">
        <f t="shared" si="16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4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5"/>
        <v>62</v>
      </c>
      <c r="GK92" s="75">
        <f t="shared" si="16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4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5"/>
        <v>63</v>
      </c>
      <c r="GK93" s="75">
        <f t="shared" si="16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4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5"/>
        <v>64</v>
      </c>
      <c r="GK94" s="75">
        <f t="shared" si="16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4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5"/>
        <v>65</v>
      </c>
      <c r="GK95" s="75">
        <f t="shared" si="16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4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5"/>
        <v>66</v>
      </c>
      <c r="GK96" s="75">
        <f t="shared" si="16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4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5"/>
        <v>67</v>
      </c>
      <c r="GK97" s="75">
        <f t="shared" si="16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4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5"/>
        <v>68</v>
      </c>
      <c r="GK98" s="75">
        <f t="shared" si="16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4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5"/>
        <v>69</v>
      </c>
      <c r="GK99" s="75">
        <f t="shared" si="16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4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5"/>
        <v>70</v>
      </c>
      <c r="GK100" s="75">
        <f t="shared" si="16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4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5"/>
        <v>71</v>
      </c>
      <c r="GK101" s="75">
        <f t="shared" si="16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4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5"/>
        <v>72</v>
      </c>
      <c r="GK102" s="75">
        <f t="shared" si="16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4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5"/>
        <v>73</v>
      </c>
      <c r="GK103" s="75">
        <f t="shared" si="16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4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5"/>
        <v>74</v>
      </c>
      <c r="GK104" s="75">
        <f t="shared" si="16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4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5"/>
        <v>75</v>
      </c>
      <c r="GK105" s="75">
        <f t="shared" si="16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4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5"/>
        <v>76</v>
      </c>
      <c r="GK106" s="75">
        <f t="shared" si="16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4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5"/>
        <v>77</v>
      </c>
      <c r="GK107" s="75">
        <f t="shared" si="16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4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5"/>
        <v>78</v>
      </c>
      <c r="GK108" s="75">
        <f t="shared" si="16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4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5"/>
        <v>79</v>
      </c>
      <c r="GK109" s="75">
        <f t="shared" si="16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4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5"/>
        <v>80</v>
      </c>
      <c r="GK110" s="75">
        <f t="shared" si="16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4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5"/>
        <v>81</v>
      </c>
      <c r="GK111" s="75">
        <f t="shared" si="16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4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5"/>
        <v>82</v>
      </c>
      <c r="GK112" s="75">
        <f t="shared" si="16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4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5"/>
        <v>83</v>
      </c>
      <c r="GK113" s="75">
        <f t="shared" si="16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4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5"/>
        <v>84</v>
      </c>
      <c r="GK114" s="75">
        <f t="shared" si="16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4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5"/>
        <v>85</v>
      </c>
      <c r="GK115" s="75">
        <f t="shared" si="16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4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5"/>
        <v>86</v>
      </c>
      <c r="GK116" s="75">
        <f t="shared" si="16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4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5"/>
        <v>87</v>
      </c>
      <c r="GK117" s="75">
        <f t="shared" si="16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4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5"/>
        <v>88</v>
      </c>
      <c r="GK118" s="75">
        <f t="shared" si="16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4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5"/>
        <v>89</v>
      </c>
      <c r="GK119" s="75">
        <f t="shared" si="16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4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5"/>
        <v>90</v>
      </c>
      <c r="GK120" s="75">
        <f t="shared" si="16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4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5"/>
        <v>91</v>
      </c>
      <c r="GK121" s="75">
        <f t="shared" si="16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5"/>
        <v>92</v>
      </c>
      <c r="GK122" s="75">
        <f t="shared" si="16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5"/>
        <v>93</v>
      </c>
      <c r="GK123" s="75">
        <f t="shared" si="16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5"/>
        <v>94</v>
      </c>
      <c r="GK124" s="75">
        <f t="shared" si="16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5"/>
        <v>95</v>
      </c>
      <c r="GK125" s="75">
        <f t="shared" si="16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5"/>
        <v>96</v>
      </c>
      <c r="GK126" s="75">
        <f t="shared" si="16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5"/>
        <v>97</v>
      </c>
      <c r="GK127" s="75">
        <f t="shared" si="16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5"/>
        <v>98</v>
      </c>
      <c r="GK128" s="75">
        <f t="shared" si="16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5"/>
        <v>99</v>
      </c>
      <c r="GK129" s="75">
        <f t="shared" si="16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5"/>
        <v>100</v>
      </c>
      <c r="GK130" s="75">
        <f t="shared" si="16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5"/>
        <v>101</v>
      </c>
      <c r="GK131" s="75">
        <f t="shared" si="16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7" ref="GJ132:GJ173">+GJ131+1</f>
        <v>102</v>
      </c>
      <c r="GK132" s="75">
        <f t="shared" si="16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7"/>
        <v>103</v>
      </c>
      <c r="GK133" s="75">
        <f aca="true" t="shared" si="18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7"/>
        <v>104</v>
      </c>
      <c r="GK134" s="75">
        <f t="shared" si="18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7"/>
        <v>105</v>
      </c>
      <c r="GK135" s="75">
        <f t="shared" si="18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7"/>
        <v>106</v>
      </c>
      <c r="GK136" s="75">
        <f t="shared" si="18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7"/>
        <v>107</v>
      </c>
      <c r="GK137" s="75">
        <f t="shared" si="18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7"/>
        <v>108</v>
      </c>
      <c r="GK138" s="75">
        <f t="shared" si="18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7"/>
        <v>109</v>
      </c>
      <c r="GK139" s="75">
        <f t="shared" si="18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7"/>
        <v>110</v>
      </c>
      <c r="GK140" s="75">
        <f t="shared" si="18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7"/>
        <v>111</v>
      </c>
      <c r="GK141" s="75">
        <f t="shared" si="18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7"/>
        <v>112</v>
      </c>
      <c r="GK142" s="75">
        <f t="shared" si="18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7"/>
        <v>113</v>
      </c>
      <c r="GK143" s="75">
        <f t="shared" si="18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7"/>
        <v>114</v>
      </c>
      <c r="GK144" s="75">
        <f t="shared" si="18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7"/>
        <v>115</v>
      </c>
      <c r="GK145" s="75">
        <f t="shared" si="18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7"/>
        <v>116</v>
      </c>
      <c r="GK146" s="75">
        <f t="shared" si="18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7"/>
        <v>117</v>
      </c>
      <c r="GK147" s="75">
        <f t="shared" si="18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7"/>
        <v>118</v>
      </c>
      <c r="GK148" s="75">
        <f t="shared" si="18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7"/>
        <v>119</v>
      </c>
      <c r="GK149" s="75">
        <f t="shared" si="18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7"/>
        <v>120</v>
      </c>
      <c r="GK150" s="75">
        <f t="shared" si="18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7"/>
        <v>121</v>
      </c>
      <c r="GK151" s="75">
        <f t="shared" si="18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7"/>
        <v>122</v>
      </c>
      <c r="GK152" s="75">
        <f t="shared" si="18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7"/>
        <v>123</v>
      </c>
      <c r="GK153" s="75">
        <f t="shared" si="18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7"/>
        <v>124</v>
      </c>
      <c r="GK154" s="75">
        <f t="shared" si="18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7"/>
        <v>125</v>
      </c>
      <c r="GK155" s="75">
        <f t="shared" si="18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7"/>
        <v>126</v>
      </c>
      <c r="GK156" s="75">
        <f t="shared" si="18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7"/>
        <v>127</v>
      </c>
      <c r="GK157" s="75">
        <f t="shared" si="18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7"/>
        <v>128</v>
      </c>
      <c r="GK158" s="75">
        <f t="shared" si="18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7"/>
        <v>129</v>
      </c>
      <c r="GK159" s="75">
        <f t="shared" si="18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7"/>
        <v>130</v>
      </c>
      <c r="GK160" s="75">
        <f t="shared" si="18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7"/>
        <v>131</v>
      </c>
      <c r="GK161" s="75">
        <f t="shared" si="18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7"/>
        <v>132</v>
      </c>
      <c r="GK162" s="75">
        <f t="shared" si="18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7"/>
        <v>133</v>
      </c>
      <c r="GK163" s="75">
        <f t="shared" si="18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7"/>
        <v>134</v>
      </c>
      <c r="GK164" s="75">
        <f t="shared" si="18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7"/>
        <v>135</v>
      </c>
      <c r="GK165" s="75">
        <f t="shared" si="18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7"/>
        <v>136</v>
      </c>
      <c r="GK166" s="75">
        <f t="shared" si="18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7"/>
        <v>137</v>
      </c>
      <c r="GK167" s="75">
        <f t="shared" si="18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7"/>
        <v>138</v>
      </c>
      <c r="GK168" s="75">
        <f t="shared" si="18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7"/>
        <v>139</v>
      </c>
      <c r="GK169" s="75">
        <f t="shared" si="18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7"/>
        <v>140</v>
      </c>
      <c r="GK170" s="75">
        <f t="shared" si="18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7"/>
        <v>141</v>
      </c>
      <c r="GK171" s="75">
        <f t="shared" si="18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7"/>
        <v>142</v>
      </c>
      <c r="GK172" s="75">
        <f t="shared" si="18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7"/>
        <v>143</v>
      </c>
      <c r="GK173" s="75">
        <f t="shared" si="18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9">
      <selection activeCell="C11" sqref="C11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tr">
        <f>+Input!E89</f>
        <v>A3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+Input!E90</f>
        <v>0.01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tr">
        <f>+C4</f>
        <v>A3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+Input!E92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f>+Input!E93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68">
        <f>((1+C5)^(1/C8))-1</f>
        <v>0.010000000000000009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0</v>
      </c>
      <c r="H19" s="69">
        <f t="shared" si="5"/>
        <v>0</v>
      </c>
      <c r="I19" s="69">
        <f t="shared" si="5"/>
        <v>0</v>
      </c>
      <c r="J19" s="69">
        <f>J18-J21</f>
        <v>0</v>
      </c>
      <c r="K19" s="69">
        <f aca="true" t="shared" si="6" ref="K19:AM19">K18-K21</f>
        <v>0</v>
      </c>
      <c r="L19" s="69">
        <f t="shared" si="6"/>
        <v>0</v>
      </c>
      <c r="M19" s="69">
        <f t="shared" si="6"/>
        <v>0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0</v>
      </c>
      <c r="H21" s="69">
        <f t="shared" si="8"/>
        <v>0</v>
      </c>
      <c r="I21" s="69">
        <f t="shared" si="8"/>
        <v>0</v>
      </c>
      <c r="J21" s="69">
        <f t="shared" si="8"/>
        <v>0</v>
      </c>
      <c r="K21" s="69">
        <f t="shared" si="8"/>
        <v>0</v>
      </c>
      <c r="L21" s="69">
        <f t="shared" si="8"/>
        <v>0</v>
      </c>
      <c r="M21" s="69">
        <f t="shared" si="8"/>
        <v>0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 t="shared" si="9"/>
        <v>0</v>
      </c>
      <c r="F22" s="69">
        <f t="shared" si="9"/>
        <v>0</v>
      </c>
      <c r="G22" s="69">
        <f t="shared" si="9"/>
        <v>0</v>
      </c>
      <c r="H22" s="69">
        <f t="shared" si="9"/>
        <v>0</v>
      </c>
      <c r="I22" s="69">
        <f t="shared" si="9"/>
        <v>0</v>
      </c>
      <c r="J22" s="69">
        <f t="shared" si="9"/>
        <v>0</v>
      </c>
      <c r="K22" s="69">
        <f t="shared" si="9"/>
        <v>0</v>
      </c>
      <c r="L22" s="69">
        <f t="shared" si="9"/>
        <v>0</v>
      </c>
      <c r="M22" s="69">
        <f t="shared" si="9"/>
        <v>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0</v>
      </c>
      <c r="F26" s="69">
        <f>+F22-F28</f>
        <v>0</v>
      </c>
      <c r="G26" s="69">
        <f t="shared" si="11"/>
        <v>0</v>
      </c>
      <c r="H26" s="69">
        <f t="shared" si="11"/>
        <v>0</v>
      </c>
      <c r="I26" s="69">
        <f t="shared" si="11"/>
        <v>0</v>
      </c>
      <c r="J26" s="69">
        <f>+J22-SUM($I$28:J28)</f>
        <v>0</v>
      </c>
      <c r="K26" s="69">
        <f>+K22-SUM($I$28:K28)</f>
        <v>0</v>
      </c>
      <c r="L26" s="69">
        <f>+L22-SUM($I$28:L28)</f>
        <v>0</v>
      </c>
      <c r="M26" s="69">
        <f>+M22-SUM($I$28:M28)</f>
        <v>0</v>
      </c>
      <c r="N26" s="69">
        <f>+N22-SUM($I$28:N28)</f>
        <v>0</v>
      </c>
      <c r="O26" s="69">
        <f>+O22-SUM($I$28:O28)</f>
        <v>0</v>
      </c>
      <c r="P26" s="69">
        <f>+P22-SUM($I$28:P28)</f>
        <v>0</v>
      </c>
      <c r="Q26" s="69">
        <f>+Q22-SUM($I$28:Q28)</f>
        <v>0</v>
      </c>
      <c r="R26" s="69">
        <f>+R22-SUM($I$28:R28)</f>
        <v>0</v>
      </c>
      <c r="S26" s="69">
        <f>+S22-SUM($I$28:S28)</f>
        <v>0</v>
      </c>
      <c r="T26" s="69">
        <f>+T22-SUM($I$28:T28)</f>
        <v>0</v>
      </c>
      <c r="U26" s="69">
        <f>+U22-SUM($I$28:U28)</f>
        <v>0</v>
      </c>
      <c r="V26" s="69">
        <f>+V22-SUM($I$28:V28)</f>
        <v>0</v>
      </c>
      <c r="W26" s="69">
        <f>+W22-SUM($I$28:W28)</f>
        <v>0</v>
      </c>
      <c r="X26" s="69">
        <f>+X22-SUM($I$28:X28)</f>
        <v>0</v>
      </c>
      <c r="Y26" s="69">
        <f>+Y22-SUM($I$28:Y28)</f>
        <v>0</v>
      </c>
      <c r="Z26" s="69">
        <f>+Z22-SUM($I$28:Z28)</f>
        <v>0</v>
      </c>
      <c r="AA26" s="69">
        <f>+AA22-SUM($I$28:AA28)</f>
        <v>0</v>
      </c>
      <c r="AB26" s="69">
        <f>+AB22-SUM($I$28:AB28)</f>
        <v>0</v>
      </c>
      <c r="AC26" s="69">
        <f>+AC22-SUM($I$28:AC28)</f>
        <v>0</v>
      </c>
      <c r="AD26" s="69">
        <f>+AD22-SUM($I$28:AD28)</f>
        <v>0</v>
      </c>
      <c r="AE26" s="69">
        <f>+AE22-SUM($I$28:AE28)</f>
        <v>0</v>
      </c>
      <c r="AF26" s="69">
        <f>+AF22-SUM($I$28:AF28)</f>
        <v>0</v>
      </c>
      <c r="AG26" s="69">
        <f>+AG22-SUM($I$28:AG28)</f>
        <v>0</v>
      </c>
      <c r="AH26" s="69">
        <f>+AH22-SUM($I$28:AH28)</f>
        <v>0</v>
      </c>
      <c r="AI26" s="69">
        <f>+AI22-SUM($I$28:AI28)</f>
        <v>0</v>
      </c>
      <c r="AJ26" s="69">
        <f>+AJ22-SUM($I$28:AJ28)</f>
        <v>0</v>
      </c>
      <c r="AK26" s="69">
        <f>+AK22-SUM($I$28:AK28)</f>
        <v>0</v>
      </c>
      <c r="AL26" s="69">
        <f>+AL22-SUM($I$28:AL28)</f>
        <v>0</v>
      </c>
      <c r="AM26" s="69">
        <f>+AM22-SUM($I$28:AM28)</f>
        <v>0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0</v>
      </c>
      <c r="H28" s="69">
        <f t="shared" si="12"/>
        <v>0</v>
      </c>
      <c r="I28" s="69">
        <f t="shared" si="12"/>
        <v>0</v>
      </c>
      <c r="J28" s="69">
        <f t="shared" si="12"/>
        <v>0</v>
      </c>
      <c r="K28" s="69">
        <f t="shared" si="12"/>
        <v>0</v>
      </c>
      <c r="L28" s="69">
        <f t="shared" si="12"/>
        <v>0</v>
      </c>
      <c r="M28" s="69">
        <f t="shared" si="12"/>
        <v>0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+IF(E22-E21&gt;0,E22-E21,0)</f>
        <v>0</v>
      </c>
      <c r="F33" s="82">
        <f>+IF(F22-F21-E22&gt;0,F22-F21-E22,0)</f>
        <v>0</v>
      </c>
      <c r="G33" s="82">
        <f aca="true" t="shared" si="13" ref="G33:L33">+IF(G22-G21-F22&gt;0,G22-G21-G19,0)</f>
        <v>0</v>
      </c>
      <c r="H33" s="82">
        <f t="shared" si="13"/>
        <v>0</v>
      </c>
      <c r="I33" s="82">
        <f t="shared" si="13"/>
        <v>0</v>
      </c>
      <c r="J33" s="82">
        <f t="shared" si="13"/>
        <v>0</v>
      </c>
      <c r="K33" s="82">
        <f t="shared" si="13"/>
        <v>0</v>
      </c>
      <c r="L33" s="82">
        <f t="shared" si="13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4" ref="G34:L34">+IF(G22-G21-F22&lt;0,-(G22-G21-F22),0)</f>
        <v>0</v>
      </c>
      <c r="H34" s="82">
        <f t="shared" si="14"/>
        <v>0</v>
      </c>
      <c r="I34" s="82">
        <f t="shared" si="14"/>
        <v>0</v>
      </c>
      <c r="J34" s="82">
        <f t="shared" si="14"/>
        <v>0</v>
      </c>
      <c r="K34" s="82">
        <f t="shared" si="14"/>
        <v>0</v>
      </c>
      <c r="L34" s="82">
        <f t="shared" si="14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5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6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5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6"/>
        <v>39</v>
      </c>
      <c r="GK69" s="75">
        <f aca="true" t="shared" si="17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5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6"/>
        <v>40</v>
      </c>
      <c r="GK70" s="75">
        <f t="shared" si="17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5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6"/>
        <v>41</v>
      </c>
      <c r="GK71" s="75">
        <f t="shared" si="17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5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6"/>
        <v>42</v>
      </c>
      <c r="GK72" s="75">
        <f t="shared" si="17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5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6"/>
        <v>43</v>
      </c>
      <c r="GK73" s="75">
        <f t="shared" si="17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5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6"/>
        <v>44</v>
      </c>
      <c r="GK74" s="75">
        <f t="shared" si="17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5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6"/>
        <v>45</v>
      </c>
      <c r="GK75" s="75">
        <f t="shared" si="17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5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6"/>
        <v>46</v>
      </c>
      <c r="GK76" s="75">
        <f t="shared" si="17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5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6"/>
        <v>47</v>
      </c>
      <c r="GK77" s="75">
        <f t="shared" si="17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5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6"/>
        <v>48</v>
      </c>
      <c r="GK78" s="75">
        <f t="shared" si="17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5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6"/>
        <v>49</v>
      </c>
      <c r="GK79" s="75">
        <f t="shared" si="17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5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6"/>
        <v>50</v>
      </c>
      <c r="GK80" s="75">
        <f t="shared" si="17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5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6"/>
        <v>51</v>
      </c>
      <c r="GK81" s="75">
        <f t="shared" si="17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5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6"/>
        <v>52</v>
      </c>
      <c r="GK82" s="75">
        <f t="shared" si="17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5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6"/>
        <v>53</v>
      </c>
      <c r="GK83" s="75">
        <f t="shared" si="17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5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6"/>
        <v>54</v>
      </c>
      <c r="GK84" s="75">
        <f t="shared" si="17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5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6"/>
        <v>55</v>
      </c>
      <c r="GK85" s="75">
        <f t="shared" si="17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5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6"/>
        <v>56</v>
      </c>
      <c r="GK86" s="75">
        <f t="shared" si="17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5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6"/>
        <v>57</v>
      </c>
      <c r="GK87" s="75">
        <f t="shared" si="17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5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6"/>
        <v>58</v>
      </c>
      <c r="GK88" s="75">
        <f t="shared" si="17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5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6"/>
        <v>59</v>
      </c>
      <c r="GK89" s="75">
        <f t="shared" si="17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5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6"/>
        <v>60</v>
      </c>
      <c r="GK90" s="75">
        <f t="shared" si="17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5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6"/>
        <v>61</v>
      </c>
      <c r="GK91" s="75">
        <f t="shared" si="17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5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6"/>
        <v>62</v>
      </c>
      <c r="GK92" s="75">
        <f t="shared" si="17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5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6"/>
        <v>63</v>
      </c>
      <c r="GK93" s="75">
        <f t="shared" si="17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5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6"/>
        <v>64</v>
      </c>
      <c r="GK94" s="75">
        <f t="shared" si="17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5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6"/>
        <v>65</v>
      </c>
      <c r="GK95" s="75">
        <f t="shared" si="17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5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6"/>
        <v>66</v>
      </c>
      <c r="GK96" s="75">
        <f t="shared" si="17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5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6"/>
        <v>67</v>
      </c>
      <c r="GK97" s="75">
        <f t="shared" si="17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5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6"/>
        <v>68</v>
      </c>
      <c r="GK98" s="75">
        <f t="shared" si="17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5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6"/>
        <v>69</v>
      </c>
      <c r="GK99" s="75">
        <f t="shared" si="17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5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6"/>
        <v>70</v>
      </c>
      <c r="GK100" s="75">
        <f t="shared" si="17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5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6"/>
        <v>71</v>
      </c>
      <c r="GK101" s="75">
        <f t="shared" si="17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5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6"/>
        <v>72</v>
      </c>
      <c r="GK102" s="75">
        <f t="shared" si="17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5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6"/>
        <v>73</v>
      </c>
      <c r="GK103" s="75">
        <f t="shared" si="17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5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6"/>
        <v>74</v>
      </c>
      <c r="GK104" s="75">
        <f t="shared" si="17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5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6"/>
        <v>75</v>
      </c>
      <c r="GK105" s="75">
        <f t="shared" si="17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5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6"/>
        <v>76</v>
      </c>
      <c r="GK106" s="75">
        <f t="shared" si="17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5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6"/>
        <v>77</v>
      </c>
      <c r="GK107" s="75">
        <f t="shared" si="17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5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6"/>
        <v>78</v>
      </c>
      <c r="GK108" s="75">
        <f t="shared" si="17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5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6"/>
        <v>79</v>
      </c>
      <c r="GK109" s="75">
        <f t="shared" si="17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5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6"/>
        <v>80</v>
      </c>
      <c r="GK110" s="75">
        <f t="shared" si="17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5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6"/>
        <v>81</v>
      </c>
      <c r="GK111" s="75">
        <f t="shared" si="17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5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6"/>
        <v>82</v>
      </c>
      <c r="GK112" s="75">
        <f t="shared" si="17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5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6"/>
        <v>83</v>
      </c>
      <c r="GK113" s="75">
        <f t="shared" si="17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5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6"/>
        <v>84</v>
      </c>
      <c r="GK114" s="75">
        <f t="shared" si="17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5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6"/>
        <v>85</v>
      </c>
      <c r="GK115" s="75">
        <f t="shared" si="17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5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6"/>
        <v>86</v>
      </c>
      <c r="GK116" s="75">
        <f t="shared" si="17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5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6"/>
        <v>87</v>
      </c>
      <c r="GK117" s="75">
        <f t="shared" si="17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5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6"/>
        <v>88</v>
      </c>
      <c r="GK118" s="75">
        <f t="shared" si="17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5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6"/>
        <v>89</v>
      </c>
      <c r="GK119" s="75">
        <f t="shared" si="17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5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6"/>
        <v>90</v>
      </c>
      <c r="GK120" s="75">
        <f t="shared" si="17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5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6"/>
        <v>91</v>
      </c>
      <c r="GK121" s="75">
        <f t="shared" si="17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6"/>
        <v>92</v>
      </c>
      <c r="GK122" s="75">
        <f t="shared" si="17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6"/>
        <v>93</v>
      </c>
      <c r="GK123" s="75">
        <f t="shared" si="17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6"/>
        <v>94</v>
      </c>
      <c r="GK124" s="75">
        <f t="shared" si="17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6"/>
        <v>95</v>
      </c>
      <c r="GK125" s="75">
        <f t="shared" si="17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6"/>
        <v>96</v>
      </c>
      <c r="GK126" s="75">
        <f t="shared" si="17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6"/>
        <v>97</v>
      </c>
      <c r="GK127" s="75">
        <f t="shared" si="17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6"/>
        <v>98</v>
      </c>
      <c r="GK128" s="75">
        <f t="shared" si="17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6"/>
        <v>99</v>
      </c>
      <c r="GK129" s="75">
        <f t="shared" si="17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6"/>
        <v>100</v>
      </c>
      <c r="GK130" s="75">
        <f t="shared" si="17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6"/>
        <v>101</v>
      </c>
      <c r="GK131" s="75">
        <f t="shared" si="17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8" ref="GJ132:GJ173">+GJ131+1</f>
        <v>102</v>
      </c>
      <c r="GK132" s="75">
        <f t="shared" si="17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8"/>
        <v>103</v>
      </c>
      <c r="GK133" s="75">
        <f aca="true" t="shared" si="19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8"/>
        <v>104</v>
      </c>
      <c r="GK134" s="75">
        <f t="shared" si="19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8"/>
        <v>105</v>
      </c>
      <c r="GK135" s="75">
        <f t="shared" si="19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8"/>
        <v>106</v>
      </c>
      <c r="GK136" s="75">
        <f t="shared" si="19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8"/>
        <v>107</v>
      </c>
      <c r="GK137" s="75">
        <f t="shared" si="19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8"/>
        <v>108</v>
      </c>
      <c r="GK138" s="75">
        <f t="shared" si="19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8"/>
        <v>109</v>
      </c>
      <c r="GK139" s="75">
        <f t="shared" si="19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8"/>
        <v>110</v>
      </c>
      <c r="GK140" s="75">
        <f t="shared" si="19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8"/>
        <v>111</v>
      </c>
      <c r="GK141" s="75">
        <f t="shared" si="19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8"/>
        <v>112</v>
      </c>
      <c r="GK142" s="75">
        <f t="shared" si="19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8"/>
        <v>113</v>
      </c>
      <c r="GK143" s="75">
        <f t="shared" si="19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8"/>
        <v>114</v>
      </c>
      <c r="GK144" s="75">
        <f t="shared" si="19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8"/>
        <v>115</v>
      </c>
      <c r="GK145" s="75">
        <f t="shared" si="19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8"/>
        <v>116</v>
      </c>
      <c r="GK146" s="75">
        <f t="shared" si="19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8"/>
        <v>117</v>
      </c>
      <c r="GK147" s="75">
        <f t="shared" si="19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8"/>
        <v>118</v>
      </c>
      <c r="GK148" s="75">
        <f t="shared" si="19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8"/>
        <v>119</v>
      </c>
      <c r="GK149" s="75">
        <f t="shared" si="19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8"/>
        <v>120</v>
      </c>
      <c r="GK150" s="75">
        <f t="shared" si="19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8"/>
        <v>121</v>
      </c>
      <c r="GK151" s="75">
        <f t="shared" si="19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8"/>
        <v>122</v>
      </c>
      <c r="GK152" s="75">
        <f t="shared" si="19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8"/>
        <v>123</v>
      </c>
      <c r="GK153" s="75">
        <f t="shared" si="19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8"/>
        <v>124</v>
      </c>
      <c r="GK154" s="75">
        <f t="shared" si="19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8"/>
        <v>125</v>
      </c>
      <c r="GK155" s="75">
        <f t="shared" si="19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8"/>
        <v>126</v>
      </c>
      <c r="GK156" s="75">
        <f t="shared" si="19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8"/>
        <v>127</v>
      </c>
      <c r="GK157" s="75">
        <f t="shared" si="19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8"/>
        <v>128</v>
      </c>
      <c r="GK158" s="75">
        <f t="shared" si="19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8"/>
        <v>129</v>
      </c>
      <c r="GK159" s="75">
        <f t="shared" si="19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8"/>
        <v>130</v>
      </c>
      <c r="GK160" s="75">
        <f t="shared" si="19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8"/>
        <v>131</v>
      </c>
      <c r="GK161" s="75">
        <f t="shared" si="19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8"/>
        <v>132</v>
      </c>
      <c r="GK162" s="75">
        <f t="shared" si="19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8"/>
        <v>133</v>
      </c>
      <c r="GK163" s="75">
        <f t="shared" si="19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8"/>
        <v>134</v>
      </c>
      <c r="GK164" s="75">
        <f t="shared" si="19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8"/>
        <v>135</v>
      </c>
      <c r="GK165" s="75">
        <f t="shared" si="19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8"/>
        <v>136</v>
      </c>
      <c r="GK166" s="75">
        <f t="shared" si="19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8"/>
        <v>137</v>
      </c>
      <c r="GK167" s="75">
        <f t="shared" si="19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8"/>
        <v>138</v>
      </c>
      <c r="GK168" s="75">
        <f t="shared" si="19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8"/>
        <v>139</v>
      </c>
      <c r="GK169" s="75">
        <f t="shared" si="19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8"/>
        <v>140</v>
      </c>
      <c r="GK170" s="75">
        <f t="shared" si="19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8"/>
        <v>141</v>
      </c>
      <c r="GK171" s="75">
        <f t="shared" si="19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8"/>
        <v>142</v>
      </c>
      <c r="GK172" s="75">
        <f t="shared" si="19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8"/>
        <v>143</v>
      </c>
      <c r="GK173" s="75">
        <f t="shared" si="19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57</v>
      </c>
      <c r="D3" s="13" t="str">
        <f>+Input!F97</f>
        <v>Anno 1</v>
      </c>
      <c r="E3" s="13" t="str">
        <f>+Input!G97</f>
        <v>Anno 2</v>
      </c>
      <c r="F3" s="13" t="str">
        <f>+Input!H97</f>
        <v>Anno 3</v>
      </c>
      <c r="G3" s="13" t="str">
        <f>+Input!I97</f>
        <v>Anno 4</v>
      </c>
      <c r="H3" s="13" t="str">
        <f>+Input!J97</f>
        <v>Anno 5</v>
      </c>
      <c r="I3" s="15"/>
    </row>
    <row r="4" spans="2:9" ht="15">
      <c r="B4" s="16"/>
      <c r="C4" s="17" t="str">
        <f>+Input!C99</f>
        <v>spese utenze</v>
      </c>
      <c r="D4" s="33">
        <f>+Input!F99*Input!$D99</f>
        <v>378</v>
      </c>
      <c r="E4" s="33">
        <f>+Input!G99*Input!$D99</f>
        <v>378</v>
      </c>
      <c r="F4" s="33">
        <f>+Input!H99*Input!$D99</f>
        <v>378</v>
      </c>
      <c r="G4" s="33">
        <f>+Input!I99*Input!$D99</f>
        <v>378</v>
      </c>
      <c r="H4" s="33">
        <f>+Input!J99*Input!$D99</f>
        <v>378</v>
      </c>
      <c r="I4" s="15"/>
    </row>
    <row r="5" spans="2:9" ht="15">
      <c r="B5" s="16"/>
      <c r="C5" s="17" t="str">
        <f>+Input!C100</f>
        <v>spese di rappresentanza</v>
      </c>
      <c r="D5" s="33">
        <f>+Input!F100*Input!$D100</f>
        <v>0</v>
      </c>
      <c r="E5" s="33">
        <f>+Input!G100*Input!$D100</f>
        <v>0</v>
      </c>
      <c r="F5" s="33">
        <f>+Input!H100*Input!$D100</f>
        <v>0</v>
      </c>
      <c r="G5" s="33">
        <f>+Input!I100*Input!$D100</f>
        <v>0</v>
      </c>
      <c r="H5" s="33">
        <f>+Input!J100*Input!$D100</f>
        <v>0</v>
      </c>
      <c r="I5" s="15"/>
    </row>
    <row r="6" spans="2:9" ht="15">
      <c r="B6" s="16"/>
      <c r="C6" s="17" t="str">
        <f>+Input!C101</f>
        <v>spese di pubblicità e promozioni</v>
      </c>
      <c r="D6" s="33">
        <f>+Input!F101*Input!$D101</f>
        <v>0</v>
      </c>
      <c r="E6" s="33">
        <f>+Input!G101*Input!$D101</f>
        <v>0</v>
      </c>
      <c r="F6" s="33">
        <f>+Input!H101*Input!$D101</f>
        <v>0</v>
      </c>
      <c r="G6" s="33">
        <f>+Input!I101*Input!$D101</f>
        <v>0</v>
      </c>
      <c r="H6" s="33">
        <f>+Input!J101*Input!$D101</f>
        <v>0</v>
      </c>
      <c r="I6" s="15"/>
    </row>
    <row r="7" spans="2:9" ht="15">
      <c r="B7" s="16"/>
      <c r="C7" s="17" t="str">
        <f>+Input!C102</f>
        <v>beni strumentali inf. al milione</v>
      </c>
      <c r="D7" s="33">
        <f>+Input!F102*Input!$D102</f>
        <v>0</v>
      </c>
      <c r="E7" s="33">
        <f>+Input!G102*Input!$D102</f>
        <v>0</v>
      </c>
      <c r="F7" s="33">
        <f>+Input!H102*Input!$D102</f>
        <v>0</v>
      </c>
      <c r="G7" s="33">
        <f>+Input!I102*Input!$D102</f>
        <v>0</v>
      </c>
      <c r="H7" s="33">
        <f>+Input!J102*Input!$D102</f>
        <v>0</v>
      </c>
      <c r="I7" s="15"/>
    </row>
    <row r="8" spans="2:9" ht="15">
      <c r="B8" s="16"/>
      <c r="C8" s="17" t="str">
        <f>+Input!C103</f>
        <v>spese di trasporto</v>
      </c>
      <c r="D8" s="33">
        <f>+Input!F103*Input!$D103</f>
        <v>0</v>
      </c>
      <c r="E8" s="33">
        <f>+Input!G103*Input!$D103</f>
        <v>0</v>
      </c>
      <c r="F8" s="33">
        <f>+Input!H103*Input!$D103</f>
        <v>0</v>
      </c>
      <c r="G8" s="33">
        <f>+Input!I103*Input!$D103</f>
        <v>0</v>
      </c>
      <c r="H8" s="33">
        <f>+Input!J103*Input!$D103</f>
        <v>0</v>
      </c>
      <c r="I8" s="15"/>
    </row>
    <row r="9" spans="2:9" ht="15">
      <c r="B9" s="16"/>
      <c r="C9" s="17" t="str">
        <f>+Input!C104</f>
        <v>lavorazioni presso terzi</v>
      </c>
      <c r="D9" s="33">
        <f>+Input!F104*Input!$D104</f>
        <v>0</v>
      </c>
      <c r="E9" s="33">
        <f>+Input!G104*Input!$D104</f>
        <v>0</v>
      </c>
      <c r="F9" s="33">
        <f>+Input!H104*Input!$D104</f>
        <v>0</v>
      </c>
      <c r="G9" s="33">
        <f>+Input!I104*Input!$D104</f>
        <v>0</v>
      </c>
      <c r="H9" s="33">
        <f>+Input!J104*Input!$D104</f>
        <v>0</v>
      </c>
      <c r="I9" s="15"/>
    </row>
    <row r="10" spans="2:9" ht="15">
      <c r="B10" s="16"/>
      <c r="C10" s="17" t="str">
        <f>+Input!C105</f>
        <v>consulenze legali, fiscali, notarili, ecc…</v>
      </c>
      <c r="D10" s="33">
        <f>+Input!F105*Input!$D105</f>
        <v>126</v>
      </c>
      <c r="E10" s="33">
        <f>+Input!G105*Input!$D105</f>
        <v>126</v>
      </c>
      <c r="F10" s="33">
        <f>+Input!H105*Input!$D105</f>
        <v>126</v>
      </c>
      <c r="G10" s="33">
        <f>+Input!I105*Input!$D105</f>
        <v>126</v>
      </c>
      <c r="H10" s="33">
        <f>+Input!J105*Input!$D105</f>
        <v>126</v>
      </c>
      <c r="I10" s="15"/>
    </row>
    <row r="11" spans="2:9" ht="15">
      <c r="B11" s="16"/>
      <c r="C11" s="17" t="str">
        <f>+Input!C106</f>
        <v>compensi amministratori</v>
      </c>
      <c r="D11" s="33">
        <f>+Input!F106*Input!$D106</f>
        <v>0</v>
      </c>
      <c r="E11" s="33">
        <f>+Input!G106*Input!$D106</f>
        <v>0</v>
      </c>
      <c r="F11" s="33">
        <f>+Input!H106*Input!$D106</f>
        <v>0</v>
      </c>
      <c r="G11" s="33">
        <f>+Input!I106*Input!$D106</f>
        <v>0</v>
      </c>
      <c r="H11" s="33">
        <f>+Input!J106*Input!$D106</f>
        <v>0</v>
      </c>
      <c r="I11" s="15"/>
    </row>
    <row r="12" spans="2:9" ht="15">
      <c r="B12" s="16"/>
      <c r="C12" s="17" t="str">
        <f>+Input!C107</f>
        <v>affitti </v>
      </c>
      <c r="D12" s="33">
        <f>+Input!F107*Input!$D107</f>
        <v>0</v>
      </c>
      <c r="E12" s="33">
        <f>+Input!G107*Input!$D107</f>
        <v>0</v>
      </c>
      <c r="F12" s="33">
        <f>+Input!H107*Input!$D107</f>
        <v>0</v>
      </c>
      <c r="G12" s="33">
        <f>+Input!I107*Input!$D107</f>
        <v>0</v>
      </c>
      <c r="H12" s="33">
        <f>+Input!J107*Input!$D107</f>
        <v>0</v>
      </c>
      <c r="I12" s="15"/>
    </row>
    <row r="13" spans="2:9" ht="15">
      <c r="B13" s="16"/>
      <c r="C13" s="17" t="str">
        <f>+Input!C108</f>
        <v>altri costi amministrativi</v>
      </c>
      <c r="D13" s="33">
        <f>+Input!F108*Input!$D108</f>
        <v>0</v>
      </c>
      <c r="E13" s="33">
        <f>+Input!G108*Input!$D108</f>
        <v>0</v>
      </c>
      <c r="F13" s="33">
        <f>+Input!H108*Input!$D108</f>
        <v>0</v>
      </c>
      <c r="G13" s="33">
        <f>+Input!I108*Input!$D108</f>
        <v>0</v>
      </c>
      <c r="H13" s="33">
        <f>+Input!J108*Input!$D108</f>
        <v>0</v>
      </c>
      <c r="I13" s="15"/>
    </row>
    <row r="14" spans="2:9" ht="15">
      <c r="B14" s="16"/>
      <c r="C14" s="17" t="str">
        <f>+Input!C109</f>
        <v>Costi diversi</v>
      </c>
      <c r="D14" s="33">
        <f>+Input!F109*Input!$D109</f>
        <v>210</v>
      </c>
      <c r="E14" s="33">
        <f>+Input!G109*Input!$D109</f>
        <v>210</v>
      </c>
      <c r="F14" s="33">
        <f>+Input!H109*Input!$D109</f>
        <v>210</v>
      </c>
      <c r="G14" s="33">
        <f>+Input!I109*Input!$D109</f>
        <v>210</v>
      </c>
      <c r="H14" s="33">
        <f>+Input!J109*Input!$D109</f>
        <v>210</v>
      </c>
      <c r="I14" s="15"/>
    </row>
    <row r="15" spans="2:9" ht="15">
      <c r="B15" s="16"/>
      <c r="C15" s="17" t="str">
        <f>+Input!C110</f>
        <v>Premi assicurativi</v>
      </c>
      <c r="D15" s="33">
        <f>+Input!F110*Input!$D110</f>
        <v>0</v>
      </c>
      <c r="E15" s="33">
        <f>+Input!G110*Input!$D110</f>
        <v>0</v>
      </c>
      <c r="F15" s="33">
        <f>+Input!H110*Input!$D110</f>
        <v>0</v>
      </c>
      <c r="G15" s="33">
        <f>+Input!I110*Input!$D110</f>
        <v>0</v>
      </c>
      <c r="H15" s="33">
        <f>+Input!J110*Input!$D110</f>
        <v>0</v>
      </c>
      <c r="I15" s="15"/>
    </row>
    <row r="16" spans="2:9" ht="15">
      <c r="B16" s="16"/>
      <c r="C16" s="17" t="str">
        <f>+Input!C111</f>
        <v>Costo annuale fidejussione</v>
      </c>
      <c r="D16" s="33">
        <f>+Input!F111*Input!$D111</f>
        <v>0</v>
      </c>
      <c r="E16" s="33">
        <f>+Input!G111*Input!$D111</f>
        <v>0</v>
      </c>
      <c r="F16" s="33">
        <f>+Input!H111*Input!$D111</f>
        <v>0</v>
      </c>
      <c r="G16" s="33">
        <f>+Input!I111*Input!$D111</f>
        <v>0</v>
      </c>
      <c r="H16" s="33">
        <f>+Input!J111*Input!$D111</f>
        <v>0</v>
      </c>
      <c r="I16" s="15"/>
    </row>
    <row r="17" spans="2:9" ht="15">
      <c r="B17" s="16"/>
      <c r="C17" s="17" t="str">
        <f>+Input!C112</f>
        <v>Royalties Franchising</v>
      </c>
      <c r="D17" s="33">
        <f>+Input!F112*Input!$D112</f>
        <v>1795.5</v>
      </c>
      <c r="E17" s="33">
        <f>+Input!G112*Input!$D112</f>
        <v>2094.75</v>
      </c>
      <c r="F17" s="33">
        <f>+Input!H112*Input!$D112</f>
        <v>2415</v>
      </c>
      <c r="G17" s="33">
        <f>+Input!I112*Input!$D112</f>
        <v>2467.5</v>
      </c>
      <c r="H17" s="33">
        <f>+Input!J112*Input!$D112</f>
        <v>2520</v>
      </c>
      <c r="I17" s="15"/>
    </row>
    <row r="18" spans="2:9" ht="15">
      <c r="B18" s="16"/>
      <c r="C18" s="17" t="str">
        <f>+Input!C113</f>
        <v>Altri costi 3</v>
      </c>
      <c r="D18" s="33">
        <f>+Input!F113*Input!$D113</f>
        <v>0</v>
      </c>
      <c r="E18" s="33">
        <f>+Input!G113*Input!$D113</f>
        <v>0</v>
      </c>
      <c r="F18" s="33">
        <f>+Input!H113*Input!$D113</f>
        <v>0</v>
      </c>
      <c r="G18" s="33">
        <f>+Input!I113*Input!$D113</f>
        <v>0</v>
      </c>
      <c r="H18" s="33">
        <f>+Input!J113*Input!$D113</f>
        <v>0</v>
      </c>
      <c r="I18" s="15"/>
    </row>
    <row r="19" spans="2:9" ht="15">
      <c r="B19" s="16"/>
      <c r="C19" s="17" t="str">
        <f>+Input!C114</f>
        <v>Altri costi 4</v>
      </c>
      <c r="D19" s="33">
        <f>+Input!F114*Input!$D114</f>
        <v>0</v>
      </c>
      <c r="E19" s="33">
        <f>+Input!G114*Input!$D114</f>
        <v>0</v>
      </c>
      <c r="F19" s="33">
        <f>+Input!H114*Input!$D114</f>
        <v>0</v>
      </c>
      <c r="G19" s="33">
        <f>+Input!I114*Input!$D114</f>
        <v>0</v>
      </c>
      <c r="H19" s="33">
        <f>+Input!J114*Input!$D114</f>
        <v>0</v>
      </c>
      <c r="I19" s="15"/>
    </row>
    <row r="20" spans="2:9" ht="15">
      <c r="B20" s="16"/>
      <c r="C20" s="17" t="str">
        <f>+Input!C115</f>
        <v>Altri costi 5</v>
      </c>
      <c r="D20" s="33">
        <f>+Input!F115*Input!$D115</f>
        <v>0</v>
      </c>
      <c r="E20" s="33">
        <f>+Input!G115*Input!$D115</f>
        <v>0</v>
      </c>
      <c r="F20" s="33">
        <f>+Input!H115*Input!$D115</f>
        <v>0</v>
      </c>
      <c r="G20" s="33">
        <f>+Input!I115*Input!$D115</f>
        <v>0</v>
      </c>
      <c r="H20" s="33">
        <f>+Input!J115*Input!$D115</f>
        <v>0</v>
      </c>
      <c r="I20" s="15"/>
    </row>
    <row r="21" spans="2:9" ht="15">
      <c r="B21" s="16"/>
      <c r="C21" s="17" t="str">
        <f>+Input!C116</f>
        <v>Altri costi 6</v>
      </c>
      <c r="D21" s="33">
        <f>+Input!F116*Input!$D116</f>
        <v>0</v>
      </c>
      <c r="E21" s="33">
        <f>+Input!G116*Input!$D116</f>
        <v>0</v>
      </c>
      <c r="F21" s="33">
        <f>+Input!H116*Input!$D116</f>
        <v>0</v>
      </c>
      <c r="G21" s="33">
        <f>+Input!I116*Input!$D116</f>
        <v>0</v>
      </c>
      <c r="H21" s="33">
        <f>+Input!J116*Input!$D116</f>
        <v>0</v>
      </c>
      <c r="I21" s="15"/>
    </row>
    <row r="22" spans="2:9" ht="15">
      <c r="B22" s="16"/>
      <c r="C22" s="17" t="str">
        <f>+Input!C117</f>
        <v>Altri costi 7</v>
      </c>
      <c r="D22" s="33">
        <f>+Input!F117*Input!$D117</f>
        <v>0</v>
      </c>
      <c r="E22" s="33">
        <f>+Input!G117*Input!$D117</f>
        <v>0</v>
      </c>
      <c r="F22" s="33">
        <f>+Input!H117*Input!$D117</f>
        <v>0</v>
      </c>
      <c r="G22" s="33">
        <f>+Input!I117*Input!$D117</f>
        <v>0</v>
      </c>
      <c r="H22" s="33">
        <f>+Input!J117*Input!$D117</f>
        <v>0</v>
      </c>
      <c r="I22" s="15"/>
    </row>
    <row r="23" spans="2:9" ht="15">
      <c r="B23" s="16"/>
      <c r="C23" s="17" t="str">
        <f>+Input!C118</f>
        <v>Altri costi 8</v>
      </c>
      <c r="D23" s="33">
        <f>+Input!F118*Input!$D118</f>
        <v>0</v>
      </c>
      <c r="E23" s="33">
        <f>+Input!G118*Input!$D118</f>
        <v>0</v>
      </c>
      <c r="F23" s="33">
        <f>+Input!H118*Input!$D118</f>
        <v>0</v>
      </c>
      <c r="G23" s="33">
        <f>+Input!I118*Input!$D118</f>
        <v>0</v>
      </c>
      <c r="H23" s="33">
        <f>+Input!J118*Input!$D118</f>
        <v>0</v>
      </c>
      <c r="I23" s="15"/>
    </row>
    <row r="24" spans="2:9" ht="15">
      <c r="B24" s="16"/>
      <c r="C24" s="17" t="str">
        <f>+Input!C119</f>
        <v>Altri costi 9</v>
      </c>
      <c r="D24" s="33">
        <f>+Input!F119*Input!$D119</f>
        <v>0</v>
      </c>
      <c r="E24" s="33">
        <f>+Input!G119*Input!$D119</f>
        <v>0</v>
      </c>
      <c r="F24" s="33">
        <f>+Input!H119*Input!$D119</f>
        <v>0</v>
      </c>
      <c r="G24" s="33">
        <f>+Input!I119*Input!$D119</f>
        <v>0</v>
      </c>
      <c r="H24" s="33">
        <f>+Input!J119*Input!$D119</f>
        <v>0</v>
      </c>
      <c r="I24" s="15"/>
    </row>
    <row r="25" spans="2:9" ht="15">
      <c r="B25" s="16"/>
      <c r="C25" s="12" t="s">
        <v>248</v>
      </c>
      <c r="D25" s="34">
        <f>SUM(D4:D24)</f>
        <v>2509.5</v>
      </c>
      <c r="E25" s="34">
        <f>SUM(E4:E24)</f>
        <v>2808.75</v>
      </c>
      <c r="F25" s="34">
        <f>SUM(F4:F24)</f>
        <v>3129</v>
      </c>
      <c r="G25" s="34">
        <f>SUM(G4:G24)</f>
        <v>3181.5</v>
      </c>
      <c r="H25" s="34">
        <f>SUM(H4:H24)</f>
        <v>3234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37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+Input!F99+'Altri costi'!D4</f>
        <v>2178</v>
      </c>
      <c r="E30" s="45">
        <f>+Input!G99+'Altri costi'!E4</f>
        <v>2178</v>
      </c>
      <c r="F30" s="45">
        <f>+Input!H99+'Altri costi'!F4</f>
        <v>2178</v>
      </c>
      <c r="G30" s="45">
        <f>+Input!I99+'Altri costi'!G4</f>
        <v>2178</v>
      </c>
      <c r="H30" s="45">
        <f>+Input!J99+'Altri costi'!H4</f>
        <v>2178</v>
      </c>
      <c r="I30" s="15"/>
    </row>
    <row r="31" spans="2:9" ht="15">
      <c r="B31" s="16"/>
      <c r="C31" s="17" t="str">
        <f t="shared" si="0"/>
        <v>spese di rappresentanza</v>
      </c>
      <c r="D31" s="45">
        <f>+Input!F100+'Altri costi'!D5</f>
        <v>0</v>
      </c>
      <c r="E31" s="45">
        <f>+Input!G100+'Altri costi'!E5</f>
        <v>0</v>
      </c>
      <c r="F31" s="45">
        <f>+Input!H100+'Altri costi'!F5</f>
        <v>0</v>
      </c>
      <c r="G31" s="45">
        <f>+Input!I100+'Altri costi'!G5</f>
        <v>0</v>
      </c>
      <c r="H31" s="45">
        <f>+Input!J100+'Altri costi'!H5</f>
        <v>0</v>
      </c>
      <c r="I31" s="15"/>
    </row>
    <row r="32" spans="2:9" ht="15">
      <c r="B32" s="16"/>
      <c r="C32" s="17" t="str">
        <f t="shared" si="0"/>
        <v>spese di pubblicità e promozioni</v>
      </c>
      <c r="D32" s="45">
        <f>+Input!F101+'Altri costi'!D6</f>
        <v>0</v>
      </c>
      <c r="E32" s="45">
        <f>+Input!G101+'Altri costi'!E6</f>
        <v>0</v>
      </c>
      <c r="F32" s="45">
        <f>+Input!H101+'Altri costi'!F6</f>
        <v>0</v>
      </c>
      <c r="G32" s="45">
        <f>+Input!I101+'Altri costi'!G6</f>
        <v>0</v>
      </c>
      <c r="H32" s="45">
        <f>+Input!J101+'Altri costi'!H6</f>
        <v>0</v>
      </c>
      <c r="I32" s="15"/>
    </row>
    <row r="33" spans="2:9" ht="15">
      <c r="B33" s="16"/>
      <c r="C33" s="17" t="str">
        <f t="shared" si="0"/>
        <v>beni strumentali inf. al milione</v>
      </c>
      <c r="D33" s="45">
        <f>+Input!F102+'Altri costi'!D7</f>
        <v>0</v>
      </c>
      <c r="E33" s="45">
        <f>+Input!G102+'Altri costi'!E7</f>
        <v>0</v>
      </c>
      <c r="F33" s="45">
        <f>+Input!H102+'Altri costi'!F7</f>
        <v>0</v>
      </c>
      <c r="G33" s="45">
        <f>+Input!I102+'Altri costi'!G7</f>
        <v>0</v>
      </c>
      <c r="H33" s="45">
        <f>+Input!J102+'Altri costi'!H7</f>
        <v>0</v>
      </c>
      <c r="I33" s="15"/>
    </row>
    <row r="34" spans="2:9" ht="15">
      <c r="B34" s="16"/>
      <c r="C34" s="17" t="str">
        <f t="shared" si="0"/>
        <v>spese di trasporto</v>
      </c>
      <c r="D34" s="45">
        <f>+Input!F103+'Altri costi'!D8</f>
        <v>0</v>
      </c>
      <c r="E34" s="45">
        <f>+Input!G103+'Altri costi'!E8</f>
        <v>0</v>
      </c>
      <c r="F34" s="45">
        <f>+Input!H103+'Altri costi'!F8</f>
        <v>0</v>
      </c>
      <c r="G34" s="45">
        <f>+Input!I103+'Altri costi'!G8</f>
        <v>0</v>
      </c>
      <c r="H34" s="45">
        <f>+Input!J103+'Altri costi'!H8</f>
        <v>0</v>
      </c>
      <c r="I34" s="15"/>
    </row>
    <row r="35" spans="2:9" ht="15">
      <c r="B35" s="16"/>
      <c r="C35" s="17" t="str">
        <f t="shared" si="0"/>
        <v>lavorazioni presso terzi</v>
      </c>
      <c r="D35" s="45">
        <f>+Input!F104+'Altri costi'!D9</f>
        <v>0</v>
      </c>
      <c r="E35" s="45">
        <f>+Input!G104+'Altri costi'!E9</f>
        <v>0</v>
      </c>
      <c r="F35" s="45">
        <f>+Input!H104+'Altri costi'!F9</f>
        <v>0</v>
      </c>
      <c r="G35" s="45">
        <f>+Input!I104+'Altri costi'!G9</f>
        <v>0</v>
      </c>
      <c r="H35" s="45">
        <f>+Input!J104+'Altri costi'!H9</f>
        <v>0</v>
      </c>
      <c r="I35" s="15"/>
    </row>
    <row r="36" spans="2:9" ht="15">
      <c r="B36" s="16"/>
      <c r="C36" s="17" t="str">
        <f t="shared" si="0"/>
        <v>consulenze legali, fiscali, notarili, ecc…</v>
      </c>
      <c r="D36" s="45">
        <f>+Input!F105+'Altri costi'!D10</f>
        <v>726</v>
      </c>
      <c r="E36" s="45">
        <f>+Input!G105+'Altri costi'!E10</f>
        <v>726</v>
      </c>
      <c r="F36" s="45">
        <f>+Input!H105+'Altri costi'!F10</f>
        <v>726</v>
      </c>
      <c r="G36" s="45">
        <f>+Input!I105+'Altri costi'!G10</f>
        <v>726</v>
      </c>
      <c r="H36" s="45">
        <f>+Input!J105+'Altri costi'!H10</f>
        <v>726</v>
      </c>
      <c r="I36" s="15"/>
    </row>
    <row r="37" spans="2:9" ht="15">
      <c r="B37" s="16"/>
      <c r="C37" s="17" t="str">
        <f t="shared" si="0"/>
        <v>compensi amministratori</v>
      </c>
      <c r="D37" s="45">
        <f>+Input!F106+'Altri costi'!D11</f>
        <v>0</v>
      </c>
      <c r="E37" s="45">
        <f>+Input!G106+'Altri costi'!E11</f>
        <v>0</v>
      </c>
      <c r="F37" s="45">
        <f>+Input!H106+'Altri costi'!F11</f>
        <v>0</v>
      </c>
      <c r="G37" s="45">
        <f>+Input!I106+'Altri costi'!G11</f>
        <v>0</v>
      </c>
      <c r="H37" s="45">
        <f>+Input!J106+'Altri costi'!H11</f>
        <v>0</v>
      </c>
      <c r="I37" s="15"/>
    </row>
    <row r="38" spans="2:9" ht="15">
      <c r="B38" s="16"/>
      <c r="C38" s="17" t="str">
        <f t="shared" si="0"/>
        <v>affitti </v>
      </c>
      <c r="D38" s="45">
        <f>+Input!F107+'Altri costi'!D12</f>
        <v>9600</v>
      </c>
      <c r="E38" s="45">
        <f>+Input!G107+'Altri costi'!E12</f>
        <v>9600</v>
      </c>
      <c r="F38" s="45">
        <f>+Input!H107+'Altri costi'!F12</f>
        <v>9600</v>
      </c>
      <c r="G38" s="45">
        <f>+Input!I107+'Altri costi'!G12</f>
        <v>9600</v>
      </c>
      <c r="H38" s="45">
        <f>+Input!J107+'Altri costi'!H12</f>
        <v>9600</v>
      </c>
      <c r="I38" s="15"/>
    </row>
    <row r="39" spans="2:9" ht="15">
      <c r="B39" s="16"/>
      <c r="C39" s="17" t="str">
        <f t="shared" si="0"/>
        <v>altri costi amministrativi</v>
      </c>
      <c r="D39" s="45">
        <f>+Input!F108+'Altri costi'!D13</f>
        <v>0</v>
      </c>
      <c r="E39" s="45">
        <f>+Input!G108+'Altri costi'!E13</f>
        <v>0</v>
      </c>
      <c r="F39" s="45">
        <f>+Input!H108+'Altri costi'!F13</f>
        <v>0</v>
      </c>
      <c r="G39" s="45">
        <f>+Input!I108+'Altri costi'!G13</f>
        <v>0</v>
      </c>
      <c r="H39" s="45">
        <f>+Input!J108+'Altri costi'!H13</f>
        <v>0</v>
      </c>
      <c r="I39" s="15"/>
    </row>
    <row r="40" spans="2:9" ht="15">
      <c r="B40" s="16"/>
      <c r="C40" s="17" t="str">
        <f t="shared" si="0"/>
        <v>Costi diversi</v>
      </c>
      <c r="D40" s="45">
        <f>+Input!F109+'Altri costi'!D14</f>
        <v>1210</v>
      </c>
      <c r="E40" s="45">
        <f>+Input!G109+'Altri costi'!E14</f>
        <v>1210</v>
      </c>
      <c r="F40" s="45">
        <f>+Input!H109+'Altri costi'!F14</f>
        <v>1210</v>
      </c>
      <c r="G40" s="45">
        <f>+Input!I109+'Altri costi'!G14</f>
        <v>1210</v>
      </c>
      <c r="H40" s="45">
        <f>+Input!J109+'Altri costi'!H14</f>
        <v>1210</v>
      </c>
      <c r="I40" s="15"/>
    </row>
    <row r="41" spans="2:9" ht="15">
      <c r="B41" s="16"/>
      <c r="C41" s="17" t="str">
        <f t="shared" si="0"/>
        <v>Premi assicurativi</v>
      </c>
      <c r="D41" s="45">
        <f>+Input!F110+'Altri costi'!D15</f>
        <v>500</v>
      </c>
      <c r="E41" s="45">
        <f>+Input!G110+'Altri costi'!E15</f>
        <v>500</v>
      </c>
      <c r="F41" s="45">
        <f>+Input!H110+'Altri costi'!F15</f>
        <v>500</v>
      </c>
      <c r="G41" s="45">
        <f>+Input!I110+'Altri costi'!G15</f>
        <v>500</v>
      </c>
      <c r="H41" s="45">
        <f>+Input!J110+'Altri costi'!H15</f>
        <v>500</v>
      </c>
      <c r="I41" s="15"/>
    </row>
    <row r="42" spans="2:9" ht="15">
      <c r="B42" s="16"/>
      <c r="C42" s="17" t="str">
        <f t="shared" si="0"/>
        <v>Costo annuale fidejussione</v>
      </c>
      <c r="D42" s="45">
        <f>+Input!F111+'Altri costi'!D16</f>
        <v>0</v>
      </c>
      <c r="E42" s="45">
        <f>+Input!G111+'Altri costi'!E16</f>
        <v>0</v>
      </c>
      <c r="F42" s="45">
        <f>+Input!H111+'Altri costi'!F16</f>
        <v>0</v>
      </c>
      <c r="G42" s="45">
        <f>+Input!I111+'Altri costi'!G16</f>
        <v>0</v>
      </c>
      <c r="H42" s="45">
        <f>+Input!J111+'Altri costi'!H16</f>
        <v>0</v>
      </c>
      <c r="I42" s="15"/>
    </row>
    <row r="43" spans="2:9" ht="15">
      <c r="B43" s="16"/>
      <c r="C43" s="17" t="str">
        <f t="shared" si="0"/>
        <v>Royalties Franchising</v>
      </c>
      <c r="D43" s="45">
        <f>+Input!F112+'Altri costi'!D17</f>
        <v>10345.5</v>
      </c>
      <c r="E43" s="45">
        <f>+Input!G112+'Altri costi'!E17</f>
        <v>12069.75</v>
      </c>
      <c r="F43" s="45">
        <f>+Input!H112+'Altri costi'!F17</f>
        <v>13915</v>
      </c>
      <c r="G43" s="45">
        <f>+Input!I112+'Altri costi'!G17</f>
        <v>14217.5</v>
      </c>
      <c r="H43" s="45">
        <f>+Input!J112+'Altri costi'!H17</f>
        <v>14520</v>
      </c>
      <c r="I43" s="15"/>
    </row>
    <row r="44" spans="2:9" ht="15">
      <c r="B44" s="16"/>
      <c r="C44" s="17" t="str">
        <f t="shared" si="0"/>
        <v>Altri costi 3</v>
      </c>
      <c r="D44" s="45">
        <f>+Input!F113+'Altri costi'!D18</f>
        <v>0</v>
      </c>
      <c r="E44" s="45">
        <f>+Input!G113+'Altri costi'!E18</f>
        <v>0</v>
      </c>
      <c r="F44" s="45">
        <f>+Input!H113+'Altri costi'!F18</f>
        <v>0</v>
      </c>
      <c r="G44" s="45">
        <f>+Input!I113+'Altri costi'!G18</f>
        <v>0</v>
      </c>
      <c r="H44" s="45">
        <f>+Input!J113+'Altri costi'!H18</f>
        <v>0</v>
      </c>
      <c r="I44" s="15"/>
    </row>
    <row r="45" spans="2:9" ht="15">
      <c r="B45" s="16"/>
      <c r="C45" s="17" t="str">
        <f t="shared" si="0"/>
        <v>Altri costi 4</v>
      </c>
      <c r="D45" s="45">
        <f>+Input!F114+'Altri costi'!D19</f>
        <v>0</v>
      </c>
      <c r="E45" s="45">
        <f>+Input!G114+'Altri costi'!E19</f>
        <v>0</v>
      </c>
      <c r="F45" s="45">
        <f>+Input!H114+'Altri costi'!F19</f>
        <v>0</v>
      </c>
      <c r="G45" s="45">
        <f>+Input!I114+'Altri costi'!G19</f>
        <v>0</v>
      </c>
      <c r="H45" s="45">
        <f>+Input!J114+'Altri costi'!H19</f>
        <v>0</v>
      </c>
      <c r="I45" s="15"/>
    </row>
    <row r="46" spans="2:9" ht="15">
      <c r="B46" s="16"/>
      <c r="C46" s="17" t="str">
        <f t="shared" si="0"/>
        <v>Altri costi 5</v>
      </c>
      <c r="D46" s="45">
        <f>+Input!F115+'Altri costi'!D20</f>
        <v>0</v>
      </c>
      <c r="E46" s="45">
        <f>+Input!G115+'Altri costi'!E20</f>
        <v>0</v>
      </c>
      <c r="F46" s="45">
        <f>+Input!H115+'Altri costi'!F20</f>
        <v>0</v>
      </c>
      <c r="G46" s="45">
        <f>+Input!I115+'Altri costi'!G20</f>
        <v>0</v>
      </c>
      <c r="H46" s="45">
        <f>+Input!J115+'Altri costi'!H20</f>
        <v>0</v>
      </c>
      <c r="I46" s="15"/>
    </row>
    <row r="47" spans="2:9" ht="15">
      <c r="B47" s="16"/>
      <c r="C47" s="17" t="str">
        <f t="shared" si="0"/>
        <v>Altri costi 6</v>
      </c>
      <c r="D47" s="45">
        <f>+Input!F116+'Altri costi'!D21</f>
        <v>0</v>
      </c>
      <c r="E47" s="45">
        <f>+Input!G116+'Altri costi'!E21</f>
        <v>0</v>
      </c>
      <c r="F47" s="45">
        <f>+Input!H116+'Altri costi'!F21</f>
        <v>0</v>
      </c>
      <c r="G47" s="45">
        <f>+Input!I116+'Altri costi'!G21</f>
        <v>0</v>
      </c>
      <c r="H47" s="45">
        <f>+Input!J116+'Altri costi'!H21</f>
        <v>0</v>
      </c>
      <c r="I47" s="15"/>
    </row>
    <row r="48" spans="2:9" ht="15">
      <c r="B48" s="16"/>
      <c r="C48" s="17" t="str">
        <f t="shared" si="0"/>
        <v>Altri costi 7</v>
      </c>
      <c r="D48" s="45">
        <f>+Input!F117+'Altri costi'!D22</f>
        <v>0</v>
      </c>
      <c r="E48" s="45">
        <f>+Input!G117+'Altri costi'!E22</f>
        <v>0</v>
      </c>
      <c r="F48" s="45">
        <f>+Input!H117+'Altri costi'!F22</f>
        <v>0</v>
      </c>
      <c r="G48" s="45">
        <f>+Input!I117+'Altri costi'!G22</f>
        <v>0</v>
      </c>
      <c r="H48" s="45">
        <f>+Input!J117+'Altri costi'!H22</f>
        <v>0</v>
      </c>
      <c r="I48" s="15"/>
    </row>
    <row r="49" spans="2:9" ht="15">
      <c r="B49" s="16"/>
      <c r="C49" s="17" t="str">
        <f t="shared" si="0"/>
        <v>Altri costi 8</v>
      </c>
      <c r="D49" s="45">
        <f>+Input!F118+'Altri costi'!D23</f>
        <v>0</v>
      </c>
      <c r="E49" s="45">
        <f>+Input!G118+'Altri costi'!E23</f>
        <v>0</v>
      </c>
      <c r="F49" s="45">
        <f>+Input!H118+'Altri costi'!F23</f>
        <v>0</v>
      </c>
      <c r="G49" s="45">
        <f>+Input!I118+'Altri costi'!G23</f>
        <v>0</v>
      </c>
      <c r="H49" s="45">
        <f>+Input!J118+'Altri costi'!H23</f>
        <v>0</v>
      </c>
      <c r="I49" s="15"/>
    </row>
    <row r="50" spans="2:9" ht="15">
      <c r="B50" s="16"/>
      <c r="C50" s="17" t="str">
        <f t="shared" si="0"/>
        <v>Altri costi 9</v>
      </c>
      <c r="D50" s="45">
        <f>+Input!F119+'Altri costi'!D24</f>
        <v>0</v>
      </c>
      <c r="E50" s="45">
        <f>+Input!G119+'Altri costi'!E24</f>
        <v>0</v>
      </c>
      <c r="F50" s="45">
        <f>+Input!H119+'Altri costi'!F24</f>
        <v>0</v>
      </c>
      <c r="G50" s="45">
        <f>+Input!I119+'Altri costi'!G24</f>
        <v>0</v>
      </c>
      <c r="H50" s="45">
        <f>+Input!J119+'Altri costi'!H24</f>
        <v>0</v>
      </c>
      <c r="I50" s="15"/>
    </row>
    <row r="51" spans="2:9" ht="15">
      <c r="B51" s="16"/>
      <c r="C51" s="12" t="s">
        <v>61</v>
      </c>
      <c r="D51" s="50">
        <f>SUM(D30:D50)</f>
        <v>24559.5</v>
      </c>
      <c r="E51" s="50">
        <f>SUM(E30:E50)</f>
        <v>26283.75</v>
      </c>
      <c r="F51" s="50">
        <f>SUM(F30:F50)</f>
        <v>28129</v>
      </c>
      <c r="G51" s="50">
        <f>SUM(G30:G50)</f>
        <v>28431.5</v>
      </c>
      <c r="H51" s="50">
        <f>SUM(H30:H50)</f>
        <v>28734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269</v>
      </c>
      <c r="C2" t="str">
        <f>+Input!D15</f>
        <v>mensile</v>
      </c>
    </row>
    <row r="4" spans="2:7" ht="15">
      <c r="B4" s="86" t="s">
        <v>252</v>
      </c>
      <c r="C4" s="7" t="s">
        <v>260</v>
      </c>
      <c r="D4" s="7" t="s">
        <v>261</v>
      </c>
      <c r="E4" s="7" t="s">
        <v>262</v>
      </c>
      <c r="F4" s="7" t="s">
        <v>263</v>
      </c>
      <c r="G4" s="7" t="s">
        <v>264</v>
      </c>
    </row>
    <row r="5" spans="2:8" ht="15">
      <c r="B5" s="17" t="s">
        <v>18</v>
      </c>
      <c r="C5" s="26">
        <f>+MCL!M41+MCL!D84</f>
        <v>35910</v>
      </c>
      <c r="D5" s="26">
        <f>+MCL!N41+MCL!E84</f>
        <v>41895</v>
      </c>
      <c r="E5" s="26">
        <f>+MCL!O41+MCL!F84</f>
        <v>48300</v>
      </c>
      <c r="F5" s="26">
        <f>+MCL!P41+MCL!G84</f>
        <v>49350</v>
      </c>
      <c r="G5" s="26">
        <f>+MCL!Q41+MCL!H84</f>
        <v>50400</v>
      </c>
      <c r="H5" s="85"/>
    </row>
    <row r="6" spans="2:8" ht="15">
      <c r="B6" s="17" t="s">
        <v>23</v>
      </c>
      <c r="C6" s="26">
        <f>+MCL!M55+Inve!M7+'Altri costi'!D25+MCL!D79</f>
        <v>41850.899999999994</v>
      </c>
      <c r="D6" s="26">
        <f>+MCL!N55+Inve!N7+'Altri costi'!E25+MCL!E79</f>
        <v>22918.350000000002</v>
      </c>
      <c r="E6" s="26">
        <f>+MCL!O55+Inve!O7+'Altri costi'!F25+MCL!F79</f>
        <v>26278.350000000002</v>
      </c>
      <c r="F6" s="26">
        <f>+MCL!P55+Inve!P7+'Altri costi'!G25+MCL!G79</f>
        <v>26449.500000000004</v>
      </c>
      <c r="G6" s="26">
        <f>+MCL!Q55+Inve!Q7+'Altri costi'!H25+MCL!H79</f>
        <v>26995.500000000004</v>
      </c>
      <c r="H6" s="85"/>
    </row>
    <row r="7" spans="2:8" ht="15">
      <c r="B7" s="87"/>
      <c r="C7" s="35">
        <f>+C6-C5</f>
        <v>5940.899999999994</v>
      </c>
      <c r="D7" s="35">
        <f>+D6-D5</f>
        <v>-18976.649999999998</v>
      </c>
      <c r="E7" s="35">
        <f>+E6-E5</f>
        <v>-22021.649999999998</v>
      </c>
      <c r="F7" s="35">
        <f>+F6-F5</f>
        <v>-22900.499999999996</v>
      </c>
      <c r="G7" s="35">
        <f>+G6-G5</f>
        <v>-23404.499999999996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253</v>
      </c>
      <c r="C9" s="87"/>
      <c r="D9" s="87"/>
      <c r="E9" s="87"/>
      <c r="F9" s="87"/>
      <c r="G9" s="87"/>
      <c r="H9" s="87"/>
    </row>
    <row r="10" spans="2:8" ht="15">
      <c r="B10" s="86" t="s">
        <v>254</v>
      </c>
      <c r="C10" s="26">
        <f>+C7</f>
        <v>5940.899999999994</v>
      </c>
      <c r="D10" s="26">
        <f>+D7</f>
        <v>-18976.649999999998</v>
      </c>
      <c r="E10" s="26">
        <f>+E7</f>
        <v>-22021.649999999998</v>
      </c>
      <c r="F10" s="26">
        <f>+F7</f>
        <v>-22900.499999999996</v>
      </c>
      <c r="G10" s="26">
        <f>+G7</f>
        <v>-23404.499999999996</v>
      </c>
      <c r="H10" s="87"/>
    </row>
    <row r="11" spans="2:8" ht="15">
      <c r="B11" s="86" t="s">
        <v>255</v>
      </c>
      <c r="C11" s="26">
        <v>0</v>
      </c>
      <c r="D11" s="26">
        <f>+IF(D10&gt;0,0,IF(C13&gt;-D10,-D10,C13))</f>
        <v>5940.899999999994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256</v>
      </c>
      <c r="C12" s="26">
        <f>+IF((C10+C11)&gt;0,0,(C10+C11))</f>
        <v>0</v>
      </c>
      <c r="D12" s="26">
        <f>+IF((D10+D11)&gt;0,0,(D10+D11))</f>
        <v>-13035.750000000004</v>
      </c>
      <c r="E12" s="26">
        <f>+IF((E10+E11)&gt;0,0,(E10+E11))</f>
        <v>-22021.649999999998</v>
      </c>
      <c r="F12" s="26">
        <f>+IF((F10+F11)&gt;0,0,(F10+F11))</f>
        <v>-22900.499999999996</v>
      </c>
      <c r="G12" s="26">
        <f>+IF((G10+G11)&gt;0,0,(G10+G11))</f>
        <v>-23404.499999999996</v>
      </c>
      <c r="H12" s="87"/>
    </row>
    <row r="13" spans="2:8" ht="15">
      <c r="B13" s="86" t="s">
        <v>257</v>
      </c>
      <c r="C13" s="26">
        <f>+IF(C6&gt;C5,C6-C5,0)</f>
        <v>5940.899999999994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258</v>
      </c>
      <c r="C14" s="26">
        <f>+C12*(11/12)</f>
        <v>0</v>
      </c>
      <c r="D14" s="26">
        <f>+(D12*(11/12))+(C12-C14)</f>
        <v>-11949.437500000004</v>
      </c>
      <c r="E14" s="26">
        <f>+(E12*(11/12))+(D12-D14)+(C12-C14)</f>
        <v>-21272.824999999997</v>
      </c>
      <c r="F14" s="26">
        <f>+(F12*(11/12))+(E12-E14)+(D12-D14)+(C12-C14)</f>
        <v>-22827.262499999997</v>
      </c>
      <c r="G14" s="26">
        <f>+(G12*(11/12))+(F12-F14)+(E12-E14)+(D12-D14)+(C12-C14)</f>
        <v>-23362.499999999996</v>
      </c>
      <c r="H14" s="87"/>
    </row>
    <row r="15" spans="2:8" ht="15">
      <c r="B15" s="87"/>
      <c r="C15" s="89">
        <f>+C12-C14</f>
        <v>0</v>
      </c>
      <c r="D15" s="89">
        <f>+D12-D14</f>
        <v>-1086.3125</v>
      </c>
      <c r="E15" s="89">
        <f>+E12-E14</f>
        <v>-748.8250000000007</v>
      </c>
      <c r="F15" s="89">
        <f>+F12-F14</f>
        <v>-73.23749999999927</v>
      </c>
      <c r="G15" s="89">
        <f>+G12-G14</f>
        <v>-42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259</v>
      </c>
      <c r="C17" s="87"/>
      <c r="D17" s="87"/>
      <c r="E17" s="87"/>
      <c r="F17" s="87"/>
      <c r="G17" s="87"/>
      <c r="H17" s="87"/>
    </row>
    <row r="18" spans="2:8" ht="15">
      <c r="B18" s="86" t="s">
        <v>265</v>
      </c>
      <c r="C18" s="26">
        <f>+C7</f>
        <v>5940.899999999994</v>
      </c>
      <c r="D18" s="26">
        <f>+D7</f>
        <v>-18976.649999999998</v>
      </c>
      <c r="E18" s="26">
        <f>+E7</f>
        <v>-22021.649999999998</v>
      </c>
      <c r="F18" s="26">
        <f>+F7</f>
        <v>-22900.499999999996</v>
      </c>
      <c r="G18" s="26">
        <f>+G7</f>
        <v>-23404.499999999996</v>
      </c>
      <c r="H18" s="87"/>
    </row>
    <row r="19" spans="2:8" ht="15">
      <c r="B19" s="86" t="s">
        <v>255</v>
      </c>
      <c r="C19" s="26">
        <v>0</v>
      </c>
      <c r="D19" s="26">
        <f>+IF(D18&gt;0,0,IF(C21&gt;-D18,-D18,C21))</f>
        <v>5940.899999999994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256</v>
      </c>
      <c r="C20" s="26">
        <f>+IF((C18+C19)&gt;0,0,(C18+C19))</f>
        <v>0</v>
      </c>
      <c r="D20" s="26">
        <f>+IF((D18+D19)&gt;0,0,(D18+D19))</f>
        <v>-13035.750000000004</v>
      </c>
      <c r="E20" s="26">
        <f>+IF((E18+E19)&gt;0,0,(E18+E19))</f>
        <v>-22021.649999999998</v>
      </c>
      <c r="F20" s="26">
        <f>+IF((F18+F19)&gt;0,0,(F18+F19))</f>
        <v>-22900.499999999996</v>
      </c>
      <c r="G20" s="26">
        <f>+IF((G18+G19)&gt;0,0,(G18+G19))</f>
        <v>-23404.499999999996</v>
      </c>
      <c r="H20" s="87"/>
    </row>
    <row r="21" spans="2:8" ht="15">
      <c r="B21" s="86" t="s">
        <v>257</v>
      </c>
      <c r="C21" s="26">
        <f>+IF(C6&gt;C5,C6-C5,0)</f>
        <v>5940.899999999994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258</v>
      </c>
      <c r="C22" s="26">
        <f>+C20*(9/12)</f>
        <v>0</v>
      </c>
      <c r="D22" s="26">
        <f>+(D20*(9/12))+(C20-C22)</f>
        <v>-9776.812500000004</v>
      </c>
      <c r="E22" s="26">
        <f>+(E20*(9/12)*(9/12))+(D20-D22)+(C20-C22)</f>
        <v>-15646.115624999999</v>
      </c>
      <c r="F22" s="26">
        <f>+(F20*(9/12))+(E20-E22)+(D20-D22)+(C20-C22)</f>
        <v>-26809.846874999996</v>
      </c>
      <c r="G22" s="26">
        <f>+(G20*(9/12))+(F20-F22)+(E20-E22)+(D20-D22)+(C20-C22)</f>
        <v>-23278.499999999996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23</v>
      </c>
      <c r="C25" s="26">
        <f>+IF($C$2="mensile",C13,C21)</f>
        <v>5940.899999999994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18</v>
      </c>
      <c r="C26" s="26">
        <f>+IF($C$2="mensile",-(C12-C14),-(C20-C22))</f>
        <v>0</v>
      </c>
      <c r="D26" s="26">
        <f>+IF($C$2="mensile",-(D12-D14),-(D20-D22))+C26</f>
        <v>1086.3125</v>
      </c>
      <c r="E26" s="26">
        <f>+IF($C$2="mensile",-(E12-E14),-(E20-E22))+D26</f>
        <v>1835.1375000000007</v>
      </c>
      <c r="F26" s="26">
        <f>+IF($C$2="mensile",-(F12-F14),-(F20-F22))+E26</f>
        <v>1908.375</v>
      </c>
      <c r="G26" s="26">
        <f>+IF($C$2="mensile",-(G12-G14),-(G20-G22))+F26</f>
        <v>1950.375</v>
      </c>
      <c r="H26" s="87"/>
    </row>
    <row r="27" spans="2:8" ht="15">
      <c r="B27" s="86" t="s">
        <v>258</v>
      </c>
      <c r="C27" s="26">
        <f>IF($C$2="mensile",-C14,-C22)</f>
        <v>0</v>
      </c>
      <c r="D27" s="26">
        <f>IF($C$2="mensile",-D14,-D22)</f>
        <v>11949.437500000004</v>
      </c>
      <c r="E27" s="26">
        <f>IF($C$2="mensile",-E14,-E22)</f>
        <v>21272.824999999997</v>
      </c>
      <c r="F27" s="26">
        <f>IF($C$2="mensile",-F14,-F22)</f>
        <v>22827.262499999997</v>
      </c>
      <c r="G27" s="26">
        <f>IF($C$2="mensile",-G14,-G22)</f>
        <v>23362.499999999996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270</v>
      </c>
    </row>
    <row r="32" ht="15">
      <c r="B32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291</v>
      </c>
      <c r="D3" s="9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100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285</v>
      </c>
      <c r="E6" s="34">
        <f>+'CE'!D51</f>
        <v>8162.245357142855</v>
      </c>
      <c r="F6" s="34">
        <f>+'CE'!E51</f>
        <v>19387.14285714284</v>
      </c>
      <c r="G6" s="34">
        <f>+'CE'!F51</f>
        <v>32927.142857142855</v>
      </c>
      <c r="H6" s="34">
        <f>+'CE'!G51</f>
        <v>35475.106008856266</v>
      </c>
      <c r="I6" s="34">
        <f>+'CE'!H51</f>
        <v>38026.028423603944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286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287</v>
      </c>
      <c r="E9" s="33">
        <f>+'CE'!D43</f>
        <v>42600</v>
      </c>
      <c r="F9" s="33">
        <f>+'CE'!E43</f>
        <v>44730</v>
      </c>
      <c r="G9" s="33">
        <f>+'CE'!F43</f>
        <v>44730</v>
      </c>
      <c r="H9" s="33">
        <f>+'CE'!G43</f>
        <v>44730</v>
      </c>
      <c r="I9" s="33">
        <f>+'CE'!H43</f>
        <v>44730</v>
      </c>
      <c r="J9" s="15"/>
    </row>
    <row r="10" spans="2:10" ht="15">
      <c r="B10" s="16"/>
      <c r="C10" s="17"/>
      <c r="D10" s="17" t="s">
        <v>224</v>
      </c>
      <c r="E10" s="33">
        <f>+'CE'!D46</f>
        <v>0</v>
      </c>
      <c r="F10" s="33">
        <f>+'CE'!E46</f>
        <v>0</v>
      </c>
      <c r="G10" s="33">
        <f>+'CE'!F46</f>
        <v>0</v>
      </c>
      <c r="H10" s="33">
        <f>+'CE'!G46</f>
        <v>0</v>
      </c>
      <c r="I10" s="33">
        <f>+'CE'!H46</f>
        <v>0</v>
      </c>
      <c r="J10" s="15"/>
    </row>
    <row r="11" spans="2:10" ht="15">
      <c r="B11" s="16"/>
      <c r="C11" s="17"/>
      <c r="D11" s="12" t="s">
        <v>288</v>
      </c>
      <c r="E11" s="34">
        <f>SUM(E9:E10)</f>
        <v>42600</v>
      </c>
      <c r="F11" s="34">
        <f>SUM(F9:F10)</f>
        <v>44730</v>
      </c>
      <c r="G11" s="34">
        <f>SUM(G9:G10)</f>
        <v>44730</v>
      </c>
      <c r="H11" s="34">
        <f>SUM(H9:H10)</f>
        <v>44730</v>
      </c>
      <c r="I11" s="34">
        <f>SUM(I9:I10)</f>
        <v>44730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289</v>
      </c>
      <c r="E14" s="45">
        <f>+E6+E11</f>
        <v>50762.245357142856</v>
      </c>
      <c r="F14" s="45">
        <f>+F6+F11</f>
        <v>64117.14285714284</v>
      </c>
      <c r="G14" s="45">
        <f>+G6+G11</f>
        <v>77657.14285714286</v>
      </c>
      <c r="H14" s="45">
        <f>+H6+H11</f>
        <v>80205.10600885627</v>
      </c>
      <c r="I14" s="45">
        <f>+I6+I11</f>
        <v>82756.02842360394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292</v>
      </c>
      <c r="E16" s="45">
        <f>+E14*$D$3</f>
        <v>1979.7275689285714</v>
      </c>
      <c r="F16" s="45">
        <f>+F14*$D$3</f>
        <v>2500.568571428571</v>
      </c>
      <c r="G16" s="45">
        <f>+G14*$D$3</f>
        <v>3028.6285714285714</v>
      </c>
      <c r="H16" s="45">
        <f>+H14*$D$3</f>
        <v>3127.9991343453944</v>
      </c>
      <c r="I16" s="45">
        <f>+I14*$D$3</f>
        <v>3227.4851085205537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293</v>
      </c>
      <c r="E18" s="17">
        <v>0</v>
      </c>
      <c r="F18" s="45">
        <f>+E16*2</f>
        <v>3959.4551378571427</v>
      </c>
      <c r="G18" s="45">
        <f>+F16</f>
        <v>2500.568571428571</v>
      </c>
      <c r="H18" s="45">
        <f>+G16</f>
        <v>3028.6285714285714</v>
      </c>
      <c r="I18" s="45">
        <f>+H16</f>
        <v>3127.9991343453944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294</v>
      </c>
      <c r="E20" s="45">
        <f>+IF($E$16-$E$18&gt;0,$E$16-$E$18,0)</f>
        <v>1979.7275689285714</v>
      </c>
      <c r="F20" s="45">
        <f>+IF(SUM(E$16:F16)-SUM($E$18:$F$18)&gt;0,SUM($E$16:$F$16)-SUM($E$18:$F$18),0)</f>
        <v>520.8410024999998</v>
      </c>
      <c r="G20" s="45">
        <f>+IF(SUM($E$16:$G$16)-SUM($E$18:$G$18)&gt;0,SUM($E$16:$G$16)-SUM($E$18:$G$18),0)</f>
        <v>1048.9010025000007</v>
      </c>
      <c r="H20" s="45">
        <f>+IF(SUM($E$16:$H$16)-SUM($E$18:$H$18)&gt;0,SUM($E$16:$H$16)-SUM($E$18:$H$18),0)</f>
        <v>1148.2715654168242</v>
      </c>
      <c r="I20" s="45">
        <f>+IF(SUM($E$16:$I$16)-SUM($E$18:$I$18)&gt;0,SUM($E$16:$I$16)-SUM($E$18:$I$18),0)</f>
        <v>1247.757539591983</v>
      </c>
      <c r="J20" s="15"/>
    </row>
    <row r="21" spans="2:10" ht="15">
      <c r="B21" s="16"/>
      <c r="C21" s="17"/>
      <c r="D21" s="17" t="s">
        <v>295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37</v>
      </c>
      <c r="E23" s="45">
        <f>+E18</f>
        <v>0</v>
      </c>
      <c r="F23" s="45">
        <f>+F18</f>
        <v>3959.4551378571427</v>
      </c>
      <c r="G23" s="45">
        <f>+G18</f>
        <v>2500.568571428571</v>
      </c>
      <c r="H23" s="45">
        <f>+H18</f>
        <v>3028.6285714285714</v>
      </c>
      <c r="I23" s="45">
        <f>+I18</f>
        <v>3127.9991343453944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87" bestFit="1" customWidth="1"/>
    <col min="2" max="2" width="6.421875" style="87" bestFit="1" customWidth="1"/>
    <col min="3" max="3" width="67.8515625" style="87" bestFit="1" customWidth="1"/>
    <col min="4" max="6" width="11.57421875" style="87" bestFit="1" customWidth="1"/>
    <col min="7" max="11" width="20.28125" style="87" bestFit="1" customWidth="1"/>
    <col min="12" max="12" width="9.140625" style="87" customWidth="1"/>
    <col min="13" max="13" width="11.28125" style="87" bestFit="1" customWidth="1"/>
    <col min="14" max="14" width="9.140625" style="87" customWidth="1"/>
    <col min="15" max="15" width="11.00390625" style="87" bestFit="1" customWidth="1"/>
    <col min="16" max="225" width="9.140625" style="87" customWidth="1"/>
    <col min="226" max="226" width="17.7109375" style="87" bestFit="1" customWidth="1"/>
    <col min="227" max="227" width="55.57421875" style="87" bestFit="1" customWidth="1"/>
    <col min="228" max="238" width="11.57421875" style="87" bestFit="1" customWidth="1"/>
    <col min="239" max="239" width="13.28125" style="87" bestFit="1" customWidth="1"/>
    <col min="240" max="249" width="11.57421875" style="87" bestFit="1" customWidth="1"/>
    <col min="250" max="250" width="13.28125" style="87" bestFit="1" customWidth="1"/>
    <col min="251" max="16384" width="13.28125" style="87" customWidth="1"/>
  </cols>
  <sheetData>
    <row r="1" spans="3:52" s="86" customFormat="1" ht="15">
      <c r="C1" s="91"/>
      <c r="D1" s="91"/>
      <c r="E1" s="91"/>
      <c r="F1" s="91"/>
      <c r="G1" s="91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3:52" s="86" customFormat="1" ht="15">
      <c r="C2" s="91"/>
      <c r="D2" s="91"/>
      <c r="E2" s="91"/>
      <c r="F2" s="91"/>
      <c r="G2" s="91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3:52" s="86" customFormat="1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2:52" s="86" customFormat="1" ht="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2:52" s="86" customFormat="1" ht="15">
      <c r="B5" s="87"/>
      <c r="C5" s="87" t="s">
        <v>249</v>
      </c>
      <c r="D5" s="88">
        <f>+'CE'!D51</f>
        <v>8162.245357142855</v>
      </c>
      <c r="E5" s="88">
        <f>+'CE'!E51</f>
        <v>19387.14285714284</v>
      </c>
      <c r="F5" s="88">
        <f>+'CE'!F51</f>
        <v>32927.142857142855</v>
      </c>
      <c r="G5" s="88">
        <f>+'CE'!G51</f>
        <v>35475.106008856266</v>
      </c>
      <c r="H5" s="88">
        <f>+'CE'!H51</f>
        <v>38026.028423603944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ht="15">
      <c r="A6" s="86"/>
    </row>
    <row r="7" spans="1:8" ht="15">
      <c r="A7" s="86"/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ht="15">
      <c r="A8" s="86"/>
    </row>
    <row r="9" spans="2:52" s="86" customFormat="1" ht="15">
      <c r="B9" s="87"/>
      <c r="C9" s="87" t="s">
        <v>273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ht="15">
      <c r="A10" s="86"/>
    </row>
    <row r="11" spans="1:8" ht="15">
      <c r="A11" s="86"/>
      <c r="C11" s="87" t="s">
        <v>274</v>
      </c>
      <c r="D11" s="88">
        <f>+D5*D7*D9</f>
        <v>8162.245357142855</v>
      </c>
      <c r="E11" s="88">
        <f>+E5*E7*E9</f>
        <v>19387.14285714284</v>
      </c>
      <c r="F11" s="88">
        <f>+F5*F7*F9</f>
        <v>32927.142857142855</v>
      </c>
      <c r="G11" s="88">
        <f>+G5*G7*G9</f>
        <v>35475.106008856266</v>
      </c>
      <c r="H11" s="88">
        <f>+H5*H7*H9</f>
        <v>38026.028423603944</v>
      </c>
    </row>
    <row r="12" spans="2:52" s="86" customFormat="1" ht="1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</row>
    <row r="13" ht="15">
      <c r="A13" s="86"/>
    </row>
    <row r="14" ht="15">
      <c r="A14" s="86"/>
    </row>
    <row r="15" spans="1:9" ht="15">
      <c r="A15" s="86"/>
      <c r="B15" s="86"/>
      <c r="C15" s="86" t="s">
        <v>275</v>
      </c>
      <c r="D15" s="93">
        <f>+D11</f>
        <v>8162.245357142855</v>
      </c>
      <c r="E15" s="93">
        <f>+E11</f>
        <v>19387.14285714284</v>
      </c>
      <c r="F15" s="93">
        <f>+F11</f>
        <v>32927.142857142855</v>
      </c>
      <c r="G15" s="93">
        <f>+G11</f>
        <v>35475.106008856266</v>
      </c>
      <c r="H15" s="93">
        <f>+H11</f>
        <v>38026.028423603944</v>
      </c>
      <c r="I15" s="86"/>
    </row>
    <row r="16" ht="15">
      <c r="A16" s="92"/>
    </row>
    <row r="17" ht="15">
      <c r="A17" s="92"/>
    </row>
    <row r="18" spans="1:9" ht="15">
      <c r="A18" s="92"/>
      <c r="B18" s="86"/>
      <c r="C18" s="95" t="s">
        <v>276</v>
      </c>
      <c r="D18" s="86"/>
      <c r="E18" s="86"/>
      <c r="F18" s="86"/>
      <c r="G18" s="91"/>
      <c r="H18" s="91"/>
      <c r="I18" s="91"/>
    </row>
    <row r="19" spans="1:14" ht="15">
      <c r="A19" s="92"/>
      <c r="B19" s="86"/>
      <c r="C19" s="95"/>
      <c r="D19" s="86"/>
      <c r="E19" s="86"/>
      <c r="F19" s="86">
        <f>+IF(D15&lt;0,0,1)</f>
        <v>1</v>
      </c>
      <c r="G19" s="91"/>
      <c r="H19" s="86">
        <f>+IF(E15&lt;0,0,1)</f>
        <v>1</v>
      </c>
      <c r="I19" s="91"/>
      <c r="J19" s="86">
        <f>+IF(F15&lt;0,0,1)</f>
        <v>1</v>
      </c>
      <c r="L19" s="86">
        <f>+IF(G15&lt;0,0,1)</f>
        <v>1</v>
      </c>
      <c r="N19" s="86">
        <f>+IF(H15&lt;0,0,1)</f>
        <v>1</v>
      </c>
    </row>
    <row r="20" spans="1:15" ht="15">
      <c r="A20" s="92"/>
      <c r="B20" s="86"/>
      <c r="C20" s="95" t="s">
        <v>277</v>
      </c>
      <c r="D20" s="86"/>
      <c r="E20" s="86"/>
      <c r="F20" s="152" t="s">
        <v>260</v>
      </c>
      <c r="G20" s="153"/>
      <c r="H20" s="152" t="s">
        <v>261</v>
      </c>
      <c r="I20" s="153"/>
      <c r="J20" s="152" t="s">
        <v>262</v>
      </c>
      <c r="K20" s="153"/>
      <c r="L20" s="152" t="s">
        <v>263</v>
      </c>
      <c r="M20" s="153"/>
      <c r="N20" s="152" t="s">
        <v>264</v>
      </c>
      <c r="O20" s="153"/>
    </row>
    <row r="21" spans="1:15" ht="15">
      <c r="A21" s="92"/>
      <c r="B21" s="86"/>
      <c r="C21" s="95" t="s">
        <v>278</v>
      </c>
      <c r="D21" s="86" t="s">
        <v>279</v>
      </c>
      <c r="E21" s="86" t="s">
        <v>280</v>
      </c>
      <c r="F21" s="86" t="s">
        <v>281</v>
      </c>
      <c r="G21" s="91" t="s">
        <v>284</v>
      </c>
      <c r="H21" s="86" t="s">
        <v>281</v>
      </c>
      <c r="I21" s="91" t="s">
        <v>284</v>
      </c>
      <c r="J21" s="86" t="s">
        <v>281</v>
      </c>
      <c r="K21" s="91" t="s">
        <v>284</v>
      </c>
      <c r="L21" s="86" t="s">
        <v>281</v>
      </c>
      <c r="M21" s="91" t="s">
        <v>284</v>
      </c>
      <c r="N21" s="86" t="s">
        <v>281</v>
      </c>
      <c r="O21" s="91" t="s">
        <v>284</v>
      </c>
    </row>
    <row r="22" spans="1:15" ht="15">
      <c r="A22" s="92"/>
      <c r="B22" s="86"/>
      <c r="C22" s="91">
        <v>0</v>
      </c>
      <c r="D22" s="91">
        <v>15000</v>
      </c>
      <c r="E22" s="96">
        <v>0.23</v>
      </c>
      <c r="F22" s="97">
        <f>+IF(D15&gt;$D$22,$D22,D15)*F19</f>
        <v>8162.245357142855</v>
      </c>
      <c r="G22" s="97">
        <f>+$E$22*F22</f>
        <v>1877.3164321428567</v>
      </c>
      <c r="H22" s="97">
        <f>+IF(E15&gt;$D$22,$D22,E15)*H19</f>
        <v>15000</v>
      </c>
      <c r="I22" s="97">
        <f>+$E$22*H22</f>
        <v>3450</v>
      </c>
      <c r="J22" s="97">
        <f>+IF(F15&gt;$D$22,$D22,F15)*J19</f>
        <v>15000</v>
      </c>
      <c r="K22" s="97">
        <f>+$E$22*J22</f>
        <v>3450</v>
      </c>
      <c r="L22" s="97">
        <f>+IF(G15&gt;$D$22,$D22,G15)*L19</f>
        <v>15000</v>
      </c>
      <c r="M22" s="97">
        <f>+$E$22*L22</f>
        <v>3450</v>
      </c>
      <c r="N22" s="97">
        <f>+IF(H15&gt;$D$22,$D22,H15)*N19</f>
        <v>15000</v>
      </c>
      <c r="O22" s="97">
        <f>+$E$22*N22</f>
        <v>3450</v>
      </c>
    </row>
    <row r="23" spans="1:15" ht="15">
      <c r="A23" s="92"/>
      <c r="B23" s="86"/>
      <c r="C23" s="91">
        <v>15000</v>
      </c>
      <c r="D23" s="91">
        <v>28000</v>
      </c>
      <c r="E23" s="86">
        <v>0.27</v>
      </c>
      <c r="F23" s="97">
        <f>+IF(F22=D15,0,IF(D15&gt;$D$23,$D$23-$C$23,D15-$C$23))*F19</f>
        <v>0</v>
      </c>
      <c r="G23" s="97">
        <f>+$E$23*F23</f>
        <v>0</v>
      </c>
      <c r="H23" s="97">
        <f>+IF(H22=E15,0,IF(E15&gt;$D$23,$D$23-$C$23,E15-$C$23))*H19</f>
        <v>4387.1428571428405</v>
      </c>
      <c r="I23" s="97">
        <f>+$E$23*H23</f>
        <v>1184.528571428567</v>
      </c>
      <c r="J23" s="97">
        <f>+IF(J22=F15,0,IF(F15&gt;$D$23,$D$23-$C$23,F15-$C$23))*J19</f>
        <v>13000</v>
      </c>
      <c r="K23" s="97">
        <f>+$E$23*J23</f>
        <v>3510.0000000000005</v>
      </c>
      <c r="L23" s="97">
        <f>+IF(L22=G15,0,IF(G15&gt;$D$23,$D$23-$C$23,G15-$C$23))*L19</f>
        <v>13000</v>
      </c>
      <c r="M23" s="97">
        <f>+$E$23*L23</f>
        <v>3510.0000000000005</v>
      </c>
      <c r="N23" s="97">
        <f>+IF(N22=H15,0,IF(H15&gt;$D$23,$D$23-$C$23,H15-$C$23))*N19</f>
        <v>13000</v>
      </c>
      <c r="O23" s="97">
        <f>+$E$23*N23</f>
        <v>3510.0000000000005</v>
      </c>
    </row>
    <row r="24" spans="1:15" ht="15">
      <c r="A24" s="92"/>
      <c r="B24" s="86"/>
      <c r="C24" s="91">
        <v>28000</v>
      </c>
      <c r="D24" s="91">
        <v>55000</v>
      </c>
      <c r="E24" s="86">
        <v>0.38</v>
      </c>
      <c r="F24" s="97">
        <f>+IF(F22+F23=D15,0,IF(D15&gt;$D$24,$D$24-$C$24,D15-$C$24))*F19</f>
        <v>0</v>
      </c>
      <c r="G24" s="97">
        <f>+$E$24*F24</f>
        <v>0</v>
      </c>
      <c r="H24" s="97">
        <f>+IF(H22+H23=E15,0,IF(E15&gt;$D$24,$D$24-$C$24,E15-$C$24))*H19</f>
        <v>0</v>
      </c>
      <c r="I24" s="97">
        <f>+$E$24*H24</f>
        <v>0</v>
      </c>
      <c r="J24" s="97">
        <f>+IF(J22+J23=F15,0,IF(F15&gt;$D$24,$D$24-$C$24,F15-$C$24))*J19</f>
        <v>4927.142857142855</v>
      </c>
      <c r="K24" s="97">
        <f>+$E$24*J24</f>
        <v>1872.314285714285</v>
      </c>
      <c r="L24" s="97">
        <f>+IF(L22+L23=G15,0,IF(G15&gt;$D$24,$D$24-$C$24,G15-$C$24))*L19</f>
        <v>7475.106008856266</v>
      </c>
      <c r="M24" s="97">
        <f>+$E$24*L24</f>
        <v>2840.540283365381</v>
      </c>
      <c r="N24" s="97">
        <f>+IF(N22+N23=H15,0,IF(H15&gt;$D$24,$D$24-$C$24,H15-$C$24))*N19</f>
        <v>10026.028423603944</v>
      </c>
      <c r="O24" s="97">
        <f>+$E$24*N24</f>
        <v>3809.8908009694987</v>
      </c>
    </row>
    <row r="25" spans="1:15" ht="15">
      <c r="A25" s="92"/>
      <c r="B25" s="86"/>
      <c r="C25" s="91">
        <v>55000</v>
      </c>
      <c r="D25" s="91">
        <v>75000</v>
      </c>
      <c r="E25" s="86">
        <v>0.41</v>
      </c>
      <c r="F25" s="97">
        <f>+IF(F23+F24+F22=D15,0,IF(D15&gt;$D$25,$D$25-$C$25,D15-$C$25))*F19</f>
        <v>0</v>
      </c>
      <c r="G25" s="97">
        <f>+$E$25*F25</f>
        <v>0</v>
      </c>
      <c r="H25" s="97">
        <f>+IF(H23+H24+H22=E15,0,IF(E15&gt;$D$25,$D$25-$C$25,E15-$C$25))*H19</f>
        <v>0</v>
      </c>
      <c r="I25" s="97">
        <f>+$E$25*H25</f>
        <v>0</v>
      </c>
      <c r="J25" s="97">
        <f>+IF(J23+J24+J22=F15,0,IF(F15&gt;$D$25,$D$25-$C$25,F15-$C$25))*J19</f>
        <v>0</v>
      </c>
      <c r="K25" s="97">
        <f>+$E$25*J25</f>
        <v>0</v>
      </c>
      <c r="L25" s="97">
        <f>+IF(L23+L24+L22=G15,0,IF(G15&gt;$D$25,$D$25-$C$25,G15-$C$25))*L19</f>
        <v>0</v>
      </c>
      <c r="M25" s="97">
        <f>+$E$25*L25</f>
        <v>0</v>
      </c>
      <c r="N25" s="97">
        <f>+IF(N23+N24+N22=H15,0,IF(H15&gt;$D$25,$D$25-$C$25,H15-$C$25))*N19</f>
        <v>0</v>
      </c>
      <c r="O25" s="97">
        <f>+$E$25*N25</f>
        <v>0</v>
      </c>
    </row>
    <row r="26" spans="1:15" ht="15">
      <c r="A26" s="92"/>
      <c r="B26" s="86"/>
      <c r="C26" s="91">
        <v>75000</v>
      </c>
      <c r="D26" s="91"/>
      <c r="E26" s="86">
        <v>0.43</v>
      </c>
      <c r="F26" s="97">
        <f>+IF(F24+F25+F23+F22=D15,0,D15-$C$26)*F19</f>
        <v>0</v>
      </c>
      <c r="G26" s="97">
        <f>+$E$26*F26</f>
        <v>0</v>
      </c>
      <c r="H26" s="97">
        <f>+IF(H24+H25+H23+H22=E15,0,E15-$C$26)*H19</f>
        <v>0</v>
      </c>
      <c r="I26" s="97">
        <f>+$E$26*H26</f>
        <v>0</v>
      </c>
      <c r="J26" s="97">
        <f>+IF(J24+J25+J23+J22=F15,0,F15-$C$26)*J19</f>
        <v>0</v>
      </c>
      <c r="K26" s="97">
        <f>+$E$26*J26</f>
        <v>0</v>
      </c>
      <c r="L26" s="97">
        <f>+IF(L24+L25+L23+L22=G15,0,G15-$C$26)*L19</f>
        <v>0</v>
      </c>
      <c r="M26" s="97">
        <f>+$E$26*L26</f>
        <v>0</v>
      </c>
      <c r="N26" s="97">
        <f>+IF(N24+N25+N23+N22=H15,0,H15-$C$26)*N19</f>
        <v>0</v>
      </c>
      <c r="O26" s="97">
        <f>+$E$26*N26</f>
        <v>0</v>
      </c>
    </row>
    <row r="27" spans="1:15" ht="15">
      <c r="A27" s="92"/>
      <c r="B27" s="86"/>
      <c r="C27" s="91"/>
      <c r="D27" s="91"/>
      <c r="E27" s="86"/>
      <c r="F27" s="86" t="s">
        <v>15</v>
      </c>
      <c r="G27" s="98">
        <f>SUM(G22:G26)</f>
        <v>1877.3164321428567</v>
      </c>
      <c r="H27" s="86" t="s">
        <v>15</v>
      </c>
      <c r="I27" s="98">
        <f>SUM(I22:I26)</f>
        <v>4634.528571428567</v>
      </c>
      <c r="J27" s="86" t="s">
        <v>15</v>
      </c>
      <c r="K27" s="98">
        <f>SUM(K22:K26)</f>
        <v>8832.314285714285</v>
      </c>
      <c r="L27" s="86" t="s">
        <v>15</v>
      </c>
      <c r="M27" s="98">
        <f>SUM(M22:M26)</f>
        <v>9800.54028336538</v>
      </c>
      <c r="N27" s="86" t="s">
        <v>15</v>
      </c>
      <c r="O27" s="98">
        <f>SUM(O22:O26)</f>
        <v>10769.890800969499</v>
      </c>
    </row>
    <row r="28" spans="1:9" ht="15">
      <c r="A28" s="92"/>
      <c r="B28" s="86"/>
      <c r="C28" s="95"/>
      <c r="D28" s="86"/>
      <c r="E28" s="86"/>
      <c r="F28" s="86"/>
      <c r="G28" s="91"/>
      <c r="H28" s="91"/>
      <c r="I28" s="91"/>
    </row>
    <row r="29" spans="1:7" ht="15">
      <c r="A29" s="92"/>
      <c r="B29" s="92"/>
      <c r="C29" s="90"/>
      <c r="D29" s="90"/>
      <c r="E29" s="90"/>
      <c r="F29" s="90"/>
      <c r="G29" s="90"/>
    </row>
    <row r="30" spans="1:7" ht="15">
      <c r="A30" s="92"/>
      <c r="B30" s="92"/>
      <c r="C30" s="90"/>
      <c r="D30" s="90"/>
      <c r="E30" s="90"/>
      <c r="F30" s="90"/>
      <c r="G30" s="90"/>
    </row>
    <row r="31" spans="1:7" ht="15">
      <c r="A31" s="92"/>
      <c r="B31" s="92"/>
      <c r="C31" s="90"/>
      <c r="D31" s="90"/>
      <c r="E31" s="90"/>
      <c r="F31" s="90"/>
      <c r="G31" s="90"/>
    </row>
    <row r="32" spans="1:7" ht="15">
      <c r="A32" s="92"/>
      <c r="B32" s="92"/>
      <c r="C32" s="90"/>
      <c r="D32" s="90"/>
      <c r="E32" s="90"/>
      <c r="F32" s="90"/>
      <c r="G32" s="90"/>
    </row>
    <row r="33" spans="1:7" ht="15">
      <c r="A33" s="92"/>
      <c r="B33" s="92"/>
      <c r="C33" s="90"/>
      <c r="D33" s="90"/>
      <c r="E33" s="90"/>
      <c r="F33" s="90"/>
      <c r="G33" s="90"/>
    </row>
    <row r="34" spans="1:7" ht="15">
      <c r="A34" s="92"/>
      <c r="B34" s="92"/>
      <c r="C34" s="90"/>
      <c r="D34" s="90"/>
      <c r="E34" s="90"/>
      <c r="F34" s="90"/>
      <c r="G34" s="90"/>
    </row>
    <row r="35" spans="1:7" ht="15">
      <c r="A35" s="92"/>
      <c r="B35" s="92"/>
      <c r="C35" s="90"/>
      <c r="D35" s="90"/>
      <c r="E35" s="90"/>
      <c r="F35" s="90"/>
      <c r="G35" s="90"/>
    </row>
    <row r="36" spans="1:7" ht="15">
      <c r="A36" s="92"/>
      <c r="B36" s="92"/>
      <c r="C36" s="90"/>
      <c r="D36" s="90"/>
      <c r="E36" s="90"/>
      <c r="F36" s="90"/>
      <c r="G36" s="90"/>
    </row>
    <row r="37" spans="1:7" ht="15">
      <c r="A37" s="92"/>
      <c r="B37" s="92"/>
      <c r="C37" s="90"/>
      <c r="D37" s="90"/>
      <c r="E37" s="90"/>
      <c r="F37" s="90"/>
      <c r="G37" s="90"/>
    </row>
    <row r="38" spans="1:7" ht="15">
      <c r="A38" s="92"/>
      <c r="B38" s="92"/>
      <c r="C38" s="90"/>
      <c r="D38" s="90"/>
      <c r="E38" s="90"/>
      <c r="F38" s="90"/>
      <c r="G38" s="90"/>
    </row>
    <row r="39" spans="1:7" ht="15">
      <c r="A39" s="92"/>
      <c r="B39" s="92"/>
      <c r="C39" s="90"/>
      <c r="D39" s="90"/>
      <c r="E39" s="90"/>
      <c r="F39" s="90"/>
      <c r="G39" s="90"/>
    </row>
    <row r="40" spans="1:7" ht="15">
      <c r="A40" s="92"/>
      <c r="B40" s="92"/>
      <c r="C40" s="90"/>
      <c r="D40" s="90"/>
      <c r="E40" s="90"/>
      <c r="F40" s="90"/>
      <c r="G40" s="90"/>
    </row>
    <row r="41" spans="1:7" ht="15">
      <c r="A41" s="92"/>
      <c r="B41" s="92"/>
      <c r="C41" s="90"/>
      <c r="D41" s="90"/>
      <c r="E41" s="90"/>
      <c r="F41" s="90"/>
      <c r="G41" s="90"/>
    </row>
    <row r="42" spans="1:7" ht="15">
      <c r="A42" s="92"/>
      <c r="B42" s="92"/>
      <c r="C42" s="90"/>
      <c r="D42" s="90"/>
      <c r="E42" s="90"/>
      <c r="F42" s="90"/>
      <c r="G42" s="90"/>
    </row>
    <row r="43" spans="1:7" ht="15">
      <c r="A43" s="92"/>
      <c r="B43" s="92"/>
      <c r="C43" s="90"/>
      <c r="D43" s="90"/>
      <c r="E43" s="90"/>
      <c r="F43" s="90"/>
      <c r="G43" s="90"/>
    </row>
    <row r="44" spans="1:7" ht="15">
      <c r="A44" s="92"/>
      <c r="B44" s="92"/>
      <c r="C44" s="90"/>
      <c r="D44" s="90"/>
      <c r="E44" s="90"/>
      <c r="F44" s="90"/>
      <c r="G44" s="90"/>
    </row>
    <row r="45" spans="1:7" ht="15">
      <c r="A45" s="92"/>
      <c r="B45" s="92"/>
      <c r="C45" s="90"/>
      <c r="D45" s="90"/>
      <c r="E45" s="90"/>
      <c r="F45" s="90"/>
      <c r="G45" s="90"/>
    </row>
    <row r="46" spans="1:7" ht="15">
      <c r="A46" s="92"/>
      <c r="B46" s="92"/>
      <c r="C46" s="90"/>
      <c r="D46" s="90"/>
      <c r="E46" s="90"/>
      <c r="F46" s="90"/>
      <c r="G46" s="90"/>
    </row>
    <row r="47" spans="1:7" ht="15">
      <c r="A47" s="92"/>
      <c r="B47" s="92"/>
      <c r="C47" s="90"/>
      <c r="D47" s="90"/>
      <c r="E47" s="90"/>
      <c r="F47" s="90"/>
      <c r="G47" s="90"/>
    </row>
    <row r="48" spans="1:7" ht="15">
      <c r="A48" s="92"/>
      <c r="B48" s="92"/>
      <c r="C48" s="90"/>
      <c r="D48" s="90"/>
      <c r="E48" s="90"/>
      <c r="F48" s="90"/>
      <c r="G48" s="90"/>
    </row>
    <row r="49" spans="1:7" ht="15">
      <c r="A49" s="92"/>
      <c r="B49" s="92"/>
      <c r="C49" s="90"/>
      <c r="D49" s="90"/>
      <c r="E49" s="90"/>
      <c r="F49" s="90"/>
      <c r="G49" s="90"/>
    </row>
    <row r="50" spans="1:7" ht="15">
      <c r="A50" s="92"/>
      <c r="B50" s="92"/>
      <c r="C50" s="90"/>
      <c r="D50" s="90"/>
      <c r="E50" s="90"/>
      <c r="F50" s="90"/>
      <c r="G50" s="90"/>
    </row>
    <row r="51" spans="1:7" ht="15">
      <c r="A51" s="92"/>
      <c r="B51" s="92"/>
      <c r="C51" s="90"/>
      <c r="D51" s="90"/>
      <c r="E51" s="90"/>
      <c r="F51" s="90"/>
      <c r="G51" s="90"/>
    </row>
    <row r="52" spans="1:7" ht="15">
      <c r="A52" s="92"/>
      <c r="B52" s="92"/>
      <c r="C52" s="90"/>
      <c r="D52" s="90"/>
      <c r="E52" s="90"/>
      <c r="F52" s="90"/>
      <c r="G52" s="90"/>
    </row>
    <row r="53" spans="1:7" ht="15">
      <c r="A53" s="92"/>
      <c r="B53" s="92"/>
      <c r="C53" s="90"/>
      <c r="D53" s="90"/>
      <c r="E53" s="90"/>
      <c r="F53" s="90"/>
      <c r="G53" s="90"/>
    </row>
    <row r="54" spans="1:7" ht="15">
      <c r="A54" s="92"/>
      <c r="B54" s="92"/>
      <c r="C54" s="90"/>
      <c r="D54" s="90"/>
      <c r="E54" s="90"/>
      <c r="F54" s="90"/>
      <c r="G54" s="90"/>
    </row>
    <row r="55" spans="1:7" ht="15">
      <c r="A55" s="92"/>
      <c r="B55" s="92"/>
      <c r="C55" s="90"/>
      <c r="D55" s="90"/>
      <c r="E55" s="90"/>
      <c r="F55" s="90"/>
      <c r="G55" s="90"/>
    </row>
    <row r="56" spans="1:7" ht="15">
      <c r="A56" s="92"/>
      <c r="B56" s="92"/>
      <c r="C56" s="90"/>
      <c r="D56" s="90"/>
      <c r="E56" s="90"/>
      <c r="F56" s="90"/>
      <c r="G56" s="90"/>
    </row>
    <row r="57" spans="1:7" ht="15">
      <c r="A57" s="92"/>
      <c r="B57" s="92"/>
      <c r="C57" s="90"/>
      <c r="D57" s="90"/>
      <c r="E57" s="90"/>
      <c r="F57" s="90"/>
      <c r="G57" s="90"/>
    </row>
    <row r="58" spans="1:7" ht="15">
      <c r="A58" s="92"/>
      <c r="B58" s="92"/>
      <c r="C58" s="90"/>
      <c r="D58" s="90"/>
      <c r="E58" s="90"/>
      <c r="F58" s="90"/>
      <c r="G58" s="90"/>
    </row>
    <row r="59" spans="1:7" ht="15">
      <c r="A59" s="92"/>
      <c r="B59" s="92"/>
      <c r="C59" s="90"/>
      <c r="D59" s="90"/>
      <c r="E59" s="90"/>
      <c r="F59" s="90"/>
      <c r="G59" s="90"/>
    </row>
    <row r="60" spans="1:7" ht="15">
      <c r="A60" s="92"/>
      <c r="B60" s="92"/>
      <c r="C60" s="90"/>
      <c r="D60" s="90"/>
      <c r="E60" s="90"/>
      <c r="F60" s="90"/>
      <c r="G60" s="90"/>
    </row>
    <row r="61" spans="1:7" ht="15">
      <c r="A61" s="92"/>
      <c r="B61" s="92"/>
      <c r="C61" s="90"/>
      <c r="D61" s="90"/>
      <c r="E61" s="90"/>
      <c r="F61" s="90"/>
      <c r="G61" s="90"/>
    </row>
    <row r="62" spans="1:7" ht="15">
      <c r="A62" s="92"/>
      <c r="B62" s="92"/>
      <c r="C62" s="90"/>
      <c r="D62" s="90"/>
      <c r="E62" s="90"/>
      <c r="F62" s="90"/>
      <c r="G62" s="90"/>
    </row>
    <row r="63" spans="1:7" ht="15">
      <c r="A63" s="92"/>
      <c r="B63" s="92"/>
      <c r="C63" s="90"/>
      <c r="D63" s="90"/>
      <c r="E63" s="90"/>
      <c r="F63" s="90"/>
      <c r="G63" s="90"/>
    </row>
    <row r="64" spans="1:7" ht="15">
      <c r="A64" s="92"/>
      <c r="B64" s="92"/>
      <c r="C64" s="90"/>
      <c r="D64" s="90"/>
      <c r="E64" s="90"/>
      <c r="F64" s="90"/>
      <c r="G64" s="90"/>
    </row>
    <row r="65" spans="1:7" ht="15">
      <c r="A65" s="92"/>
      <c r="B65" s="92"/>
      <c r="C65" s="90"/>
      <c r="D65" s="90"/>
      <c r="E65" s="90"/>
      <c r="F65" s="90"/>
      <c r="G65" s="90"/>
    </row>
    <row r="66" spans="1:7" ht="15">
      <c r="A66" s="92"/>
      <c r="B66" s="92"/>
      <c r="C66" s="90"/>
      <c r="D66" s="90"/>
      <c r="E66" s="90"/>
      <c r="F66" s="90"/>
      <c r="G66" s="90"/>
    </row>
    <row r="67" spans="1:7" ht="15">
      <c r="A67" s="92"/>
      <c r="B67" s="92"/>
      <c r="C67" s="90"/>
      <c r="D67" s="90"/>
      <c r="E67" s="90"/>
      <c r="F67" s="90"/>
      <c r="G67" s="90"/>
    </row>
    <row r="68" spans="1:7" ht="15">
      <c r="A68" s="92"/>
      <c r="B68" s="92"/>
      <c r="C68" s="90"/>
      <c r="D68" s="90"/>
      <c r="E68" s="90"/>
      <c r="F68" s="90"/>
      <c r="G68" s="90"/>
    </row>
    <row r="69" spans="1:7" ht="15">
      <c r="A69" s="92"/>
      <c r="B69" s="92"/>
      <c r="C69" s="90"/>
      <c r="D69" s="90"/>
      <c r="E69" s="90"/>
      <c r="F69" s="90"/>
      <c r="G69" s="90"/>
    </row>
    <row r="70" spans="1:7" ht="15">
      <c r="A70" s="92"/>
      <c r="B70" s="92"/>
      <c r="C70" s="90"/>
      <c r="D70" s="90"/>
      <c r="E70" s="90"/>
      <c r="F70" s="90"/>
      <c r="G70" s="90"/>
    </row>
    <row r="71" spans="1:7" ht="15">
      <c r="A71" s="92"/>
      <c r="B71" s="92"/>
      <c r="C71" s="90"/>
      <c r="D71" s="90"/>
      <c r="E71" s="90"/>
      <c r="F71" s="90"/>
      <c r="G71" s="90"/>
    </row>
    <row r="72" spans="1:7" ht="15">
      <c r="A72" s="92"/>
      <c r="B72" s="92"/>
      <c r="C72" s="90"/>
      <c r="D72" s="90"/>
      <c r="E72" s="90"/>
      <c r="F72" s="90"/>
      <c r="G72" s="90"/>
    </row>
    <row r="73" spans="1:7" ht="15">
      <c r="A73" s="92"/>
      <c r="B73" s="92"/>
      <c r="C73" s="90"/>
      <c r="D73" s="90"/>
      <c r="E73" s="90"/>
      <c r="F73" s="90"/>
      <c r="G73" s="90"/>
    </row>
    <row r="74" spans="1:7" ht="15">
      <c r="A74" s="92"/>
      <c r="B74" s="92"/>
      <c r="C74" s="90"/>
      <c r="D74" s="90"/>
      <c r="E74" s="90"/>
      <c r="F74" s="90"/>
      <c r="G74" s="90"/>
    </row>
    <row r="75" spans="1:7" ht="15">
      <c r="A75" s="92"/>
      <c r="B75" s="92"/>
      <c r="C75" s="90"/>
      <c r="D75" s="90"/>
      <c r="E75" s="90"/>
      <c r="F75" s="90"/>
      <c r="G75" s="90"/>
    </row>
    <row r="76" spans="1:7" ht="15">
      <c r="A76" s="92"/>
      <c r="B76" s="92"/>
      <c r="C76" s="90"/>
      <c r="D76" s="90"/>
      <c r="E76" s="90"/>
      <c r="F76" s="90"/>
      <c r="G76" s="90"/>
    </row>
    <row r="77" spans="1:7" ht="15">
      <c r="A77" s="92"/>
      <c r="B77" s="92"/>
      <c r="C77" s="90"/>
      <c r="D77" s="90"/>
      <c r="E77" s="90"/>
      <c r="F77" s="90"/>
      <c r="G77" s="90"/>
    </row>
    <row r="78" spans="1:7" ht="15">
      <c r="A78" s="92"/>
      <c r="B78" s="92"/>
      <c r="C78" s="90"/>
      <c r="D78" s="90"/>
      <c r="E78" s="90"/>
      <c r="F78" s="90"/>
      <c r="G78" s="90"/>
    </row>
    <row r="79" spans="1:7" ht="15">
      <c r="A79" s="92"/>
      <c r="B79" s="92"/>
      <c r="C79" s="90"/>
      <c r="D79" s="90"/>
      <c r="E79" s="90"/>
      <c r="F79" s="90"/>
      <c r="G79" s="90"/>
    </row>
    <row r="80" spans="1:7" ht="15">
      <c r="A80" s="92"/>
      <c r="B80" s="92"/>
      <c r="C80" s="90"/>
      <c r="D80" s="90"/>
      <c r="E80" s="90"/>
      <c r="F80" s="90"/>
      <c r="G80" s="90"/>
    </row>
    <row r="81" spans="1:7" ht="15">
      <c r="A81" s="92"/>
      <c r="B81" s="92"/>
      <c r="C81" s="90"/>
      <c r="D81" s="90"/>
      <c r="E81" s="90"/>
      <c r="F81" s="90"/>
      <c r="G81" s="90"/>
    </row>
    <row r="82" spans="1:7" ht="15">
      <c r="A82" s="92"/>
      <c r="B82" s="92"/>
      <c r="C82" s="90"/>
      <c r="D82" s="90"/>
      <c r="E82" s="90"/>
      <c r="F82" s="90"/>
      <c r="G82" s="90"/>
    </row>
    <row r="83" spans="1:7" ht="15">
      <c r="A83" s="92"/>
      <c r="B83" s="92"/>
      <c r="C83" s="90"/>
      <c r="D83" s="90"/>
      <c r="E83" s="90"/>
      <c r="F83" s="90"/>
      <c r="G83" s="90"/>
    </row>
    <row r="84" spans="1:7" ht="15">
      <c r="A84" s="92"/>
      <c r="B84" s="92"/>
      <c r="C84" s="90"/>
      <c r="D84" s="90"/>
      <c r="E84" s="90"/>
      <c r="F84" s="90"/>
      <c r="G84" s="90"/>
    </row>
    <row r="85" spans="1:7" ht="15">
      <c r="A85" s="92"/>
      <c r="B85" s="92"/>
      <c r="C85" s="90"/>
      <c r="D85" s="90"/>
      <c r="E85" s="90"/>
      <c r="F85" s="90"/>
      <c r="G85" s="90"/>
    </row>
    <row r="86" spans="1:7" ht="15">
      <c r="A86" s="92"/>
      <c r="B86" s="92"/>
      <c r="C86" s="90"/>
      <c r="D86" s="90"/>
      <c r="E86" s="90"/>
      <c r="F86" s="90"/>
      <c r="G86" s="90"/>
    </row>
    <row r="87" spans="1:7" ht="15">
      <c r="A87" s="92"/>
      <c r="B87" s="92"/>
      <c r="C87" s="90"/>
      <c r="D87" s="90"/>
      <c r="E87" s="90"/>
      <c r="F87" s="90"/>
      <c r="G87" s="90"/>
    </row>
    <row r="88" spans="1:7" ht="15">
      <c r="A88" s="92"/>
      <c r="B88" s="92"/>
      <c r="C88" s="90"/>
      <c r="D88" s="90"/>
      <c r="E88" s="90"/>
      <c r="F88" s="90"/>
      <c r="G88" s="90"/>
    </row>
    <row r="89" spans="1:7" ht="15">
      <c r="A89" s="92"/>
      <c r="B89" s="92"/>
      <c r="C89" s="90"/>
      <c r="D89" s="90"/>
      <c r="E89" s="90"/>
      <c r="F89" s="90"/>
      <c r="G89" s="90"/>
    </row>
    <row r="90" spans="1:7" ht="15">
      <c r="A90" s="92"/>
      <c r="B90" s="92"/>
      <c r="C90" s="90"/>
      <c r="D90" s="90"/>
      <c r="E90" s="90"/>
      <c r="F90" s="90"/>
      <c r="G90" s="90"/>
    </row>
    <row r="91" spans="1:7" ht="15">
      <c r="A91" s="92"/>
      <c r="B91" s="92"/>
      <c r="C91" s="90"/>
      <c r="D91" s="90"/>
      <c r="E91" s="90"/>
      <c r="F91" s="90"/>
      <c r="G91" s="90"/>
    </row>
    <row r="92" spans="1:7" ht="15">
      <c r="A92" s="92"/>
      <c r="B92" s="92"/>
      <c r="C92" s="90"/>
      <c r="D92" s="90"/>
      <c r="E92" s="90"/>
      <c r="F92" s="90"/>
      <c r="G92" s="90"/>
    </row>
    <row r="93" spans="1:7" ht="15">
      <c r="A93" s="92"/>
      <c r="B93" s="92"/>
      <c r="C93" s="90"/>
      <c r="D93" s="90"/>
      <c r="E93" s="90"/>
      <c r="F93" s="90"/>
      <c r="G93" s="90"/>
    </row>
    <row r="94" spans="1:7" ht="15">
      <c r="A94" s="92"/>
      <c r="B94" s="92"/>
      <c r="C94" s="90"/>
      <c r="D94" s="90"/>
      <c r="E94" s="90"/>
      <c r="F94" s="90"/>
      <c r="G94" s="90"/>
    </row>
    <row r="95" spans="1:7" ht="15">
      <c r="A95" s="92"/>
      <c r="B95" s="92"/>
      <c r="C95" s="90"/>
      <c r="D95" s="90"/>
      <c r="E95" s="90"/>
      <c r="F95" s="90"/>
      <c r="G95" s="90"/>
    </row>
    <row r="96" spans="1:7" ht="15">
      <c r="A96" s="92"/>
      <c r="B96" s="92"/>
      <c r="C96" s="90"/>
      <c r="D96" s="90"/>
      <c r="E96" s="90"/>
      <c r="F96" s="90"/>
      <c r="G96" s="90"/>
    </row>
    <row r="97" spans="1:7" ht="15">
      <c r="A97" s="92"/>
      <c r="B97" s="92"/>
      <c r="C97" s="90"/>
      <c r="D97" s="90"/>
      <c r="E97" s="90"/>
      <c r="F97" s="90"/>
      <c r="G97" s="90"/>
    </row>
    <row r="98" spans="1:7" ht="15">
      <c r="A98" s="92"/>
      <c r="B98" s="92"/>
      <c r="C98" s="90"/>
      <c r="D98" s="90"/>
      <c r="E98" s="90"/>
      <c r="F98" s="90"/>
      <c r="G98" s="90"/>
    </row>
    <row r="99" spans="1:7" ht="15">
      <c r="A99" s="92"/>
      <c r="B99" s="92"/>
      <c r="C99" s="90"/>
      <c r="D99" s="90"/>
      <c r="E99" s="90"/>
      <c r="F99" s="90"/>
      <c r="G99" s="90"/>
    </row>
    <row r="100" spans="1:7" ht="15">
      <c r="A100" s="92"/>
      <c r="B100" s="92"/>
      <c r="C100" s="90"/>
      <c r="D100" s="90"/>
      <c r="E100" s="90"/>
      <c r="F100" s="90"/>
      <c r="G100" s="90"/>
    </row>
    <row r="101" spans="1:7" ht="15">
      <c r="A101" s="92"/>
      <c r="B101" s="92"/>
      <c r="C101" s="90"/>
      <c r="D101" s="90"/>
      <c r="E101" s="90"/>
      <c r="F101" s="90"/>
      <c r="G101" s="90"/>
    </row>
    <row r="102" spans="1:7" ht="15">
      <c r="A102" s="92"/>
      <c r="B102" s="92"/>
      <c r="C102" s="90"/>
      <c r="D102" s="90"/>
      <c r="E102" s="90"/>
      <c r="F102" s="90"/>
      <c r="G102" s="90"/>
    </row>
    <row r="103" spans="1:7" ht="15">
      <c r="A103" s="92"/>
      <c r="B103" s="92"/>
      <c r="C103" s="90"/>
      <c r="D103" s="90"/>
      <c r="E103" s="90"/>
      <c r="F103" s="90"/>
      <c r="G103" s="90"/>
    </row>
    <row r="104" spans="1:7" ht="15">
      <c r="A104" s="92"/>
      <c r="B104" s="92"/>
      <c r="C104" s="90"/>
      <c r="D104" s="90"/>
      <c r="E104" s="90"/>
      <c r="F104" s="90"/>
      <c r="G104" s="90"/>
    </row>
    <row r="105" spans="1:7" ht="15">
      <c r="A105" s="92"/>
      <c r="B105" s="92"/>
      <c r="C105" s="90"/>
      <c r="D105" s="90"/>
      <c r="E105" s="90"/>
      <c r="F105" s="90"/>
      <c r="G105" s="90"/>
    </row>
    <row r="106" spans="1:7" ht="15">
      <c r="A106" s="92"/>
      <c r="B106" s="92"/>
      <c r="C106" s="90"/>
      <c r="D106" s="90"/>
      <c r="E106" s="90"/>
      <c r="F106" s="90"/>
      <c r="G106" s="90"/>
    </row>
    <row r="107" spans="1:7" ht="15">
      <c r="A107" s="92"/>
      <c r="B107" s="92"/>
      <c r="C107" s="90"/>
      <c r="D107" s="90"/>
      <c r="E107" s="90"/>
      <c r="F107" s="90"/>
      <c r="G107" s="90"/>
    </row>
    <row r="108" spans="1:7" ht="15">
      <c r="A108" s="92"/>
      <c r="B108" s="92"/>
      <c r="C108" s="90"/>
      <c r="D108" s="90"/>
      <c r="E108" s="90"/>
      <c r="F108" s="90"/>
      <c r="G108" s="90"/>
    </row>
    <row r="109" spans="1:7" ht="15">
      <c r="A109" s="92"/>
      <c r="B109" s="92"/>
      <c r="C109" s="90"/>
      <c r="D109" s="90"/>
      <c r="E109" s="90"/>
      <c r="F109" s="90"/>
      <c r="G109" s="90"/>
    </row>
    <row r="110" spans="1:7" ht="15">
      <c r="A110" s="92"/>
      <c r="B110" s="92"/>
      <c r="C110" s="90"/>
      <c r="D110" s="90"/>
      <c r="E110" s="90"/>
      <c r="F110" s="90"/>
      <c r="G110" s="90"/>
    </row>
    <row r="111" spans="1:7" ht="15">
      <c r="A111" s="92"/>
      <c r="B111" s="92"/>
      <c r="C111" s="90"/>
      <c r="D111" s="90"/>
      <c r="E111" s="90"/>
      <c r="F111" s="90"/>
      <c r="G111" s="90"/>
    </row>
    <row r="112" spans="1:7" ht="15">
      <c r="A112" s="92"/>
      <c r="B112" s="92"/>
      <c r="C112" s="90"/>
      <c r="D112" s="90"/>
      <c r="E112" s="90"/>
      <c r="F112" s="90"/>
      <c r="G112" s="90"/>
    </row>
    <row r="113" spans="1:7" ht="15">
      <c r="A113" s="92"/>
      <c r="B113" s="92"/>
      <c r="C113" s="90"/>
      <c r="D113" s="90"/>
      <c r="E113" s="90"/>
      <c r="F113" s="90"/>
      <c r="G113" s="90"/>
    </row>
    <row r="114" spans="1:7" ht="15">
      <c r="A114" s="92"/>
      <c r="B114" s="92"/>
      <c r="C114" s="90"/>
      <c r="D114" s="90"/>
      <c r="E114" s="90"/>
      <c r="F114" s="90"/>
      <c r="G114" s="90"/>
    </row>
    <row r="115" spans="1:7" ht="15">
      <c r="A115" s="92"/>
      <c r="B115" s="92"/>
      <c r="C115" s="90"/>
      <c r="D115" s="90"/>
      <c r="E115" s="90"/>
      <c r="F115" s="90"/>
      <c r="G115" s="90"/>
    </row>
    <row r="116" spans="1:7" ht="15">
      <c r="A116" s="92"/>
      <c r="B116" s="92"/>
      <c r="C116" s="90"/>
      <c r="D116" s="90"/>
      <c r="E116" s="90"/>
      <c r="F116" s="90"/>
      <c r="G116" s="90"/>
    </row>
    <row r="117" spans="1:7" ht="15">
      <c r="A117" s="92"/>
      <c r="B117" s="92"/>
      <c r="C117" s="90"/>
      <c r="D117" s="90"/>
      <c r="E117" s="90"/>
      <c r="F117" s="90"/>
      <c r="G117" s="90"/>
    </row>
    <row r="118" spans="1:7" ht="15">
      <c r="A118" s="92"/>
      <c r="B118" s="92"/>
      <c r="C118" s="90"/>
      <c r="D118" s="90"/>
      <c r="E118" s="90"/>
      <c r="F118" s="90"/>
      <c r="G118" s="90"/>
    </row>
    <row r="119" spans="1:7" ht="15">
      <c r="A119" s="92"/>
      <c r="B119" s="92"/>
      <c r="C119" s="90"/>
      <c r="D119" s="90"/>
      <c r="E119" s="90"/>
      <c r="F119" s="90"/>
      <c r="G119" s="90"/>
    </row>
    <row r="120" spans="1:7" ht="15">
      <c r="A120" s="92"/>
      <c r="B120" s="92"/>
      <c r="C120" s="90"/>
      <c r="D120" s="90"/>
      <c r="E120" s="90"/>
      <c r="F120" s="90"/>
      <c r="G120" s="90"/>
    </row>
    <row r="121" spans="1:7" ht="15">
      <c r="A121" s="92"/>
      <c r="B121" s="92"/>
      <c r="C121" s="90"/>
      <c r="D121" s="90"/>
      <c r="E121" s="90"/>
      <c r="F121" s="90"/>
      <c r="G121" s="90"/>
    </row>
    <row r="122" spans="1:7" ht="15">
      <c r="A122" s="92"/>
      <c r="B122" s="92"/>
      <c r="C122" s="90"/>
      <c r="D122" s="90"/>
      <c r="E122" s="90"/>
      <c r="F122" s="90"/>
      <c r="G122" s="90"/>
    </row>
    <row r="123" spans="1:7" ht="15">
      <c r="A123" s="92"/>
      <c r="B123" s="92"/>
      <c r="C123" s="90"/>
      <c r="D123" s="90"/>
      <c r="E123" s="90"/>
      <c r="F123" s="90"/>
      <c r="G123" s="90"/>
    </row>
    <row r="124" spans="1:7" ht="15">
      <c r="A124" s="92"/>
      <c r="B124" s="92"/>
      <c r="C124" s="90"/>
      <c r="D124" s="90"/>
      <c r="E124" s="90"/>
      <c r="F124" s="90"/>
      <c r="G124" s="90"/>
    </row>
    <row r="125" spans="1:7" ht="15">
      <c r="A125" s="92"/>
      <c r="B125" s="92"/>
      <c r="C125" s="90"/>
      <c r="D125" s="90"/>
      <c r="E125" s="90"/>
      <c r="F125" s="90"/>
      <c r="G125" s="90"/>
    </row>
    <row r="126" spans="1:7" ht="15">
      <c r="A126" s="92"/>
      <c r="B126" s="92"/>
      <c r="C126" s="90"/>
      <c r="D126" s="90"/>
      <c r="E126" s="90"/>
      <c r="F126" s="90"/>
      <c r="G126" s="90"/>
    </row>
    <row r="127" spans="1:7" ht="15">
      <c r="A127" s="92"/>
      <c r="B127" s="92"/>
      <c r="C127" s="90"/>
      <c r="D127" s="90"/>
      <c r="E127" s="90"/>
      <c r="F127" s="90"/>
      <c r="G127" s="90"/>
    </row>
    <row r="128" spans="1:7" ht="15">
      <c r="A128" s="92"/>
      <c r="B128" s="92"/>
      <c r="C128" s="90"/>
      <c r="D128" s="90"/>
      <c r="E128" s="90"/>
      <c r="F128" s="90"/>
      <c r="G128" s="90"/>
    </row>
    <row r="129" spans="1:7" ht="15">
      <c r="A129" s="92"/>
      <c r="B129" s="92"/>
      <c r="C129" s="90"/>
      <c r="D129" s="90"/>
      <c r="E129" s="90"/>
      <c r="F129" s="90"/>
      <c r="G129" s="90"/>
    </row>
    <row r="130" spans="1:7" ht="15">
      <c r="A130" s="92"/>
      <c r="B130" s="92"/>
      <c r="C130" s="90"/>
      <c r="D130" s="90"/>
      <c r="E130" s="90"/>
      <c r="F130" s="90"/>
      <c r="G130" s="90"/>
    </row>
    <row r="131" spans="1:7" ht="15">
      <c r="A131" s="92"/>
      <c r="B131" s="92"/>
      <c r="C131" s="90"/>
      <c r="D131" s="90"/>
      <c r="E131" s="90"/>
      <c r="F131" s="90"/>
      <c r="G131" s="90"/>
    </row>
    <row r="132" spans="1:7" ht="15">
      <c r="A132" s="92"/>
      <c r="B132" s="92"/>
      <c r="C132" s="90"/>
      <c r="D132" s="90"/>
      <c r="E132" s="90"/>
      <c r="F132" s="90"/>
      <c r="G132" s="90"/>
    </row>
    <row r="133" spans="1:7" ht="15">
      <c r="A133" s="92"/>
      <c r="B133" s="92"/>
      <c r="C133" s="90"/>
      <c r="D133" s="90"/>
      <c r="E133" s="90"/>
      <c r="F133" s="90"/>
      <c r="G133" s="90"/>
    </row>
    <row r="134" spans="1:7" ht="15">
      <c r="A134" s="92"/>
      <c r="B134" s="92"/>
      <c r="C134" s="90"/>
      <c r="D134" s="90"/>
      <c r="E134" s="90"/>
      <c r="F134" s="90"/>
      <c r="G134" s="90"/>
    </row>
    <row r="135" spans="1:7" ht="15">
      <c r="A135" s="92"/>
      <c r="B135" s="92"/>
      <c r="C135" s="90"/>
      <c r="D135" s="90"/>
      <c r="E135" s="90"/>
      <c r="F135" s="90"/>
      <c r="G135" s="90"/>
    </row>
    <row r="136" spans="1:7" ht="15">
      <c r="A136" s="92"/>
      <c r="B136" s="92"/>
      <c r="C136" s="90"/>
      <c r="D136" s="90"/>
      <c r="E136" s="90"/>
      <c r="F136" s="90"/>
      <c r="G136" s="90"/>
    </row>
    <row r="137" spans="1:7" ht="15">
      <c r="A137" s="92"/>
      <c r="B137" s="92"/>
      <c r="C137" s="90"/>
      <c r="D137" s="90"/>
      <c r="E137" s="90"/>
      <c r="F137" s="90"/>
      <c r="G137" s="90"/>
    </row>
    <row r="138" spans="1:7" ht="15">
      <c r="A138" s="92"/>
      <c r="B138" s="92"/>
      <c r="C138" s="90"/>
      <c r="D138" s="90"/>
      <c r="E138" s="90"/>
      <c r="F138" s="90"/>
      <c r="G138" s="90"/>
    </row>
    <row r="139" spans="1:7" ht="15">
      <c r="A139" s="92"/>
      <c r="B139" s="92"/>
      <c r="C139" s="90"/>
      <c r="D139" s="90"/>
      <c r="E139" s="90"/>
      <c r="F139" s="90"/>
      <c r="G139" s="90"/>
    </row>
    <row r="140" spans="1:7" ht="15">
      <c r="A140" s="92"/>
      <c r="B140" s="92"/>
      <c r="C140" s="90"/>
      <c r="D140" s="90"/>
      <c r="E140" s="90"/>
      <c r="F140" s="90"/>
      <c r="G140" s="90"/>
    </row>
    <row r="141" spans="1:7" ht="15">
      <c r="A141" s="92"/>
      <c r="B141" s="92"/>
      <c r="C141" s="90"/>
      <c r="D141" s="90"/>
      <c r="E141" s="90"/>
      <c r="F141" s="90"/>
      <c r="G141" s="90"/>
    </row>
    <row r="142" spans="1:7" ht="15">
      <c r="A142" s="92"/>
      <c r="B142" s="92"/>
      <c r="C142" s="90"/>
      <c r="D142" s="90"/>
      <c r="E142" s="90"/>
      <c r="F142" s="90"/>
      <c r="G142" s="90"/>
    </row>
    <row r="143" spans="1:7" ht="15">
      <c r="A143" s="92"/>
      <c r="B143" s="92"/>
      <c r="C143" s="90"/>
      <c r="D143" s="90"/>
      <c r="E143" s="90"/>
      <c r="F143" s="90"/>
      <c r="G143" s="90"/>
    </row>
    <row r="144" spans="1:7" ht="15">
      <c r="A144" s="92"/>
      <c r="B144" s="92"/>
      <c r="C144" s="90"/>
      <c r="D144" s="90"/>
      <c r="E144" s="90"/>
      <c r="F144" s="90"/>
      <c r="G144" s="90"/>
    </row>
    <row r="145" spans="1:7" ht="15">
      <c r="A145" s="92"/>
      <c r="B145" s="92"/>
      <c r="C145" s="90"/>
      <c r="D145" s="90"/>
      <c r="E145" s="90"/>
      <c r="F145" s="90"/>
      <c r="G145" s="90"/>
    </row>
    <row r="146" spans="1:7" ht="15">
      <c r="A146" s="92"/>
      <c r="B146" s="92"/>
      <c r="C146" s="90"/>
      <c r="D146" s="90"/>
      <c r="E146" s="90"/>
      <c r="F146" s="90"/>
      <c r="G146" s="90"/>
    </row>
    <row r="147" spans="1:7" ht="15">
      <c r="A147" s="92"/>
      <c r="B147" s="92"/>
      <c r="C147" s="90"/>
      <c r="D147" s="90"/>
      <c r="E147" s="90"/>
      <c r="F147" s="90"/>
      <c r="G147" s="90"/>
    </row>
    <row r="148" spans="1:7" ht="15">
      <c r="A148" s="92"/>
      <c r="B148" s="92"/>
      <c r="C148" s="90"/>
      <c r="D148" s="90"/>
      <c r="E148" s="90"/>
      <c r="F148" s="90"/>
      <c r="G148" s="90"/>
    </row>
    <row r="149" spans="1:7" ht="15">
      <c r="A149" s="92"/>
      <c r="B149" s="92"/>
      <c r="C149" s="90"/>
      <c r="D149" s="90"/>
      <c r="E149" s="90"/>
      <c r="F149" s="90"/>
      <c r="G149" s="90"/>
    </row>
    <row r="150" spans="1:7" ht="15">
      <c r="A150" s="92"/>
      <c r="B150" s="92"/>
      <c r="C150" s="90"/>
      <c r="D150" s="90"/>
      <c r="E150" s="90"/>
      <c r="F150" s="90"/>
      <c r="G150" s="90"/>
    </row>
    <row r="151" spans="1:7" ht="15">
      <c r="A151" s="92"/>
      <c r="B151" s="92"/>
      <c r="C151" s="90"/>
      <c r="D151" s="90"/>
      <c r="E151" s="90"/>
      <c r="F151" s="90"/>
      <c r="G151" s="90"/>
    </row>
    <row r="152" spans="1:7" ht="15">
      <c r="A152" s="92"/>
      <c r="B152" s="92"/>
      <c r="C152" s="90"/>
      <c r="D152" s="90"/>
      <c r="E152" s="90"/>
      <c r="F152" s="90"/>
      <c r="G152" s="90"/>
    </row>
    <row r="153" spans="1:7" ht="15">
      <c r="A153" s="92"/>
      <c r="B153" s="92"/>
      <c r="C153" s="90"/>
      <c r="D153" s="90"/>
      <c r="E153" s="90"/>
      <c r="F153" s="90"/>
      <c r="G153" s="90"/>
    </row>
    <row r="154" spans="1:7" ht="15">
      <c r="A154" s="92"/>
      <c r="B154" s="92"/>
      <c r="C154" s="90"/>
      <c r="D154" s="90"/>
      <c r="E154" s="90"/>
      <c r="F154" s="90"/>
      <c r="G154" s="90"/>
    </row>
    <row r="155" spans="1:7" ht="15">
      <c r="A155" s="92"/>
      <c r="B155" s="92"/>
      <c r="C155" s="90"/>
      <c r="D155" s="90"/>
      <c r="E155" s="90"/>
      <c r="F155" s="90"/>
      <c r="G155" s="90"/>
    </row>
    <row r="156" spans="1:7" ht="15">
      <c r="A156" s="92"/>
      <c r="B156" s="92"/>
      <c r="C156" s="90"/>
      <c r="D156" s="90"/>
      <c r="E156" s="90"/>
      <c r="F156" s="90"/>
      <c r="G156" s="90"/>
    </row>
    <row r="157" spans="1:7" ht="15">
      <c r="A157" s="92"/>
      <c r="B157" s="92"/>
      <c r="C157" s="90"/>
      <c r="D157" s="90"/>
      <c r="E157" s="90"/>
      <c r="F157" s="90"/>
      <c r="G157" s="90"/>
    </row>
    <row r="158" spans="1:7" ht="15">
      <c r="A158" s="92"/>
      <c r="B158" s="92"/>
      <c r="C158" s="90"/>
      <c r="D158" s="90"/>
      <c r="E158" s="90"/>
      <c r="F158" s="90"/>
      <c r="G158" s="90"/>
    </row>
    <row r="159" spans="1:7" ht="15">
      <c r="A159" s="92"/>
      <c r="B159" s="92"/>
      <c r="C159" s="90"/>
      <c r="D159" s="90"/>
      <c r="E159" s="90"/>
      <c r="F159" s="90"/>
      <c r="G159" s="90"/>
    </row>
    <row r="160" spans="1:7" ht="15">
      <c r="A160" s="92"/>
      <c r="B160" s="92"/>
      <c r="C160" s="90"/>
      <c r="D160" s="90"/>
      <c r="E160" s="90"/>
      <c r="F160" s="90"/>
      <c r="G160" s="90"/>
    </row>
    <row r="161" spans="1:7" ht="15">
      <c r="A161" s="92"/>
      <c r="B161" s="92"/>
      <c r="C161" s="90"/>
      <c r="D161" s="90"/>
      <c r="E161" s="90"/>
      <c r="F161" s="90"/>
      <c r="G161" s="90"/>
    </row>
    <row r="162" spans="1:7" ht="15">
      <c r="A162" s="92"/>
      <c r="B162" s="92"/>
      <c r="C162" s="90"/>
      <c r="D162" s="90"/>
      <c r="E162" s="90"/>
      <c r="F162" s="90"/>
      <c r="G162" s="90"/>
    </row>
    <row r="163" spans="1:7" ht="15">
      <c r="A163" s="92"/>
      <c r="B163" s="92"/>
      <c r="C163" s="90"/>
      <c r="D163" s="90"/>
      <c r="E163" s="90"/>
      <c r="F163" s="90"/>
      <c r="G163" s="90"/>
    </row>
    <row r="164" spans="1:7" ht="15">
      <c r="A164" s="92"/>
      <c r="B164" s="92"/>
      <c r="C164" s="90"/>
      <c r="D164" s="90"/>
      <c r="E164" s="90"/>
      <c r="F164" s="90"/>
      <c r="G164" s="90"/>
    </row>
    <row r="165" spans="1:7" ht="15">
      <c r="A165" s="92"/>
      <c r="B165" s="92"/>
      <c r="C165" s="90"/>
      <c r="D165" s="90"/>
      <c r="E165" s="90"/>
      <c r="F165" s="90"/>
      <c r="G165" s="90"/>
    </row>
    <row r="166" spans="1:7" ht="15">
      <c r="A166" s="92"/>
      <c r="B166" s="92"/>
      <c r="C166" s="90"/>
      <c r="D166" s="90"/>
      <c r="E166" s="90"/>
      <c r="F166" s="90"/>
      <c r="G166" s="90"/>
    </row>
    <row r="167" spans="1:7" ht="15">
      <c r="A167" s="92"/>
      <c r="B167" s="92"/>
      <c r="C167" s="90"/>
      <c r="D167" s="90"/>
      <c r="E167" s="90"/>
      <c r="F167" s="90"/>
      <c r="G167" s="90"/>
    </row>
    <row r="168" spans="1:7" ht="15">
      <c r="A168" s="92"/>
      <c r="B168" s="92"/>
      <c r="C168" s="90"/>
      <c r="D168" s="90"/>
      <c r="E168" s="90"/>
      <c r="F168" s="90"/>
      <c r="G168" s="90"/>
    </row>
    <row r="169" spans="1:7" ht="15">
      <c r="A169" s="92"/>
      <c r="B169" s="92"/>
      <c r="C169" s="90"/>
      <c r="D169" s="90"/>
      <c r="E169" s="90"/>
      <c r="F169" s="90"/>
      <c r="G169" s="90"/>
    </row>
    <row r="170" spans="1:7" ht="15">
      <c r="A170" s="92"/>
      <c r="B170" s="92"/>
      <c r="C170" s="90"/>
      <c r="D170" s="90"/>
      <c r="E170" s="90"/>
      <c r="F170" s="90"/>
      <c r="G170" s="90"/>
    </row>
    <row r="171" spans="1:7" ht="15">
      <c r="A171" s="92"/>
      <c r="B171" s="92"/>
      <c r="C171" s="90"/>
      <c r="D171" s="90"/>
      <c r="E171" s="90"/>
      <c r="F171" s="90"/>
      <c r="G171" s="90"/>
    </row>
    <row r="172" spans="1:7" ht="15">
      <c r="A172" s="92"/>
      <c r="B172" s="92"/>
      <c r="C172" s="90"/>
      <c r="D172" s="90"/>
      <c r="E172" s="90"/>
      <c r="F172" s="90"/>
      <c r="G172" s="90"/>
    </row>
    <row r="173" spans="1:7" ht="15">
      <c r="A173" s="92"/>
      <c r="B173" s="92"/>
      <c r="C173" s="90"/>
      <c r="D173" s="90"/>
      <c r="E173" s="90"/>
      <c r="F173" s="90"/>
      <c r="G173" s="90"/>
    </row>
    <row r="174" spans="1:7" ht="15">
      <c r="A174" s="92"/>
      <c r="B174" s="92"/>
      <c r="C174" s="90"/>
      <c r="D174" s="90"/>
      <c r="E174" s="90"/>
      <c r="F174" s="90"/>
      <c r="G174" s="90"/>
    </row>
    <row r="175" spans="1:7" ht="15">
      <c r="A175" s="92"/>
      <c r="B175" s="92"/>
      <c r="C175" s="90"/>
      <c r="D175" s="90"/>
      <c r="E175" s="90"/>
      <c r="F175" s="90"/>
      <c r="G175" s="90"/>
    </row>
    <row r="176" spans="1:7" ht="15">
      <c r="A176" s="92"/>
      <c r="B176" s="92"/>
      <c r="C176" s="90"/>
      <c r="D176" s="90"/>
      <c r="E176" s="90"/>
      <c r="F176" s="90"/>
      <c r="G176" s="90"/>
    </row>
    <row r="177" spans="1:7" ht="15">
      <c r="A177" s="92"/>
      <c r="B177" s="92"/>
      <c r="C177" s="90"/>
      <c r="D177" s="90"/>
      <c r="E177" s="90"/>
      <c r="F177" s="90"/>
      <c r="G177" s="90"/>
    </row>
    <row r="178" spans="1:7" ht="15">
      <c r="A178" s="92"/>
      <c r="B178" s="92"/>
      <c r="C178" s="90"/>
      <c r="D178" s="90"/>
      <c r="E178" s="90"/>
      <c r="F178" s="90"/>
      <c r="G178" s="90"/>
    </row>
    <row r="179" spans="1:7" ht="15">
      <c r="A179" s="92"/>
      <c r="B179" s="92"/>
      <c r="C179" s="90"/>
      <c r="D179" s="90"/>
      <c r="E179" s="90"/>
      <c r="F179" s="90"/>
      <c r="G179" s="90"/>
    </row>
    <row r="180" spans="1:7" ht="15">
      <c r="A180" s="92"/>
      <c r="B180" s="92"/>
      <c r="C180" s="90"/>
      <c r="D180" s="90"/>
      <c r="E180" s="90"/>
      <c r="F180" s="90"/>
      <c r="G180" s="90"/>
    </row>
    <row r="181" spans="1:7" ht="15">
      <c r="A181" s="92"/>
      <c r="B181" s="92"/>
      <c r="C181" s="90"/>
      <c r="D181" s="90"/>
      <c r="E181" s="90"/>
      <c r="F181" s="90"/>
      <c r="G181" s="90"/>
    </row>
    <row r="182" spans="1:7" ht="15">
      <c r="A182" s="92"/>
      <c r="B182" s="92"/>
      <c r="C182" s="90"/>
      <c r="D182" s="90"/>
      <c r="E182" s="90"/>
      <c r="F182" s="90"/>
      <c r="G182" s="90"/>
    </row>
    <row r="183" spans="1:7" ht="15">
      <c r="A183" s="92"/>
      <c r="B183" s="92"/>
      <c r="C183" s="90"/>
      <c r="D183" s="90"/>
      <c r="E183" s="90"/>
      <c r="F183" s="90"/>
      <c r="G183" s="90"/>
    </row>
    <row r="184" spans="1:7" ht="15">
      <c r="A184" s="92"/>
      <c r="B184" s="92"/>
      <c r="C184" s="90"/>
      <c r="D184" s="90"/>
      <c r="E184" s="90"/>
      <c r="F184" s="90"/>
      <c r="G184" s="90"/>
    </row>
    <row r="185" spans="1:7" ht="15">
      <c r="A185" s="92"/>
      <c r="B185" s="92"/>
      <c r="C185" s="90"/>
      <c r="D185" s="90"/>
      <c r="E185" s="90"/>
      <c r="F185" s="90"/>
      <c r="G185" s="90"/>
    </row>
    <row r="186" spans="1:7" ht="15">
      <c r="A186" s="92"/>
      <c r="B186" s="92"/>
      <c r="C186" s="90"/>
      <c r="D186" s="90"/>
      <c r="E186" s="90"/>
      <c r="F186" s="90"/>
      <c r="G186" s="90"/>
    </row>
    <row r="187" spans="1:7" ht="15">
      <c r="A187" s="92"/>
      <c r="B187" s="92"/>
      <c r="C187" s="90"/>
      <c r="D187" s="90"/>
      <c r="E187" s="90"/>
      <c r="F187" s="90"/>
      <c r="G187" s="90"/>
    </row>
    <row r="188" spans="1:7" ht="15">
      <c r="A188" s="92"/>
      <c r="B188" s="92"/>
      <c r="C188" s="90"/>
      <c r="D188" s="90"/>
      <c r="E188" s="90"/>
      <c r="F188" s="90"/>
      <c r="G188" s="90"/>
    </row>
    <row r="189" spans="1:7" ht="15">
      <c r="A189" s="92"/>
      <c r="B189" s="92"/>
      <c r="C189" s="90"/>
      <c r="D189" s="90"/>
      <c r="E189" s="90"/>
      <c r="F189" s="90"/>
      <c r="G189" s="90"/>
    </row>
    <row r="190" spans="1:7" ht="15">
      <c r="A190" s="92"/>
      <c r="B190" s="92"/>
      <c r="C190" s="90"/>
      <c r="D190" s="90"/>
      <c r="E190" s="90"/>
      <c r="F190" s="90"/>
      <c r="G190" s="90"/>
    </row>
    <row r="191" spans="1:7" ht="15">
      <c r="A191" s="92"/>
      <c r="B191" s="92"/>
      <c r="C191" s="90"/>
      <c r="D191" s="90"/>
      <c r="E191" s="90"/>
      <c r="F191" s="90"/>
      <c r="G191" s="90"/>
    </row>
    <row r="192" spans="1:7" ht="15">
      <c r="A192" s="92"/>
      <c r="B192" s="92"/>
      <c r="C192" s="90"/>
      <c r="D192" s="90"/>
      <c r="E192" s="90"/>
      <c r="F192" s="90"/>
      <c r="G192" s="90"/>
    </row>
    <row r="193" spans="1:7" ht="15">
      <c r="A193" s="92"/>
      <c r="B193" s="92"/>
      <c r="C193" s="90"/>
      <c r="D193" s="90"/>
      <c r="E193" s="90"/>
      <c r="F193" s="90"/>
      <c r="G193" s="90"/>
    </row>
    <row r="194" spans="1:7" ht="15">
      <c r="A194" s="92"/>
      <c r="B194" s="92"/>
      <c r="C194" s="90"/>
      <c r="D194" s="90"/>
      <c r="E194" s="90"/>
      <c r="F194" s="90"/>
      <c r="G194" s="90"/>
    </row>
    <row r="195" spans="1:7" ht="15">
      <c r="A195" s="92"/>
      <c r="B195" s="92"/>
      <c r="C195" s="90"/>
      <c r="D195" s="90"/>
      <c r="E195" s="90"/>
      <c r="F195" s="90"/>
      <c r="G195" s="90"/>
    </row>
    <row r="196" spans="1:7" ht="15">
      <c r="A196" s="92"/>
      <c r="B196" s="92"/>
      <c r="C196" s="90"/>
      <c r="D196" s="90"/>
      <c r="E196" s="90"/>
      <c r="F196" s="90"/>
      <c r="G196" s="90"/>
    </row>
    <row r="197" spans="1:7" ht="15">
      <c r="A197" s="92"/>
      <c r="B197" s="92"/>
      <c r="C197" s="90"/>
      <c r="D197" s="90"/>
      <c r="E197" s="90"/>
      <c r="F197" s="90"/>
      <c r="G197" s="90"/>
    </row>
    <row r="198" spans="1:7" ht="15">
      <c r="A198" s="92"/>
      <c r="B198" s="92"/>
      <c r="C198" s="90"/>
      <c r="D198" s="90"/>
      <c r="E198" s="90"/>
      <c r="F198" s="90"/>
      <c r="G198" s="90"/>
    </row>
    <row r="199" spans="1:7" ht="15">
      <c r="A199" s="92"/>
      <c r="B199" s="92"/>
      <c r="C199" s="90"/>
      <c r="D199" s="90"/>
      <c r="E199" s="90"/>
      <c r="F199" s="90"/>
      <c r="G199" s="90"/>
    </row>
    <row r="200" spans="1:7" ht="15">
      <c r="A200" s="92"/>
      <c r="B200" s="92"/>
      <c r="C200" s="90"/>
      <c r="D200" s="90"/>
      <c r="E200" s="90"/>
      <c r="F200" s="90"/>
      <c r="G200" s="90"/>
    </row>
    <row r="201" spans="1:7" ht="15">
      <c r="A201" s="92"/>
      <c r="B201" s="92"/>
      <c r="C201" s="90"/>
      <c r="D201" s="90"/>
      <c r="E201" s="90"/>
      <c r="F201" s="90"/>
      <c r="G201" s="90"/>
    </row>
    <row r="202" spans="1:7" ht="15">
      <c r="A202" s="92"/>
      <c r="B202" s="92"/>
      <c r="C202" s="90"/>
      <c r="D202" s="90"/>
      <c r="E202" s="90"/>
      <c r="F202" s="90"/>
      <c r="G202" s="90"/>
    </row>
    <row r="203" spans="1:7" ht="15">
      <c r="A203" s="92"/>
      <c r="B203" s="92"/>
      <c r="C203" s="90"/>
      <c r="D203" s="90"/>
      <c r="E203" s="90"/>
      <c r="F203" s="90"/>
      <c r="G203" s="90"/>
    </row>
    <row r="204" spans="1:7" ht="15">
      <c r="A204" s="92"/>
      <c r="B204" s="92"/>
      <c r="C204" s="90"/>
      <c r="D204" s="90"/>
      <c r="E204" s="90"/>
      <c r="F204" s="90"/>
      <c r="G204" s="90"/>
    </row>
    <row r="205" spans="1:7" ht="15">
      <c r="A205" s="92"/>
      <c r="B205" s="92"/>
      <c r="C205" s="90"/>
      <c r="D205" s="90"/>
      <c r="E205" s="90"/>
      <c r="F205" s="90"/>
      <c r="G205" s="90"/>
    </row>
    <row r="206" spans="1:7" ht="15">
      <c r="A206" s="92"/>
      <c r="B206" s="92"/>
      <c r="C206" s="90"/>
      <c r="D206" s="90"/>
      <c r="E206" s="90"/>
      <c r="F206" s="90"/>
      <c r="G206" s="90"/>
    </row>
    <row r="207" spans="1:7" ht="15">
      <c r="A207" s="92"/>
      <c r="B207" s="92"/>
      <c r="C207" s="90"/>
      <c r="D207" s="90"/>
      <c r="E207" s="90"/>
      <c r="F207" s="90"/>
      <c r="G207" s="90"/>
    </row>
    <row r="208" spans="1:7" ht="15">
      <c r="A208" s="92"/>
      <c r="B208" s="92"/>
      <c r="C208" s="90"/>
      <c r="D208" s="90"/>
      <c r="E208" s="90"/>
      <c r="F208" s="90"/>
      <c r="G208" s="90"/>
    </row>
    <row r="209" spans="1:7" ht="15">
      <c r="A209" s="92"/>
      <c r="B209" s="92"/>
      <c r="C209" s="90"/>
      <c r="D209" s="90"/>
      <c r="E209" s="90"/>
      <c r="F209" s="90"/>
      <c r="G209" s="90"/>
    </row>
    <row r="210" spans="1:7" ht="15">
      <c r="A210" s="92"/>
      <c r="B210" s="92"/>
      <c r="C210" s="90"/>
      <c r="D210" s="90"/>
      <c r="E210" s="90"/>
      <c r="F210" s="90"/>
      <c r="G210" s="90"/>
    </row>
    <row r="211" spans="1:7" ht="15">
      <c r="A211" s="92"/>
      <c r="B211" s="92"/>
      <c r="C211" s="90"/>
      <c r="D211" s="90"/>
      <c r="E211" s="90"/>
      <c r="F211" s="90"/>
      <c r="G211" s="90"/>
    </row>
    <row r="212" spans="1:7" ht="15">
      <c r="A212" s="92"/>
      <c r="B212" s="92"/>
      <c r="C212" s="90"/>
      <c r="D212" s="90"/>
      <c r="E212" s="90"/>
      <c r="F212" s="90"/>
      <c r="G212" s="90"/>
    </row>
    <row r="213" spans="1:7" ht="15">
      <c r="A213" s="92"/>
      <c r="B213" s="92"/>
      <c r="C213" s="90"/>
      <c r="D213" s="90"/>
      <c r="E213" s="90"/>
      <c r="F213" s="90"/>
      <c r="G213" s="90"/>
    </row>
    <row r="214" spans="1:7" ht="15">
      <c r="A214" s="92"/>
      <c r="B214" s="92"/>
      <c r="C214" s="90"/>
      <c r="D214" s="90"/>
      <c r="E214" s="90"/>
      <c r="F214" s="90"/>
      <c r="G214" s="90"/>
    </row>
    <row r="215" spans="1:7" ht="15">
      <c r="A215" s="92"/>
      <c r="B215" s="92"/>
      <c r="C215" s="90"/>
      <c r="D215" s="90"/>
      <c r="E215" s="90"/>
      <c r="F215" s="90"/>
      <c r="G215" s="90"/>
    </row>
    <row r="216" spans="1:7" ht="15">
      <c r="A216" s="92"/>
      <c r="B216" s="92"/>
      <c r="C216" s="90"/>
      <c r="D216" s="90"/>
      <c r="E216" s="90"/>
      <c r="F216" s="90"/>
      <c r="G216" s="90"/>
    </row>
    <row r="217" spans="1:7" ht="15">
      <c r="A217" s="92"/>
      <c r="B217" s="92"/>
      <c r="C217" s="90"/>
      <c r="D217" s="90"/>
      <c r="E217" s="90"/>
      <c r="F217" s="90"/>
      <c r="G217" s="90"/>
    </row>
    <row r="218" spans="1:7" ht="15">
      <c r="A218" s="92"/>
      <c r="B218" s="92"/>
      <c r="C218" s="90"/>
      <c r="D218" s="90"/>
      <c r="E218" s="90"/>
      <c r="F218" s="90"/>
      <c r="G218" s="90"/>
    </row>
    <row r="219" spans="1:7" ht="15">
      <c r="A219" s="92"/>
      <c r="B219" s="92"/>
      <c r="C219" s="90"/>
      <c r="D219" s="90"/>
      <c r="E219" s="90"/>
      <c r="F219" s="90"/>
      <c r="G219" s="90"/>
    </row>
    <row r="220" spans="1:7" ht="15">
      <c r="A220" s="92"/>
      <c r="B220" s="92"/>
      <c r="C220" s="90"/>
      <c r="D220" s="90"/>
      <c r="E220" s="90"/>
      <c r="F220" s="90"/>
      <c r="G220" s="90"/>
    </row>
    <row r="221" spans="1:7" ht="15">
      <c r="A221" s="92"/>
      <c r="B221" s="92"/>
      <c r="C221" s="90"/>
      <c r="D221" s="90"/>
      <c r="E221" s="90"/>
      <c r="F221" s="90"/>
      <c r="G221" s="90"/>
    </row>
    <row r="222" spans="1:7" ht="15">
      <c r="A222" s="92"/>
      <c r="B222" s="92"/>
      <c r="C222" s="90"/>
      <c r="D222" s="90"/>
      <c r="E222" s="90"/>
      <c r="F222" s="90"/>
      <c r="G222" s="90"/>
    </row>
    <row r="223" spans="1:7" ht="15">
      <c r="A223" s="92"/>
      <c r="B223" s="92"/>
      <c r="C223" s="90"/>
      <c r="D223" s="90"/>
      <c r="E223" s="90"/>
      <c r="F223" s="90"/>
      <c r="G223" s="90"/>
    </row>
    <row r="224" spans="1:7" ht="15">
      <c r="A224" s="92"/>
      <c r="B224" s="92"/>
      <c r="C224" s="90"/>
      <c r="D224" s="90"/>
      <c r="E224" s="90"/>
      <c r="F224" s="90"/>
      <c r="G224" s="90"/>
    </row>
    <row r="225" spans="1:7" ht="15">
      <c r="A225" s="92"/>
      <c r="B225" s="92"/>
      <c r="C225" s="90"/>
      <c r="D225" s="90"/>
      <c r="E225" s="90"/>
      <c r="F225" s="90"/>
      <c r="G225" s="90"/>
    </row>
    <row r="226" spans="1:7" ht="15">
      <c r="A226" s="92"/>
      <c r="B226" s="92"/>
      <c r="C226" s="90"/>
      <c r="D226" s="90"/>
      <c r="E226" s="90"/>
      <c r="F226" s="90"/>
      <c r="G226" s="90"/>
    </row>
    <row r="227" spans="1:7" ht="15">
      <c r="A227" s="92"/>
      <c r="B227" s="92"/>
      <c r="C227" s="90"/>
      <c r="D227" s="90"/>
      <c r="E227" s="90"/>
      <c r="F227" s="90"/>
      <c r="G227" s="90"/>
    </row>
    <row r="228" spans="1:7" ht="15">
      <c r="A228" s="92"/>
      <c r="B228" s="92"/>
      <c r="C228" s="90"/>
      <c r="D228" s="90"/>
      <c r="E228" s="90"/>
      <c r="F228" s="90"/>
      <c r="G228" s="90"/>
    </row>
    <row r="229" spans="1:7" ht="15">
      <c r="A229" s="92"/>
      <c r="B229" s="92"/>
      <c r="C229" s="90"/>
      <c r="D229" s="90"/>
      <c r="E229" s="90"/>
      <c r="F229" s="90"/>
      <c r="G229" s="90"/>
    </row>
    <row r="230" spans="1:7" ht="15">
      <c r="A230" s="92"/>
      <c r="B230" s="92"/>
      <c r="C230" s="90"/>
      <c r="D230" s="90"/>
      <c r="E230" s="90"/>
      <c r="F230" s="90"/>
      <c r="G230" s="90"/>
    </row>
    <row r="231" spans="1:7" ht="15">
      <c r="A231" s="92"/>
      <c r="B231" s="92"/>
      <c r="C231" s="90"/>
      <c r="D231" s="90"/>
      <c r="E231" s="90"/>
      <c r="F231" s="90"/>
      <c r="G231" s="90"/>
    </row>
    <row r="232" spans="1:7" ht="15">
      <c r="A232" s="92"/>
      <c r="B232" s="92"/>
      <c r="C232" s="90"/>
      <c r="D232" s="90"/>
      <c r="E232" s="90"/>
      <c r="F232" s="90"/>
      <c r="G232" s="90"/>
    </row>
    <row r="233" spans="1:7" ht="15">
      <c r="A233" s="92"/>
      <c r="B233" s="92"/>
      <c r="C233" s="90"/>
      <c r="D233" s="90"/>
      <c r="E233" s="90"/>
      <c r="F233" s="90"/>
      <c r="G233" s="90"/>
    </row>
    <row r="234" spans="1:7" ht="15">
      <c r="A234" s="92"/>
      <c r="B234" s="92"/>
      <c r="C234" s="90"/>
      <c r="D234" s="90"/>
      <c r="E234" s="90"/>
      <c r="F234" s="90"/>
      <c r="G234" s="90"/>
    </row>
    <row r="235" spans="1:7" ht="15">
      <c r="A235" s="92"/>
      <c r="B235" s="92"/>
      <c r="C235" s="90"/>
      <c r="D235" s="90"/>
      <c r="E235" s="90"/>
      <c r="F235" s="90"/>
      <c r="G235" s="90"/>
    </row>
    <row r="236" spans="1:7" ht="15">
      <c r="A236" s="92"/>
      <c r="B236" s="92"/>
      <c r="C236" s="90"/>
      <c r="D236" s="90"/>
      <c r="E236" s="90"/>
      <c r="F236" s="90"/>
      <c r="G236" s="90"/>
    </row>
    <row r="237" spans="1:7" ht="15">
      <c r="A237" s="92"/>
      <c r="B237" s="92"/>
      <c r="C237" s="90"/>
      <c r="D237" s="90"/>
      <c r="E237" s="90"/>
      <c r="F237" s="90"/>
      <c r="G237" s="90"/>
    </row>
    <row r="238" spans="1:7" ht="15">
      <c r="A238" s="92"/>
      <c r="B238" s="92"/>
      <c r="C238" s="90"/>
      <c r="D238" s="90"/>
      <c r="E238" s="90"/>
      <c r="F238" s="90"/>
      <c r="G238" s="90"/>
    </row>
    <row r="239" spans="1:7" ht="15">
      <c r="A239" s="92"/>
      <c r="B239" s="92"/>
      <c r="C239" s="90"/>
      <c r="D239" s="90"/>
      <c r="E239" s="90"/>
      <c r="F239" s="90"/>
      <c r="G239" s="90"/>
    </row>
    <row r="240" spans="1:7" ht="15">
      <c r="A240" s="92"/>
      <c r="B240" s="92"/>
      <c r="C240" s="90"/>
      <c r="D240" s="90"/>
      <c r="E240" s="90"/>
      <c r="F240" s="90"/>
      <c r="G240" s="90"/>
    </row>
    <row r="241" spans="1:7" ht="15">
      <c r="A241" s="92"/>
      <c r="B241" s="92"/>
      <c r="C241" s="90"/>
      <c r="D241" s="90"/>
      <c r="E241" s="90"/>
      <c r="F241" s="90"/>
      <c r="G241" s="90"/>
    </row>
    <row r="242" spans="1:7" ht="15">
      <c r="A242" s="92"/>
      <c r="B242" s="92"/>
      <c r="C242" s="90"/>
      <c r="D242" s="90"/>
      <c r="E242" s="90"/>
      <c r="F242" s="90"/>
      <c r="G242" s="90"/>
    </row>
    <row r="243" spans="1:7" ht="15">
      <c r="A243" s="92"/>
      <c r="B243" s="92"/>
      <c r="C243" s="90"/>
      <c r="D243" s="90"/>
      <c r="E243" s="90"/>
      <c r="F243" s="90"/>
      <c r="G243" s="90"/>
    </row>
    <row r="244" spans="1:7" ht="15">
      <c r="A244" s="92"/>
      <c r="B244" s="92"/>
      <c r="C244" s="90"/>
      <c r="D244" s="90"/>
      <c r="E244" s="90"/>
      <c r="F244" s="90"/>
      <c r="G244" s="90"/>
    </row>
    <row r="245" spans="1:7" ht="15">
      <c r="A245" s="92"/>
      <c r="B245" s="92"/>
      <c r="C245" s="90"/>
      <c r="D245" s="90"/>
      <c r="E245" s="90"/>
      <c r="F245" s="90"/>
      <c r="G245" s="90"/>
    </row>
    <row r="246" spans="1:7" ht="15">
      <c r="A246" s="92"/>
      <c r="B246" s="92"/>
      <c r="C246" s="90"/>
      <c r="D246" s="90"/>
      <c r="E246" s="90"/>
      <c r="F246" s="90"/>
      <c r="G246" s="90"/>
    </row>
    <row r="247" spans="1:7" ht="15">
      <c r="A247" s="92"/>
      <c r="B247" s="92"/>
      <c r="C247" s="90"/>
      <c r="D247" s="90"/>
      <c r="E247" s="90"/>
      <c r="F247" s="90"/>
      <c r="G247" s="90"/>
    </row>
    <row r="248" spans="1:7" ht="15">
      <c r="A248" s="92"/>
      <c r="B248" s="92"/>
      <c r="C248" s="90"/>
      <c r="D248" s="90"/>
      <c r="E248" s="90"/>
      <c r="F248" s="90"/>
      <c r="G248" s="90"/>
    </row>
    <row r="249" spans="1:7" ht="15">
      <c r="A249" s="92"/>
      <c r="B249" s="92"/>
      <c r="C249" s="90"/>
      <c r="D249" s="90"/>
      <c r="E249" s="90"/>
      <c r="F249" s="90"/>
      <c r="G249" s="90"/>
    </row>
    <row r="250" spans="1:7" ht="15">
      <c r="A250" s="92"/>
      <c r="B250" s="92"/>
      <c r="C250" s="90"/>
      <c r="D250" s="90"/>
      <c r="E250" s="90"/>
      <c r="F250" s="90"/>
      <c r="G250" s="90"/>
    </row>
    <row r="251" spans="1:7" ht="15">
      <c r="A251" s="92"/>
      <c r="B251" s="92"/>
      <c r="C251" s="90"/>
      <c r="D251" s="90"/>
      <c r="E251" s="90"/>
      <c r="F251" s="90"/>
      <c r="G251" s="90"/>
    </row>
    <row r="252" spans="1:7" ht="15">
      <c r="A252" s="92"/>
      <c r="B252" s="92"/>
      <c r="C252" s="90"/>
      <c r="D252" s="90"/>
      <c r="E252" s="90"/>
      <c r="F252" s="90"/>
      <c r="G252" s="90"/>
    </row>
    <row r="253" spans="1:7" ht="15">
      <c r="A253" s="92"/>
      <c r="B253" s="92"/>
      <c r="C253" s="90"/>
      <c r="D253" s="90"/>
      <c r="E253" s="90"/>
      <c r="F253" s="90"/>
      <c r="G253" s="90"/>
    </row>
    <row r="254" spans="1:7" ht="15">
      <c r="A254" s="92"/>
      <c r="B254" s="92"/>
      <c r="C254" s="90"/>
      <c r="D254" s="90"/>
      <c r="E254" s="90"/>
      <c r="F254" s="90"/>
      <c r="G254" s="90"/>
    </row>
    <row r="255" spans="1:7" ht="15">
      <c r="A255" s="92"/>
      <c r="B255" s="92"/>
      <c r="C255" s="90"/>
      <c r="D255" s="90"/>
      <c r="E255" s="90"/>
      <c r="F255" s="90"/>
      <c r="G255" s="90"/>
    </row>
    <row r="256" spans="1:7" ht="15">
      <c r="A256" s="92"/>
      <c r="B256" s="92"/>
      <c r="C256" s="90"/>
      <c r="D256" s="90"/>
      <c r="E256" s="90"/>
      <c r="F256" s="90"/>
      <c r="G256" s="90"/>
    </row>
    <row r="257" spans="1:7" ht="15">
      <c r="A257" s="92"/>
      <c r="B257" s="92"/>
      <c r="C257" s="90"/>
      <c r="D257" s="90"/>
      <c r="E257" s="90"/>
      <c r="F257" s="90"/>
      <c r="G257" s="90"/>
    </row>
    <row r="258" spans="1:7" ht="15">
      <c r="A258" s="92"/>
      <c r="B258" s="92"/>
      <c r="C258" s="90"/>
      <c r="D258" s="90"/>
      <c r="E258" s="90"/>
      <c r="F258" s="90"/>
      <c r="G258" s="90"/>
    </row>
    <row r="259" spans="1:7" ht="15">
      <c r="A259" s="92"/>
      <c r="B259" s="92"/>
      <c r="C259" s="90"/>
      <c r="D259" s="90"/>
      <c r="E259" s="90"/>
      <c r="F259" s="90"/>
      <c r="G259" s="90"/>
    </row>
    <row r="260" spans="1:7" ht="15">
      <c r="A260" s="92"/>
      <c r="B260" s="92"/>
      <c r="C260" s="90"/>
      <c r="D260" s="90"/>
      <c r="E260" s="90"/>
      <c r="F260" s="90"/>
      <c r="G260" s="90"/>
    </row>
    <row r="261" spans="1:7" ht="15">
      <c r="A261" s="92"/>
      <c r="B261" s="92"/>
      <c r="C261" s="90"/>
      <c r="D261" s="90"/>
      <c r="E261" s="90"/>
      <c r="F261" s="90"/>
      <c r="G261" s="90"/>
    </row>
    <row r="262" spans="1:7" ht="15">
      <c r="A262" s="92"/>
      <c r="B262" s="92"/>
      <c r="C262" s="90"/>
      <c r="D262" s="90"/>
      <c r="E262" s="90"/>
      <c r="F262" s="90"/>
      <c r="G262" s="90"/>
    </row>
    <row r="263" spans="1:7" ht="15">
      <c r="A263" s="92"/>
      <c r="B263" s="92"/>
      <c r="C263" s="90"/>
      <c r="D263" s="90"/>
      <c r="E263" s="90"/>
      <c r="F263" s="90"/>
      <c r="G263" s="90"/>
    </row>
    <row r="264" spans="1:7" ht="15">
      <c r="A264" s="92"/>
      <c r="B264" s="92"/>
      <c r="C264" s="90"/>
      <c r="D264" s="90"/>
      <c r="E264" s="90"/>
      <c r="F264" s="90"/>
      <c r="G264" s="90"/>
    </row>
    <row r="265" spans="1:7" ht="15">
      <c r="A265" s="92"/>
      <c r="B265" s="92"/>
      <c r="C265" s="90"/>
      <c r="D265" s="90"/>
      <c r="E265" s="90"/>
      <c r="F265" s="90"/>
      <c r="G265" s="90"/>
    </row>
    <row r="266" spans="1:7" ht="15">
      <c r="A266" s="92"/>
      <c r="B266" s="92"/>
      <c r="C266" s="90"/>
      <c r="D266" s="90"/>
      <c r="E266" s="90"/>
      <c r="F266" s="90"/>
      <c r="G266" s="90"/>
    </row>
    <row r="267" spans="1:7" ht="15">
      <c r="A267" s="92"/>
      <c r="B267" s="92"/>
      <c r="C267" s="90"/>
      <c r="D267" s="90"/>
      <c r="E267" s="90"/>
      <c r="F267" s="90"/>
      <c r="G267" s="90"/>
    </row>
    <row r="268" spans="1:7" ht="15">
      <c r="A268" s="92"/>
      <c r="B268" s="92"/>
      <c r="C268" s="90"/>
      <c r="D268" s="90"/>
      <c r="E268" s="90"/>
      <c r="F268" s="90"/>
      <c r="G268" s="90"/>
    </row>
    <row r="269" spans="1:7" ht="15">
      <c r="A269" s="92"/>
      <c r="B269" s="92"/>
      <c r="C269" s="90"/>
      <c r="D269" s="90"/>
      <c r="E269" s="90"/>
      <c r="F269" s="90"/>
      <c r="G269" s="90"/>
    </row>
    <row r="270" spans="1:7" ht="15">
      <c r="A270" s="92"/>
      <c r="B270" s="92"/>
      <c r="C270" s="90"/>
      <c r="D270" s="90"/>
      <c r="E270" s="90"/>
      <c r="F270" s="90"/>
      <c r="G270" s="90"/>
    </row>
    <row r="271" spans="1:7" ht="15">
      <c r="A271" s="92"/>
      <c r="B271" s="92"/>
      <c r="C271" s="90"/>
      <c r="D271" s="90"/>
      <c r="E271" s="90"/>
      <c r="F271" s="90"/>
      <c r="G271" s="90"/>
    </row>
    <row r="272" spans="1:7" ht="15">
      <c r="A272" s="92"/>
      <c r="B272" s="92"/>
      <c r="C272" s="90"/>
      <c r="D272" s="90"/>
      <c r="E272" s="90"/>
      <c r="F272" s="90"/>
      <c r="G272" s="90"/>
    </row>
    <row r="273" spans="1:7" ht="15">
      <c r="A273" s="92"/>
      <c r="B273" s="92"/>
      <c r="C273" s="90"/>
      <c r="D273" s="90"/>
      <c r="E273" s="90"/>
      <c r="F273" s="90"/>
      <c r="G273" s="90"/>
    </row>
    <row r="274" spans="1:7" ht="15">
      <c r="A274" s="92"/>
      <c r="B274" s="92"/>
      <c r="C274" s="90"/>
      <c r="D274" s="90"/>
      <c r="E274" s="90"/>
      <c r="F274" s="90"/>
      <c r="G274" s="90"/>
    </row>
    <row r="275" spans="1:7" ht="15">
      <c r="A275" s="92"/>
      <c r="B275" s="92"/>
      <c r="C275" s="90"/>
      <c r="D275" s="90"/>
      <c r="E275" s="90"/>
      <c r="F275" s="90"/>
      <c r="G275" s="90"/>
    </row>
    <row r="276" spans="1:7" ht="15">
      <c r="A276" s="92"/>
      <c r="B276" s="92"/>
      <c r="C276" s="90"/>
      <c r="D276" s="90"/>
      <c r="E276" s="90"/>
      <c r="F276" s="90"/>
      <c r="G276" s="90"/>
    </row>
    <row r="277" spans="1:7" ht="15">
      <c r="A277" s="92"/>
      <c r="B277" s="92"/>
      <c r="C277" s="90"/>
      <c r="D277" s="90"/>
      <c r="E277" s="90"/>
      <c r="F277" s="90"/>
      <c r="G277" s="90"/>
    </row>
    <row r="278" spans="1:7" ht="15">
      <c r="A278" s="92"/>
      <c r="B278" s="92"/>
      <c r="C278" s="90"/>
      <c r="D278" s="90"/>
      <c r="E278" s="90"/>
      <c r="F278" s="90"/>
      <c r="G278" s="90"/>
    </row>
    <row r="279" spans="1:7" ht="15">
      <c r="A279" s="92"/>
      <c r="B279" s="92"/>
      <c r="C279" s="90"/>
      <c r="D279" s="90"/>
      <c r="E279" s="90"/>
      <c r="F279" s="90"/>
      <c r="G279" s="90"/>
    </row>
    <row r="280" spans="1:7" ht="15">
      <c r="A280" s="92"/>
      <c r="B280" s="92"/>
      <c r="C280" s="90"/>
      <c r="D280" s="90"/>
      <c r="E280" s="90"/>
      <c r="F280" s="90"/>
      <c r="G280" s="90"/>
    </row>
    <row r="281" spans="1:7" ht="15">
      <c r="A281" s="92"/>
      <c r="B281" s="92"/>
      <c r="C281" s="90"/>
      <c r="D281" s="90"/>
      <c r="E281" s="90"/>
      <c r="F281" s="90"/>
      <c r="G281" s="90"/>
    </row>
    <row r="282" spans="1:7" ht="15">
      <c r="A282" s="92"/>
      <c r="B282" s="92"/>
      <c r="C282" s="90"/>
      <c r="D282" s="90"/>
      <c r="E282" s="90"/>
      <c r="F282" s="90"/>
      <c r="G282" s="90"/>
    </row>
    <row r="283" spans="1:7" ht="15">
      <c r="A283" s="92"/>
      <c r="B283" s="92"/>
      <c r="C283" s="90"/>
      <c r="D283" s="90"/>
      <c r="E283" s="90"/>
      <c r="F283" s="90"/>
      <c r="G283" s="90"/>
    </row>
    <row r="284" spans="1:7" ht="15">
      <c r="A284" s="92"/>
      <c r="B284" s="92"/>
      <c r="C284" s="90"/>
      <c r="D284" s="90"/>
      <c r="E284" s="90"/>
      <c r="F284" s="90"/>
      <c r="G284" s="90"/>
    </row>
    <row r="285" spans="1:7" ht="15">
      <c r="A285" s="92"/>
      <c r="B285" s="92"/>
      <c r="C285" s="90"/>
      <c r="D285" s="90"/>
      <c r="E285" s="90"/>
      <c r="F285" s="90"/>
      <c r="G285" s="90"/>
    </row>
    <row r="286" spans="1:7" ht="15">
      <c r="A286" s="92"/>
      <c r="B286" s="92"/>
      <c r="C286" s="90"/>
      <c r="D286" s="90"/>
      <c r="E286" s="90"/>
      <c r="F286" s="90"/>
      <c r="G286" s="90"/>
    </row>
    <row r="287" spans="1:7" ht="15">
      <c r="A287" s="92"/>
      <c r="B287" s="92"/>
      <c r="C287" s="90"/>
      <c r="D287" s="90"/>
      <c r="E287" s="90"/>
      <c r="F287" s="90"/>
      <c r="G287" s="90"/>
    </row>
    <row r="288" spans="1:7" ht="15">
      <c r="A288" s="92"/>
      <c r="B288" s="92"/>
      <c r="C288" s="90"/>
      <c r="D288" s="90"/>
      <c r="E288" s="90"/>
      <c r="F288" s="90"/>
      <c r="G288" s="90"/>
    </row>
    <row r="289" spans="1:7" ht="15">
      <c r="A289" s="92"/>
      <c r="B289" s="92"/>
      <c r="C289" s="90"/>
      <c r="D289" s="90"/>
      <c r="E289" s="90"/>
      <c r="F289" s="90"/>
      <c r="G289" s="90"/>
    </row>
    <row r="290" spans="1:7" ht="15">
      <c r="A290" s="92"/>
      <c r="B290" s="92"/>
      <c r="C290" s="90"/>
      <c r="D290" s="90"/>
      <c r="E290" s="90"/>
      <c r="F290" s="90"/>
      <c r="G290" s="90"/>
    </row>
    <row r="291" spans="1:7" ht="15">
      <c r="A291" s="92"/>
      <c r="B291" s="92"/>
      <c r="C291" s="90"/>
      <c r="D291" s="90"/>
      <c r="E291" s="90"/>
      <c r="F291" s="90"/>
      <c r="G291" s="90"/>
    </row>
    <row r="292" spans="1:7" ht="15">
      <c r="A292" s="92"/>
      <c r="B292" s="92"/>
      <c r="C292" s="90"/>
      <c r="D292" s="90"/>
      <c r="E292" s="90"/>
      <c r="F292" s="90"/>
      <c r="G292" s="90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6"/>
      <c r="D2" s="93"/>
      <c r="E2" s="93"/>
      <c r="F2" s="93"/>
      <c r="G2" s="93"/>
      <c r="H2" s="93"/>
    </row>
    <row r="3" spans="3:8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</row>
    <row r="4" spans="3:8" ht="15">
      <c r="C4" s="87"/>
      <c r="D4" s="87"/>
      <c r="E4" s="87"/>
      <c r="F4" s="87"/>
      <c r="G4" s="87"/>
      <c r="H4" s="87"/>
    </row>
    <row r="5" spans="3:8" ht="15">
      <c r="C5" s="87" t="s">
        <v>249</v>
      </c>
      <c r="D5" s="88">
        <f>+'CE'!D51</f>
        <v>8162.245357142855</v>
      </c>
      <c r="E5" s="88">
        <f>+'CE'!E51</f>
        <v>19387.14285714284</v>
      </c>
      <c r="F5" s="88">
        <f>+'CE'!F51</f>
        <v>32927.142857142855</v>
      </c>
      <c r="G5" s="88">
        <f>+'CE'!G51</f>
        <v>35475.106008856266</v>
      </c>
      <c r="H5" s="88">
        <f>+'CE'!H51</f>
        <v>38026.028423603944</v>
      </c>
    </row>
    <row r="6" spans="3:8" ht="15">
      <c r="C6" s="87"/>
      <c r="D6" s="87"/>
      <c r="E6" s="87"/>
      <c r="F6" s="87"/>
      <c r="G6" s="87"/>
      <c r="H6" s="87"/>
    </row>
    <row r="7" spans="3:8" ht="15"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spans="3:8" ht="15">
      <c r="C8" s="87"/>
      <c r="D8" s="87"/>
      <c r="E8" s="87"/>
      <c r="F8" s="87"/>
      <c r="G8" s="87"/>
      <c r="H8" s="87"/>
    </row>
    <row r="9" spans="3:8" ht="15">
      <c r="C9" s="87" t="s">
        <v>356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</row>
    <row r="10" spans="3:8" ht="15">
      <c r="C10" s="87"/>
      <c r="D10" s="87"/>
      <c r="E10" s="87"/>
      <c r="F10" s="87"/>
      <c r="G10" s="87"/>
      <c r="H10" s="87"/>
    </row>
    <row r="11" spans="3:8" ht="15">
      <c r="C11" s="87" t="s">
        <v>274</v>
      </c>
      <c r="D11" s="88">
        <f>+D5*D7*D9</f>
        <v>8162.245357142855</v>
      </c>
      <c r="E11" s="88">
        <f>+E5*E7*E9</f>
        <v>19387.14285714284</v>
      </c>
      <c r="F11" s="88">
        <f>+F5*F7*F9</f>
        <v>32927.142857142855</v>
      </c>
      <c r="G11" s="88">
        <f>+G5*G7*G9</f>
        <v>35475.106008856266</v>
      </c>
      <c r="H11" s="88">
        <f>+H5*H7*H9</f>
        <v>38026.028423603944</v>
      </c>
    </row>
    <row r="13" spans="3:8" ht="15">
      <c r="C13" t="s">
        <v>359</v>
      </c>
      <c r="D13" s="117">
        <f>+T23</f>
        <v>3192.89</v>
      </c>
      <c r="E13" s="117">
        <f>+U23</f>
        <v>4146.056818142853</v>
      </c>
      <c r="F13" s="117">
        <f>+V23</f>
        <v>7042.262818142856</v>
      </c>
      <c r="G13" s="117">
        <f>+W23</f>
        <v>7587.272136294356</v>
      </c>
      <c r="H13" s="117">
        <f>+X23</f>
        <v>8132.914440808883</v>
      </c>
    </row>
    <row r="15" ht="15">
      <c r="H15" s="125"/>
    </row>
    <row r="18" spans="20:24" ht="15">
      <c r="T18" s="1" t="s">
        <v>260</v>
      </c>
      <c r="U18" s="1" t="s">
        <v>261</v>
      </c>
      <c r="V18" s="1" t="s">
        <v>262</v>
      </c>
      <c r="W18" s="1" t="s">
        <v>263</v>
      </c>
      <c r="X18" s="1" t="s">
        <v>264</v>
      </c>
    </row>
    <row r="19" spans="12:24" ht="25.5">
      <c r="L19" s="154" t="s">
        <v>357</v>
      </c>
      <c r="M19" s="155"/>
      <c r="N19" s="155"/>
      <c r="O19" s="156"/>
      <c r="P19" s="113" t="s">
        <v>362</v>
      </c>
      <c r="Q19" s="113" t="s">
        <v>360</v>
      </c>
      <c r="R19" s="113" t="s">
        <v>361</v>
      </c>
      <c r="S19" s="113" t="s">
        <v>363</v>
      </c>
      <c r="T19" s="119" t="s">
        <v>364</v>
      </c>
      <c r="U19" s="119" t="s">
        <v>364</v>
      </c>
      <c r="V19" s="119" t="s">
        <v>364</v>
      </c>
      <c r="W19" s="119" t="s">
        <v>364</v>
      </c>
      <c r="X19" s="119" t="s">
        <v>364</v>
      </c>
    </row>
    <row r="20" spans="12:24" ht="15">
      <c r="L20" s="154" t="s">
        <v>358</v>
      </c>
      <c r="M20" s="155"/>
      <c r="N20" s="155"/>
      <c r="O20" s="156"/>
      <c r="P20" s="116"/>
      <c r="Q20" s="116">
        <v>14931</v>
      </c>
      <c r="R20" s="116">
        <v>3192.89</v>
      </c>
      <c r="S20" s="116"/>
      <c r="T20" s="120">
        <f>+$R$20</f>
        <v>3192.89</v>
      </c>
      <c r="U20" s="120">
        <f>+$R$20</f>
        <v>3192.89</v>
      </c>
      <c r="V20" s="120">
        <f>+$R$20</f>
        <v>3192.89</v>
      </c>
      <c r="W20" s="120">
        <f>+$R$20</f>
        <v>3192.89</v>
      </c>
      <c r="X20" s="120">
        <f>+$R$20</f>
        <v>3192.89</v>
      </c>
    </row>
    <row r="21" spans="12:24" ht="15">
      <c r="L21" s="154" t="s">
        <v>358</v>
      </c>
      <c r="M21" s="155"/>
      <c r="N21" s="155"/>
      <c r="O21" s="156"/>
      <c r="P21" s="116">
        <v>14931.01</v>
      </c>
      <c r="Q21" s="116">
        <v>44204</v>
      </c>
      <c r="R21" s="116"/>
      <c r="S21" s="115">
        <v>0.2139</v>
      </c>
      <c r="T21" s="120">
        <f>+IF(D11&lt;$P$21,0,IF(D11&gt;$Q$21,(($Q$21-$P$21)*$S$21),((D11-$P$21)*$S$21)))</f>
        <v>0</v>
      </c>
      <c r="U21" s="120">
        <f>+IF(E11&lt;$P$21,0,IF(E11&gt;$Q$21,(($Q$21-$P$21)*$S$21),((E11-$P$21)*$S$21)))</f>
        <v>953.1668181428536</v>
      </c>
      <c r="V21" s="120">
        <f>+IF(F11&lt;$P$21,0,IF(F11&gt;$Q$21,(($Q$21-$P$21)*$S$21),((F11-$P$21)*$S$21)))</f>
        <v>3849.3728181428564</v>
      </c>
      <c r="W21" s="120">
        <f>+IF(G11&lt;$P$21,0,IF(G11&gt;$Q$21,(($Q$21-$P$21)*$S$21),((G11-$P$21)*$S$21)))</f>
        <v>4394.382136294355</v>
      </c>
      <c r="X21" s="120">
        <f>+IF(H11&lt;$P$21,0,IF(H11&gt;$Q$21,(($Q$21-$P$21)*$S$21),((H11-$P$21)*$S$21)))</f>
        <v>4940.024440808884</v>
      </c>
    </row>
    <row r="22" spans="12:24" ht="15">
      <c r="L22" s="154" t="s">
        <v>358</v>
      </c>
      <c r="M22" s="155"/>
      <c r="N22" s="155"/>
      <c r="O22" s="156"/>
      <c r="P22" s="116">
        <v>44204.01</v>
      </c>
      <c r="Q22" s="114"/>
      <c r="R22" s="115"/>
      <c r="S22" s="115">
        <v>0.2239</v>
      </c>
      <c r="T22" s="120">
        <f>+IF(D11&lt;$P$22,0,(D11-$P$22)*$S$22)</f>
        <v>0</v>
      </c>
      <c r="U22" s="120">
        <f>+IF(E11&lt;$P$22,0,(E11-$P$22)*$S$22)</f>
        <v>0</v>
      </c>
      <c r="V22" s="120">
        <f>+IF(F11&lt;$P$22,0,(F11-$P$22)*$S$22)</f>
        <v>0</v>
      </c>
      <c r="W22" s="120">
        <f>+IF(G11&lt;$P$22,0,(G11-$P$22)*$S$22)</f>
        <v>0</v>
      </c>
      <c r="X22" s="120">
        <f>+IF(H11&lt;$P$22,0,(H11-$P$22)*$S$22)</f>
        <v>0</v>
      </c>
    </row>
    <row r="23" spans="4:24" ht="15">
      <c r="D23" s="112"/>
      <c r="S23" s="6" t="s">
        <v>15</v>
      </c>
      <c r="T23" s="118">
        <f>SUM(T20:T22)</f>
        <v>3192.89</v>
      </c>
      <c r="U23" s="118">
        <f>SUM(U20:U22)</f>
        <v>4146.056818142853</v>
      </c>
      <c r="V23" s="118">
        <f>SUM(V20:V22)</f>
        <v>7042.262818142856</v>
      </c>
      <c r="W23" s="118">
        <f>SUM(W20:W22)</f>
        <v>7587.272136294356</v>
      </c>
      <c r="X23" s="118">
        <f>SUM(X20:X22)</f>
        <v>8132.914440808883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showGridLines="0" zoomScalePageLayoutView="0" workbookViewId="0" topLeftCell="A1">
      <selection activeCell="C3" sqref="C3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36</v>
      </c>
      <c r="C3" s="25">
        <f>+MCL!D69+finanziamento!E33+Input!D29+'Mutuo invitalia'!E33+Input!D147</f>
        <v>276910</v>
      </c>
      <c r="D3" s="25">
        <f>+MCL!E69+finanziamento!F33+Input!E29+C3+'Mutuo invitalia'!F33+Input!E147</f>
        <v>533305</v>
      </c>
      <c r="E3" s="25">
        <f>+MCL!F69+finanziamento!G33+Input!F29+D3+'Mutuo invitalia'!G33+Input!F147</f>
        <v>811605</v>
      </c>
      <c r="F3" s="25">
        <f>+MCL!G69+finanziamento!H33+Input!G29+E3+'Mutuo invitalia'!H33+Input!G147</f>
        <v>1095955</v>
      </c>
      <c r="G3" s="25">
        <f>+MCL!H69+finanziamento!I33+Input!H29+F3+'Mutuo invitalia'!I33+Input!H147</f>
        <v>1386355</v>
      </c>
    </row>
    <row r="4" spans="2:7" ht="15">
      <c r="B4" t="s">
        <v>61</v>
      </c>
      <c r="C4" s="25">
        <f>+MCL!M69+Inve!M23+Personale!D23+finanziamento!E34+'Altri costi'!D51+Iva!C27+Irap!E23+Input!D30+MCL!D89+Input!D130+'Mutuo invitalia'!E34</f>
        <v>266073.25</v>
      </c>
      <c r="D4" s="25">
        <f>+MCL!N69+Inve!N23+Personale!E23+finanziamento!F34+'Altri costi'!E51+Iva!D27+Irap!F23+Input!E30+C4+MCL!E89+Input!E130-Input!D130+'Mutuo invitalia'!F34</f>
        <v>465943.16763785714</v>
      </c>
      <c r="E4" s="25">
        <f>+MCL!O69+Inve!O23+Personale!F23+finanziamento!G34+'Altri costi'!F51+Iva!E27+Irap!G23+Input!F30+D4+MCL!F89+Input!F130-Input!E130+'Mutuo invitalia'!G34</f>
        <v>699326.4854616228</v>
      </c>
      <c r="F4" s="25">
        <f>+MCL!P69+Inve!P23+Personale!G23+finanziamento!H34+'Altri costi'!G51+Iva!F27+Irap!H23+Input!G30+E4+MCL!G89+Input!G130-Input!F130+'Mutuo invitalia'!H34</f>
        <v>938326.5091187219</v>
      </c>
      <c r="G4" s="25">
        <f>+MCL!Q69+Inve!Q23+Personale!H23+finanziamento!I34+'Altri costi'!H51+Iva!G27+Irap!I23+Input!H30+F4+MCL!H89+Input!H130-Input!G130+'Mutuo invitalia'!I34</f>
        <v>1180747.1658387377</v>
      </c>
    </row>
    <row r="6" spans="2:7" ht="15">
      <c r="B6" t="s">
        <v>331</v>
      </c>
      <c r="C6" s="85">
        <f>+IF((C3-C4)&gt;0,(C3-C4),0)</f>
        <v>10836.75</v>
      </c>
      <c r="D6" s="85">
        <f>+IF((D3-D4)&gt;0,(D3-D4),0)</f>
        <v>67361.83236214286</v>
      </c>
      <c r="E6" s="85">
        <f>+IF((E3-E4)&gt;0,(E3-E4),0)</f>
        <v>112278.51453837717</v>
      </c>
      <c r="F6" s="85">
        <f>+IF((F3-F4)&gt;0,(F3-F4),0)</f>
        <v>157628.49088127806</v>
      </c>
      <c r="G6" s="85">
        <f>+IF((G3-G4)&gt;0,(G3-G4),0)</f>
        <v>205607.83416126226</v>
      </c>
    </row>
    <row r="7" spans="2:7" ht="15">
      <c r="B7" t="s">
        <v>332</v>
      </c>
      <c r="C7" s="85">
        <f>+IF((C3-C4)&lt;0,-(C3-C4),0)</f>
        <v>0</v>
      </c>
      <c r="D7" s="85">
        <f>+IF((D3-D4)&lt;0,-(D3-D4),0)</f>
        <v>0</v>
      </c>
      <c r="E7" s="85">
        <f>+IF((E3-E4)&lt;0,-(E3-E4),0)</f>
        <v>0</v>
      </c>
      <c r="F7" s="85">
        <f>+IF((F3-F4)&lt;0,-(F3-F4),0)</f>
        <v>0</v>
      </c>
      <c r="G7" s="85">
        <f>+IF((G3-G4)&lt;0,-(G3-G4),0)</f>
        <v>0</v>
      </c>
    </row>
    <row r="9" spans="2:7" ht="15">
      <c r="B9" t="s">
        <v>333</v>
      </c>
      <c r="C9" s="85">
        <f>+C7*Input!$D$123</f>
        <v>0</v>
      </c>
      <c r="D9" s="85">
        <f>+D7*Input!$D$123</f>
        <v>0</v>
      </c>
      <c r="E9" s="85">
        <f>+E7*Input!$D$123</f>
        <v>0</v>
      </c>
      <c r="F9" s="85">
        <f>+F7*Input!$D$123</f>
        <v>0</v>
      </c>
      <c r="G9" s="85">
        <f>+G7*Input!$D$123</f>
        <v>0</v>
      </c>
    </row>
    <row r="10" spans="2:7" ht="15">
      <c r="B10" t="s">
        <v>340</v>
      </c>
      <c r="C10" s="85">
        <f>+C6*Input!D125</f>
        <v>325.10249999999996</v>
      </c>
      <c r="D10" s="85">
        <f>+D6*Input!E125</f>
        <v>0</v>
      </c>
      <c r="E10" s="85">
        <f>+E6*Input!F125</f>
        <v>0</v>
      </c>
      <c r="F10" s="85">
        <f>+F6*Input!G125</f>
        <v>0</v>
      </c>
      <c r="G10" s="85">
        <f>+G6*Input!H125</f>
        <v>0</v>
      </c>
    </row>
    <row r="12" ht="15">
      <c r="B12" t="s">
        <v>343</v>
      </c>
    </row>
    <row r="13" spans="2:7" ht="15">
      <c r="B13" t="s">
        <v>333</v>
      </c>
      <c r="C13" s="85">
        <f>+C7*Input!$D$123</f>
        <v>0</v>
      </c>
      <c r="D13" s="85">
        <f>+D7*Input!$D$123+C13</f>
        <v>0</v>
      </c>
      <c r="E13" s="85">
        <f>+E7*Input!$D$123+D13</f>
        <v>0</v>
      </c>
      <c r="F13" s="85">
        <f>+F7*Input!$D$123+E13</f>
        <v>0</v>
      </c>
      <c r="G13" s="85">
        <f>+G7*Input!$D$123+F13</f>
        <v>0</v>
      </c>
    </row>
    <row r="14" spans="2:7" ht="15">
      <c r="B14" t="s">
        <v>340</v>
      </c>
      <c r="C14" s="85">
        <f>+C6*Input!D125</f>
        <v>325.10249999999996</v>
      </c>
      <c r="D14" s="85">
        <f>+D6*Input!E125+C14</f>
        <v>325.10249999999996</v>
      </c>
      <c r="E14" s="85">
        <f>+E6*Input!F125+D14</f>
        <v>325.10249999999996</v>
      </c>
      <c r="F14" s="85">
        <f>+F6*Input!G125+E14</f>
        <v>325.10249999999996</v>
      </c>
      <c r="G14" s="85">
        <f>+G6*Input!H125+F14</f>
        <v>325.10249999999996</v>
      </c>
    </row>
    <row r="16" spans="2:7" ht="15">
      <c r="B16" t="s">
        <v>335</v>
      </c>
      <c r="C16" s="85">
        <f>+C13</f>
        <v>0</v>
      </c>
      <c r="D16" s="85">
        <f aca="true" t="shared" si="0" ref="D16:G17">+D13</f>
        <v>0</v>
      </c>
      <c r="E16" s="85">
        <f t="shared" si="0"/>
        <v>0</v>
      </c>
      <c r="F16" s="85">
        <f t="shared" si="0"/>
        <v>0</v>
      </c>
      <c r="G16" s="85">
        <f t="shared" si="0"/>
        <v>0</v>
      </c>
    </row>
    <row r="17" spans="2:7" ht="15">
      <c r="B17" t="s">
        <v>341</v>
      </c>
      <c r="C17" s="85">
        <f>+C14</f>
        <v>325.10249999999996</v>
      </c>
      <c r="D17" s="85">
        <f t="shared" si="0"/>
        <v>325.10249999999996</v>
      </c>
      <c r="E17" s="85">
        <f t="shared" si="0"/>
        <v>325.10249999999996</v>
      </c>
      <c r="F17" s="85">
        <f t="shared" si="0"/>
        <v>325.10249999999996</v>
      </c>
      <c r="G17" s="85">
        <f t="shared" si="0"/>
        <v>325.10249999999996</v>
      </c>
    </row>
    <row r="18" spans="3:7" ht="15">
      <c r="C18" s="85"/>
      <c r="D18" s="85"/>
      <c r="E18" s="85"/>
      <c r="F18" s="85"/>
      <c r="G18" s="85"/>
    </row>
    <row r="19" spans="2:7" ht="15">
      <c r="B19" t="s">
        <v>342</v>
      </c>
      <c r="C19" s="85"/>
      <c r="D19" s="85"/>
      <c r="E19" s="85"/>
      <c r="F19" s="85"/>
      <c r="G19" s="85"/>
    </row>
    <row r="20" spans="2:7" ht="15">
      <c r="B20" t="s">
        <v>36</v>
      </c>
      <c r="C20" s="85">
        <f>+C3+C17</f>
        <v>277235.1025</v>
      </c>
      <c r="D20" s="85">
        <f>+D3+D17</f>
        <v>533630.1025</v>
      </c>
      <c r="E20" s="85">
        <f>+E3+E17</f>
        <v>811930.1025</v>
      </c>
      <c r="F20" s="85">
        <f>+F3+F17</f>
        <v>1096280.1025</v>
      </c>
      <c r="G20" s="85">
        <f>+G3+G17</f>
        <v>1386680.1025</v>
      </c>
    </row>
    <row r="21" spans="2:7" ht="15">
      <c r="B21" t="s">
        <v>61</v>
      </c>
      <c r="C21" s="85">
        <f>+C4+C16</f>
        <v>266073.25</v>
      </c>
      <c r="D21" s="85">
        <f>+D4+D16</f>
        <v>465943.16763785714</v>
      </c>
      <c r="E21" s="85">
        <f>+E4+E16</f>
        <v>699326.4854616228</v>
      </c>
      <c r="F21" s="85">
        <f>+F4+F16</f>
        <v>938326.5091187219</v>
      </c>
      <c r="G21" s="85">
        <f>+G4+G16</f>
        <v>1180747.1658387377</v>
      </c>
    </row>
    <row r="23" spans="2:7" ht="15">
      <c r="B23" t="s">
        <v>331</v>
      </c>
      <c r="C23" s="85">
        <f>+IF((C20-C21)&gt;0,(C20-C21),0)</f>
        <v>11161.852499999979</v>
      </c>
      <c r="D23" s="85">
        <f>+IF((D20-D21)&gt;0,(D20-D21),0)</f>
        <v>67686.9348621429</v>
      </c>
      <c r="E23" s="85">
        <f>+IF((E20-E21)&gt;0,(E20-E21),0)</f>
        <v>112603.61703837721</v>
      </c>
      <c r="F23" s="85">
        <f>+IF((F20-F21)&gt;0,(F20-F21),0)</f>
        <v>157953.5933812781</v>
      </c>
      <c r="G23" s="85">
        <f>+IF((G20-G21)&gt;0,(G20-G21),0)</f>
        <v>205932.9366612623</v>
      </c>
    </row>
    <row r="24" spans="2:7" ht="15">
      <c r="B24" t="s">
        <v>332</v>
      </c>
      <c r="C24" s="85">
        <f>+IF((C20-C21)&lt;0,-(C20-C21),0)</f>
        <v>0</v>
      </c>
      <c r="D24" s="85">
        <f>+IF((D20-D21)&lt;0,-(D20-D21),0)</f>
        <v>0</v>
      </c>
      <c r="E24" s="85">
        <f>+IF((E20-E21)&lt;0,-(E20-E21),0)</f>
        <v>0</v>
      </c>
      <c r="F24" s="85">
        <f>+IF((F20-F21)&lt;0,-(F20-F21),0)</f>
        <v>0</v>
      </c>
      <c r="G24" s="85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9"/>
  <sheetViews>
    <sheetView showGridLines="0" zoomScalePageLayoutView="0" workbookViewId="0" topLeftCell="A1">
      <pane xSplit="2" ySplit="3" topLeftCell="C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5" t="s">
        <v>346</v>
      </c>
    </row>
    <row r="3" spans="3:7" ht="15">
      <c r="C3" s="7" t="str">
        <f>+Input!I34</f>
        <v>Anno 1</v>
      </c>
      <c r="D3" s="7" t="str">
        <f>+Input!J34</f>
        <v>Anno 2</v>
      </c>
      <c r="E3" s="7" t="str">
        <f>+Input!K34</f>
        <v>Anno 3</v>
      </c>
      <c r="F3" s="7" t="str">
        <f>+Input!L34</f>
        <v>Anno 4</v>
      </c>
      <c r="G3" s="7" t="str">
        <f>+Input!M34</f>
        <v>Anno 5</v>
      </c>
    </row>
    <row r="4" spans="2:12" ht="15">
      <c r="B4" s="6" t="s">
        <v>32</v>
      </c>
      <c r="C4" s="35">
        <f>+Banca!C23</f>
        <v>11161.852499999979</v>
      </c>
      <c r="D4" s="35">
        <f>+Banca!D23</f>
        <v>67686.9348621429</v>
      </c>
      <c r="E4" s="35">
        <f>+Banca!E23</f>
        <v>112603.61703837721</v>
      </c>
      <c r="F4" s="35">
        <f>+Banca!F23</f>
        <v>157953.5933812781</v>
      </c>
      <c r="G4" s="35">
        <f>+Banca!G23</f>
        <v>205932.9366612623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326</v>
      </c>
      <c r="C6" s="35">
        <f>SUM(C7:C9)</f>
        <v>5940.899999999994</v>
      </c>
      <c r="D6" s="35">
        <f>SUM(D7:D9)</f>
        <v>0</v>
      </c>
      <c r="E6" s="35">
        <f>SUM(E7:E9)</f>
        <v>0</v>
      </c>
      <c r="F6" s="35">
        <f>SUM(F7:F9)</f>
        <v>0</v>
      </c>
      <c r="G6" s="35">
        <f>SUM(G7:G9)</f>
        <v>0</v>
      </c>
      <c r="H6" s="25"/>
      <c r="I6" s="25"/>
      <c r="L6" s="25"/>
    </row>
    <row r="7" spans="2:12" ht="15">
      <c r="B7" t="s">
        <v>17</v>
      </c>
      <c r="C7" s="26">
        <f>+MCL!D41</f>
        <v>0</v>
      </c>
      <c r="D7" s="26">
        <f>+MCL!E41</f>
        <v>0</v>
      </c>
      <c r="E7" s="26">
        <f>+MCL!F41</f>
        <v>0</v>
      </c>
      <c r="F7" s="26">
        <f>+MCL!G41</f>
        <v>0</v>
      </c>
      <c r="G7" s="26">
        <f>+MCL!H41</f>
        <v>0</v>
      </c>
      <c r="I7" s="25"/>
      <c r="L7" s="25"/>
    </row>
    <row r="8" spans="2:8" ht="15">
      <c r="B8" t="s">
        <v>23</v>
      </c>
      <c r="C8" s="26">
        <f>+Iva!C25</f>
        <v>5940.899999999994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297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38</v>
      </c>
      <c r="C11" s="35">
        <f>+MCL!M27</f>
        <v>11970</v>
      </c>
      <c r="D11" s="35">
        <f>+MCL!N27</f>
        <v>13965.000000000002</v>
      </c>
      <c r="E11" s="35">
        <f>+MCL!O27</f>
        <v>16100.000000000002</v>
      </c>
      <c r="F11" s="35">
        <f>+MCL!P27</f>
        <v>16450</v>
      </c>
      <c r="G11" s="35">
        <f>+MCL!Q27</f>
        <v>16800</v>
      </c>
      <c r="H11" s="25"/>
    </row>
    <row r="13" spans="2:7" ht="15">
      <c r="B13" s="7" t="s">
        <v>39</v>
      </c>
      <c r="C13" s="35">
        <f>+C14+C15+C16-C17-C18-C19</f>
        <v>76857.14285714286</v>
      </c>
      <c r="D13" s="35">
        <f>+D14+D15+D16-D17-D18-D19</f>
        <v>58714.28571428572</v>
      </c>
      <c r="E13" s="35">
        <f>+E14+E15+E16-E17-E18-E19</f>
        <v>40571.42857142857</v>
      </c>
      <c r="F13" s="35">
        <f>+F14+F15+F16-F17-F18-F19</f>
        <v>22428.571428571428</v>
      </c>
      <c r="G13" s="35">
        <f>+G14+G15+G16-G17-G18-G19</f>
        <v>4285.714285714286</v>
      </c>
    </row>
    <row r="14" spans="2:7" ht="15">
      <c r="B14" t="s">
        <v>53</v>
      </c>
      <c r="C14" s="26">
        <f>+Input!E62</f>
        <v>80000</v>
      </c>
      <c r="D14" s="26">
        <f>+Input!F62+C14</f>
        <v>80000</v>
      </c>
      <c r="E14" s="26">
        <f>+Input!G62+D14</f>
        <v>80000</v>
      </c>
      <c r="F14" s="26">
        <f>+Input!H62+E14</f>
        <v>80000</v>
      </c>
      <c r="G14" s="26">
        <f>+Input!I62+F14</f>
        <v>80000</v>
      </c>
    </row>
    <row r="15" spans="2:7" ht="15">
      <c r="B15" t="s">
        <v>54</v>
      </c>
      <c r="C15" s="26">
        <f>+Input!E63</f>
        <v>0</v>
      </c>
      <c r="D15" s="26">
        <f>+Input!F63+C15</f>
        <v>0</v>
      </c>
      <c r="E15" s="26">
        <f>+Input!G63+D15</f>
        <v>0</v>
      </c>
      <c r="F15" s="26">
        <f>+Input!H63+E15</f>
        <v>0</v>
      </c>
      <c r="G15" s="26">
        <f>+Input!I63+F15</f>
        <v>0</v>
      </c>
    </row>
    <row r="16" spans="2:7" ht="15">
      <c r="B16" t="s">
        <v>417</v>
      </c>
      <c r="C16" s="26">
        <f>+Inve!D71</f>
        <v>15000</v>
      </c>
      <c r="D16" s="26">
        <f>+Inve!E71</f>
        <v>15000</v>
      </c>
      <c r="E16" s="26">
        <f>+Inve!F71</f>
        <v>15000</v>
      </c>
      <c r="F16" s="26">
        <f>+Inve!G71</f>
        <v>15000</v>
      </c>
      <c r="G16" s="26">
        <f>+Inve!H71</f>
        <v>15000</v>
      </c>
    </row>
    <row r="17" spans="2:7" ht="15">
      <c r="B17" t="s">
        <v>55</v>
      </c>
      <c r="C17" s="26">
        <f>+Inve!D62</f>
        <v>16000</v>
      </c>
      <c r="D17" s="26">
        <f>+Inve!E62</f>
        <v>32000</v>
      </c>
      <c r="E17" s="26">
        <f>+Inve!F62</f>
        <v>48000</v>
      </c>
      <c r="F17" s="26">
        <f>+Inve!G62</f>
        <v>64000</v>
      </c>
      <c r="G17" s="26">
        <f>+Inve!H62</f>
        <v>80000</v>
      </c>
    </row>
    <row r="18" spans="2:7" ht="15">
      <c r="B18" t="s">
        <v>56</v>
      </c>
      <c r="C18" s="26">
        <f>+Inve!D63</f>
        <v>0</v>
      </c>
      <c r="D18" s="26">
        <f>+Inve!E63</f>
        <v>0</v>
      </c>
      <c r="E18" s="26">
        <f>+Inve!F63</f>
        <v>0</v>
      </c>
      <c r="F18" s="26">
        <f>+Inve!G63</f>
        <v>0</v>
      </c>
      <c r="G18" s="26">
        <f>+Inve!H63</f>
        <v>0</v>
      </c>
    </row>
    <row r="19" spans="2:7" ht="15">
      <c r="B19" t="s">
        <v>418</v>
      </c>
      <c r="C19" s="26">
        <f>+Inve!D75</f>
        <v>2142.8571428571427</v>
      </c>
      <c r="D19" s="26">
        <f>+Inve!E75</f>
        <v>4285.714285714285</v>
      </c>
      <c r="E19" s="26">
        <f>+Inve!F75</f>
        <v>6428.5714285714275</v>
      </c>
      <c r="F19" s="26">
        <f>+Inve!G75</f>
        <v>8571.42857142857</v>
      </c>
      <c r="G19" s="26">
        <f>+Inve!H75</f>
        <v>10714.285714285714</v>
      </c>
    </row>
    <row r="20" spans="3:7" ht="15">
      <c r="C20" s="26"/>
      <c r="D20" s="26"/>
      <c r="E20" s="26"/>
      <c r="F20" s="26"/>
      <c r="G20" s="26"/>
    </row>
    <row r="21" spans="2:7" ht="15">
      <c r="B21" t="s">
        <v>394</v>
      </c>
      <c r="C21" s="26">
        <f>+Input!D130</f>
        <v>0</v>
      </c>
      <c r="D21" s="26">
        <f>+Input!E130</f>
        <v>0</v>
      </c>
      <c r="E21" s="26">
        <f>+Input!F130</f>
        <v>0</v>
      </c>
      <c r="F21" s="26">
        <f>+Input!G130</f>
        <v>0</v>
      </c>
      <c r="G21" s="26">
        <f>+Input!H130</f>
        <v>0</v>
      </c>
    </row>
    <row r="23" spans="2:12" ht="15">
      <c r="B23" s="6" t="s">
        <v>28</v>
      </c>
      <c r="C23" s="35">
        <f>+C13+C11+C6+C4+C21</f>
        <v>105929.89535714283</v>
      </c>
      <c r="D23" s="35">
        <f>+D13+D11+D6+D4+D21</f>
        <v>140366.22057642863</v>
      </c>
      <c r="E23" s="35">
        <f>+E13+E11+E6+E4+E21</f>
        <v>169275.0456098058</v>
      </c>
      <c r="F23" s="35">
        <f>+F13+F11+F6+F4+F21</f>
        <v>196832.16480984952</v>
      </c>
      <c r="G23" s="35">
        <f>+G13+G11+G6+G4+G21</f>
        <v>227018.6509469766</v>
      </c>
      <c r="H23" s="35"/>
      <c r="L23" s="25"/>
    </row>
    <row r="25" ht="15">
      <c r="D25" s="25"/>
    </row>
    <row r="26" spans="4:12" ht="15">
      <c r="D26" s="25"/>
      <c r="L26" s="25"/>
    </row>
    <row r="27" spans="2:8" ht="15">
      <c r="B27" s="6" t="s">
        <v>33</v>
      </c>
      <c r="C27" s="35">
        <f>+Banca!C24</f>
        <v>0</v>
      </c>
      <c r="D27" s="35">
        <f>+Banca!D24</f>
        <v>0</v>
      </c>
      <c r="E27" s="35">
        <f>+Banca!E24</f>
        <v>0</v>
      </c>
      <c r="F27" s="35">
        <f>+Banca!F24</f>
        <v>0</v>
      </c>
      <c r="G27" s="35">
        <f>+Banca!G24</f>
        <v>0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327</v>
      </c>
      <c r="C29" s="35">
        <f>SUM(C30:C33)</f>
        <v>27347.37756892857</v>
      </c>
      <c r="D29" s="35">
        <f>SUM(D30:D33)</f>
        <v>27377.128502500003</v>
      </c>
      <c r="E29" s="35">
        <f>SUM(E30:E33)</f>
        <v>31265.596835833338</v>
      </c>
      <c r="F29" s="35">
        <f>SUM(F30:F33)</f>
        <v>31501.72989875016</v>
      </c>
      <c r="G29" s="35">
        <f>SUM(G30:G33)</f>
        <v>32066.71587292532</v>
      </c>
      <c r="H29" s="25"/>
    </row>
    <row r="30" spans="2:12" ht="15">
      <c r="B30" t="s">
        <v>22</v>
      </c>
      <c r="C30" s="26">
        <f>+MCL!D55</f>
        <v>16897.649999999998</v>
      </c>
      <c r="D30" s="26">
        <f>+MCL!E55</f>
        <v>17299.975000000002</v>
      </c>
      <c r="E30" s="26">
        <f>+MCL!F55</f>
        <v>19911.558333333338</v>
      </c>
      <c r="F30" s="26">
        <f>+MCL!G55</f>
        <v>19975.083333333336</v>
      </c>
      <c r="G30" s="26">
        <f>+MCL!H55</f>
        <v>20398.583333333336</v>
      </c>
      <c r="L30" s="25"/>
    </row>
    <row r="31" spans="2:12" ht="15">
      <c r="B31" t="s">
        <v>62</v>
      </c>
      <c r="C31" s="26">
        <f>+Inve!M15</f>
        <v>8470</v>
      </c>
      <c r="D31" s="26">
        <f>+Inve!N15+C31</f>
        <v>8470</v>
      </c>
      <c r="E31" s="26">
        <f>+Inve!O15+D31</f>
        <v>8470</v>
      </c>
      <c r="F31" s="26">
        <f>+Inve!P15+E31</f>
        <v>8470</v>
      </c>
      <c r="G31" s="26">
        <f>+Inve!Q15+F31</f>
        <v>8470</v>
      </c>
      <c r="L31" s="25"/>
    </row>
    <row r="32" spans="2:12" ht="15">
      <c r="B32" t="s">
        <v>298</v>
      </c>
      <c r="C32" s="26">
        <f>+Irap!E20</f>
        <v>1979.7275689285714</v>
      </c>
      <c r="D32" s="26">
        <f>+Irap!F20</f>
        <v>520.8410024999998</v>
      </c>
      <c r="E32" s="26">
        <f>+Irap!G20</f>
        <v>1048.9010025000007</v>
      </c>
      <c r="F32" s="26">
        <f>+Irap!H20</f>
        <v>1148.2715654168242</v>
      </c>
      <c r="G32" s="26">
        <f>+Irap!I20</f>
        <v>1247.757539591983</v>
      </c>
      <c r="L32" s="25"/>
    </row>
    <row r="33" spans="2:8" ht="15">
      <c r="B33" t="s">
        <v>19</v>
      </c>
      <c r="C33" s="26">
        <f>+Iva!C26</f>
        <v>0</v>
      </c>
      <c r="D33" s="26">
        <f>+Iva!D26</f>
        <v>1086.3125</v>
      </c>
      <c r="E33" s="26">
        <f>+Iva!E26</f>
        <v>1835.1375000000007</v>
      </c>
      <c r="F33" s="26">
        <f>+Iva!F26</f>
        <v>1908.375</v>
      </c>
      <c r="G33" s="26">
        <f>+Iva!G26</f>
        <v>1950.375</v>
      </c>
      <c r="H33" s="25"/>
    </row>
    <row r="34" spans="3:8" ht="15">
      <c r="C34" s="26"/>
      <c r="D34" s="26"/>
      <c r="E34" s="26"/>
      <c r="F34" s="26"/>
      <c r="G34" s="26"/>
      <c r="H34" s="25"/>
    </row>
    <row r="35" spans="2:8" ht="15">
      <c r="B35" s="6" t="s">
        <v>330</v>
      </c>
      <c r="C35" s="35">
        <f>SUM(C36:C40)</f>
        <v>72400</v>
      </c>
      <c r="D35" s="35">
        <f>SUM(D36:D40)</f>
        <v>89920</v>
      </c>
      <c r="E35" s="35">
        <f>SUM(E36:E40)</f>
        <v>85041.84241432951</v>
      </c>
      <c r="F35" s="35">
        <f>SUM(F36:F40)</f>
        <v>80015.72167694561</v>
      </c>
      <c r="G35" s="35">
        <f>SUM(G36:G40)</f>
        <v>74838.67852481404</v>
      </c>
      <c r="H35" s="25"/>
    </row>
    <row r="36" spans="2:8" ht="15">
      <c r="B36" t="s">
        <v>328</v>
      </c>
      <c r="C36" s="26">
        <f>+Personale!D22</f>
        <v>2400</v>
      </c>
      <c r="D36" s="26">
        <f>+Personale!E22+C36</f>
        <v>4920</v>
      </c>
      <c r="E36" s="26">
        <f>+Personale!F22+D36</f>
        <v>7440</v>
      </c>
      <c r="F36" s="26">
        <f>+Personale!G22+E36</f>
        <v>9960</v>
      </c>
      <c r="G36" s="26">
        <f>+Personale!H22+F36</f>
        <v>12480</v>
      </c>
      <c r="H36" s="25"/>
    </row>
    <row r="37" spans="2:8" ht="15">
      <c r="B37" t="s">
        <v>401</v>
      </c>
      <c r="C37" s="26">
        <f>+'Mutuo invitalia'!E22</f>
        <v>55000</v>
      </c>
      <c r="D37" s="26">
        <f>+'Mutuo invitalia'!F22</f>
        <v>55000</v>
      </c>
      <c r="E37" s="26">
        <f>+'Mutuo invitalia'!G22</f>
        <v>47601.84241432951</v>
      </c>
      <c r="F37" s="26">
        <f>+'Mutuo invitalia'!H22</f>
        <v>40055.72167694561</v>
      </c>
      <c r="G37" s="26">
        <f>+'Mutuo invitalia'!I22</f>
        <v>32358.678524814037</v>
      </c>
      <c r="H37" s="25"/>
    </row>
    <row r="38" spans="2:8" ht="15">
      <c r="B38" t="s">
        <v>223</v>
      </c>
      <c r="C38" s="102">
        <f>+finanziamento!E22</f>
        <v>0</v>
      </c>
      <c r="D38" s="102">
        <f>+finanziamento!F22</f>
        <v>0</v>
      </c>
      <c r="E38" s="102">
        <f>+finanziamento!G22</f>
        <v>0</v>
      </c>
      <c r="F38" s="102">
        <f>+finanziamento!H22</f>
        <v>0</v>
      </c>
      <c r="G38" s="102">
        <f>+finanziamento!I22</f>
        <v>0</v>
      </c>
      <c r="H38" s="25"/>
    </row>
    <row r="39" spans="2:8" ht="15">
      <c r="B39" t="s">
        <v>406</v>
      </c>
      <c r="C39" s="102">
        <f>+Input!D147</f>
        <v>15000</v>
      </c>
      <c r="D39" s="102">
        <f>+C39+Input!E147</f>
        <v>30000</v>
      </c>
      <c r="E39" s="102">
        <f>+D39+Input!F147</f>
        <v>30000</v>
      </c>
      <c r="F39" s="102">
        <f>+E39+Input!G147</f>
        <v>30000</v>
      </c>
      <c r="G39" s="102">
        <f>+F39+Input!H147</f>
        <v>30000</v>
      </c>
      <c r="H39" s="25"/>
    </row>
    <row r="40" spans="2:8" ht="15">
      <c r="B40" t="s">
        <v>329</v>
      </c>
      <c r="C40" s="102">
        <f>+Input!D29</f>
        <v>0</v>
      </c>
      <c r="D40" s="102">
        <f>+C40+Input!E29</f>
        <v>0</v>
      </c>
      <c r="E40" s="102">
        <f>+D40+Input!F29</f>
        <v>0</v>
      </c>
      <c r="F40" s="102">
        <f>+E40+Input!G29</f>
        <v>0</v>
      </c>
      <c r="G40" s="102">
        <f>+F40+Input!H29</f>
        <v>0</v>
      </c>
      <c r="H40" s="25"/>
    </row>
    <row r="42" spans="2:7" ht="15">
      <c r="B42" s="6" t="s">
        <v>249</v>
      </c>
      <c r="C42" s="35">
        <f>SUM(C43:C44)</f>
        <v>6182.517788214283</v>
      </c>
      <c r="D42" s="35">
        <f>SUM(D43:D44)</f>
        <v>23069.09207392855</v>
      </c>
      <c r="E42" s="35">
        <f>SUM(E43:E44)</f>
        <v>52967.606359642836</v>
      </c>
      <c r="F42" s="35">
        <f>SUM(F43:F44)</f>
        <v>85314.7132341537</v>
      </c>
      <c r="G42" s="35">
        <f>SUM(G43:G44)</f>
        <v>120113.25654923709</v>
      </c>
    </row>
    <row r="43" spans="2:8" ht="15">
      <c r="B43" t="s">
        <v>31</v>
      </c>
      <c r="D43" s="26">
        <f>+C43+C44</f>
        <v>6182.517788214283</v>
      </c>
      <c r="E43" s="26">
        <f>+D43+D44</f>
        <v>23069.09207392855</v>
      </c>
      <c r="F43" s="26">
        <f>+E43+E44</f>
        <v>52967.606359642836</v>
      </c>
      <c r="G43" s="26">
        <f>+F43+F44</f>
        <v>85314.7132341537</v>
      </c>
      <c r="H43" s="25"/>
    </row>
    <row r="44" spans="2:9" ht="15">
      <c r="B44" t="s">
        <v>30</v>
      </c>
      <c r="C44" s="26">
        <f>+'CE'!D55</f>
        <v>6182.517788214283</v>
      </c>
      <c r="D44" s="26">
        <f>+'CE'!E55-Input!E30</f>
        <v>16886.57428571427</v>
      </c>
      <c r="E44" s="26">
        <f>+'CE'!F55-Input!F30</f>
        <v>29898.514285714286</v>
      </c>
      <c r="F44" s="26">
        <f>+'CE'!G55-Input!G30</f>
        <v>32347.10687451087</v>
      </c>
      <c r="G44" s="26">
        <f>+'CE'!H55-Input!H30</f>
        <v>34798.54331508339</v>
      </c>
      <c r="H44" s="25"/>
      <c r="I44" s="25"/>
    </row>
    <row r="45" spans="2:8" ht="15">
      <c r="B45" s="6" t="s">
        <v>29</v>
      </c>
      <c r="C45" s="35">
        <f>+C27+C29+C35+C42</f>
        <v>105929.89535714286</v>
      </c>
      <c r="D45" s="35">
        <f>+D27+D29+D35+D42</f>
        <v>140366.22057642858</v>
      </c>
      <c r="E45" s="35">
        <f>+E27+E29+E35+E42</f>
        <v>169275.04560980567</v>
      </c>
      <c r="F45" s="35">
        <f>+F27+F29+F35+F42</f>
        <v>196832.16480984946</v>
      </c>
      <c r="G45" s="35">
        <f>+G27+G29+G35+G42</f>
        <v>227018.65094697644</v>
      </c>
      <c r="H45" s="35"/>
    </row>
    <row r="47" spans="2:7" ht="15">
      <c r="B47" s="6" t="s">
        <v>322</v>
      </c>
      <c r="C47" s="25">
        <f>+C23-C45</f>
        <v>0</v>
      </c>
      <c r="D47" s="25">
        <f>+D23-D45</f>
        <v>0</v>
      </c>
      <c r="E47" s="25">
        <f>+E23-E45</f>
        <v>0</v>
      </c>
      <c r="F47" s="25">
        <f>+F23-F45</f>
        <v>0</v>
      </c>
      <c r="G47" s="25">
        <f>+G23-G45</f>
        <v>0</v>
      </c>
    </row>
    <row r="48" spans="3:7" ht="15">
      <c r="C48" s="25"/>
      <c r="D48" s="25"/>
      <c r="E48" s="25">
        <f>+E47-D47</f>
        <v>0</v>
      </c>
      <c r="F48" s="25">
        <f>+F47-E47</f>
        <v>0</v>
      </c>
      <c r="G48" s="25">
        <f>+G47-F47</f>
        <v>0</v>
      </c>
    </row>
    <row r="49" spans="5:7" ht="15">
      <c r="E49" s="25"/>
      <c r="F49" s="25"/>
      <c r="G49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showGridLines="0" zoomScalePageLayoutView="0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" sqref="F3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5" t="s">
        <v>346</v>
      </c>
    </row>
    <row r="2" spans="4:8" ht="15">
      <c r="D2" s="7" t="str">
        <f>+Input!I34</f>
        <v>Anno 1</v>
      </c>
      <c r="E2" s="7" t="str">
        <f>+Input!J34</f>
        <v>Anno 2</v>
      </c>
      <c r="F2" s="7" t="str">
        <f>+Input!K34</f>
        <v>Anno 3</v>
      </c>
      <c r="G2" s="7" t="str">
        <f>+Input!L34</f>
        <v>Anno 4</v>
      </c>
      <c r="H2" s="7" t="str">
        <f>+Input!M34</f>
        <v>Anno 5</v>
      </c>
    </row>
    <row r="3" spans="2:8" ht="15">
      <c r="B3" s="6" t="s">
        <v>0</v>
      </c>
      <c r="C3" s="6"/>
      <c r="D3" s="35">
        <f>+MCL!D13</f>
        <v>171000</v>
      </c>
      <c r="E3" s="35">
        <f>+MCL!E13</f>
        <v>199500</v>
      </c>
      <c r="F3" s="35">
        <f>+MCL!F13</f>
        <v>230000</v>
      </c>
      <c r="G3" s="35">
        <f>+MCL!G13</f>
        <v>235000</v>
      </c>
      <c r="H3" s="35">
        <f>+MCL!H13</f>
        <v>240000</v>
      </c>
    </row>
    <row r="5" spans="2:8" ht="15">
      <c r="B5" s="6" t="s">
        <v>386</v>
      </c>
      <c r="D5" s="35">
        <f>+D7-D8+D6</f>
        <v>71820</v>
      </c>
      <c r="E5" s="35">
        <f>+E7-E8+E6</f>
        <v>83790.00000000001</v>
      </c>
      <c r="F5" s="35">
        <f>+F7-F8+F6</f>
        <v>96600.00000000001</v>
      </c>
      <c r="G5" s="35">
        <f>+G7-G8+G6</f>
        <v>98700.00000000001</v>
      </c>
      <c r="H5" s="35">
        <f>+H7-H8+H6</f>
        <v>100800.00000000001</v>
      </c>
    </row>
    <row r="6" spans="2:8" ht="15">
      <c r="B6" t="s">
        <v>413</v>
      </c>
      <c r="D6" s="35"/>
      <c r="E6" s="35">
        <f>+D8</f>
        <v>11970</v>
      </c>
      <c r="F6" s="35">
        <f>+E8</f>
        <v>13965.000000000002</v>
      </c>
      <c r="G6" s="35">
        <f>+F8</f>
        <v>16100.000000000002</v>
      </c>
      <c r="H6" s="35">
        <f>+G8</f>
        <v>16450</v>
      </c>
    </row>
    <row r="7" spans="2:8" ht="15">
      <c r="B7" t="s">
        <v>9</v>
      </c>
      <c r="C7" s="6"/>
      <c r="D7" s="35">
        <f>+MCL!D27+MCL!M27</f>
        <v>83790</v>
      </c>
      <c r="E7" s="35">
        <f>+MCL!E27+MCL!N27-MCL!M27</f>
        <v>85785.00000000001</v>
      </c>
      <c r="F7" s="35">
        <f>+MCL!F27+MCL!O27-MCL!N27</f>
        <v>98735.00000000001</v>
      </c>
      <c r="G7" s="35">
        <f>+MCL!G27+MCL!P27-MCL!O27</f>
        <v>99050.00000000001</v>
      </c>
      <c r="H7" s="35">
        <f>+MCL!H27+MCL!Q27-MCL!P27</f>
        <v>101150.00000000001</v>
      </c>
    </row>
    <row r="8" spans="2:8" ht="15">
      <c r="B8" t="s">
        <v>414</v>
      </c>
      <c r="C8" s="6"/>
      <c r="D8" s="35">
        <f>+MCL!M27</f>
        <v>11970</v>
      </c>
      <c r="E8" s="35">
        <f>+MCL!N27</f>
        <v>13965.000000000002</v>
      </c>
      <c r="F8" s="35">
        <f>+MCL!O27</f>
        <v>16100.000000000002</v>
      </c>
      <c r="G8" s="35">
        <f>+MCL!P27</f>
        <v>16450</v>
      </c>
      <c r="H8" s="35">
        <f>+MCL!Q27</f>
        <v>16800</v>
      </c>
    </row>
    <row r="9" spans="3:8" ht="15">
      <c r="C9" s="6"/>
      <c r="D9" s="35"/>
      <c r="E9" s="35"/>
      <c r="F9" s="35"/>
      <c r="G9" s="35"/>
      <c r="H9" s="35"/>
    </row>
    <row r="10" spans="2:8" ht="15">
      <c r="B10" t="s">
        <v>385</v>
      </c>
      <c r="C10" s="6"/>
      <c r="D10" s="35">
        <f>+MCL!D74</f>
        <v>8550</v>
      </c>
      <c r="E10" s="35">
        <f>+MCL!E74</f>
        <v>9975</v>
      </c>
      <c r="F10" s="35">
        <f>+MCL!F74</f>
        <v>11500</v>
      </c>
      <c r="G10" s="35">
        <f>+MCL!G74</f>
        <v>11750</v>
      </c>
      <c r="H10" s="35">
        <f>+MCL!H74</f>
        <v>12000</v>
      </c>
    </row>
    <row r="11" spans="4:8" ht="15">
      <c r="D11" s="26"/>
      <c r="E11" s="26"/>
      <c r="F11" s="26"/>
      <c r="G11" s="26"/>
      <c r="H11" s="26"/>
    </row>
    <row r="12" spans="2:8" ht="15">
      <c r="B12" s="6" t="s">
        <v>323</v>
      </c>
      <c r="C12" s="6"/>
      <c r="D12" s="35">
        <f>+D3-D5-D10</f>
        <v>90630</v>
      </c>
      <c r="E12" s="35">
        <f>+E3-E5-E10</f>
        <v>105734.99999999999</v>
      </c>
      <c r="F12" s="35">
        <f>+F3-F5-F10</f>
        <v>121900</v>
      </c>
      <c r="G12" s="35">
        <f>+G3-G5-G10</f>
        <v>124550</v>
      </c>
      <c r="H12" s="35">
        <f>+H3-H5-H10</f>
        <v>127200</v>
      </c>
    </row>
    <row r="13" spans="2:8" ht="15">
      <c r="B13" t="s">
        <v>415</v>
      </c>
      <c r="D13" s="130">
        <f>+D12/D3</f>
        <v>0.53</v>
      </c>
      <c r="E13" s="130">
        <f>+E12/E3</f>
        <v>0.5299999999999999</v>
      </c>
      <c r="F13" s="130">
        <f>+F12/F3</f>
        <v>0.53</v>
      </c>
      <c r="G13" s="130">
        <f>+G12/G3</f>
        <v>0.53</v>
      </c>
      <c r="H13" s="130">
        <f>+H12/H3</f>
        <v>0.53</v>
      </c>
    </row>
    <row r="15" spans="2:8" ht="15">
      <c r="B15" s="6" t="s">
        <v>225</v>
      </c>
      <c r="C15" s="6"/>
      <c r="D15" s="35">
        <f>SUM(D16:D36)</f>
        <v>22050</v>
      </c>
      <c r="E15" s="35">
        <f>SUM(E16:E36)</f>
        <v>23475</v>
      </c>
      <c r="F15" s="35">
        <f>SUM(F16:F36)</f>
        <v>25000</v>
      </c>
      <c r="G15" s="35">
        <f>SUM(G16:G36)</f>
        <v>25250</v>
      </c>
      <c r="H15" s="35">
        <f>SUM(H16:H36)</f>
        <v>25500</v>
      </c>
    </row>
    <row r="16" spans="2:8" ht="15">
      <c r="B16" t="str">
        <f>+Input!C99</f>
        <v>spese utenze</v>
      </c>
      <c r="D16" s="26">
        <f>+Input!F99</f>
        <v>1800</v>
      </c>
      <c r="E16" s="26">
        <f>+Input!G99</f>
        <v>1800</v>
      </c>
      <c r="F16" s="26">
        <f>+Input!H99</f>
        <v>1800</v>
      </c>
      <c r="G16" s="26">
        <f>+Input!I99</f>
        <v>1800</v>
      </c>
      <c r="H16" s="26">
        <f>+Input!J99</f>
        <v>1800</v>
      </c>
    </row>
    <row r="17" spans="2:8" ht="15">
      <c r="B17" t="str">
        <f>+Input!C100</f>
        <v>spese di rappresentanza</v>
      </c>
      <c r="D17" s="26">
        <f>+Input!F100</f>
        <v>0</v>
      </c>
      <c r="E17" s="26">
        <f>+Input!G100</f>
        <v>0</v>
      </c>
      <c r="F17" s="26">
        <f>+Input!H100</f>
        <v>0</v>
      </c>
      <c r="G17" s="26">
        <f>+Input!I100</f>
        <v>0</v>
      </c>
      <c r="H17" s="26">
        <f>+Input!J100</f>
        <v>0</v>
      </c>
    </row>
    <row r="18" spans="2:8" ht="15">
      <c r="B18" t="str">
        <f>+Input!C101</f>
        <v>spese di pubblicità e promozioni</v>
      </c>
      <c r="D18" s="26">
        <f>+Input!F101</f>
        <v>0</v>
      </c>
      <c r="E18" s="26">
        <f>+Input!G101</f>
        <v>0</v>
      </c>
      <c r="F18" s="26">
        <f>+Input!H101</f>
        <v>0</v>
      </c>
      <c r="G18" s="26">
        <f>+Input!I101</f>
        <v>0</v>
      </c>
      <c r="H18" s="26">
        <f>+Input!J101</f>
        <v>0</v>
      </c>
    </row>
    <row r="19" spans="2:8" ht="15">
      <c r="B19" t="str">
        <f>+Input!C102</f>
        <v>beni strumentali inf. al milione</v>
      </c>
      <c r="D19" s="26">
        <f>+Input!F102</f>
        <v>0</v>
      </c>
      <c r="E19" s="26">
        <f>+Input!G102</f>
        <v>0</v>
      </c>
      <c r="F19" s="26">
        <f>+Input!H102</f>
        <v>0</v>
      </c>
      <c r="G19" s="26">
        <f>+Input!I102</f>
        <v>0</v>
      </c>
      <c r="H19" s="26">
        <f>+Input!J102</f>
        <v>0</v>
      </c>
    </row>
    <row r="20" spans="2:8" ht="15">
      <c r="B20" t="str">
        <f>+Input!C103</f>
        <v>spese di trasporto</v>
      </c>
      <c r="D20" s="26">
        <f>+Input!F103</f>
        <v>0</v>
      </c>
      <c r="E20" s="26">
        <f>+Input!G103</f>
        <v>0</v>
      </c>
      <c r="F20" s="26">
        <f>+Input!H103</f>
        <v>0</v>
      </c>
      <c r="G20" s="26">
        <f>+Input!I103</f>
        <v>0</v>
      </c>
      <c r="H20" s="26">
        <f>+Input!J103</f>
        <v>0</v>
      </c>
    </row>
    <row r="21" spans="2:8" ht="15">
      <c r="B21" t="str">
        <f>+Input!C104</f>
        <v>lavorazioni presso terzi</v>
      </c>
      <c r="D21" s="26">
        <f>+Input!F104</f>
        <v>0</v>
      </c>
      <c r="E21" s="26">
        <f>+Input!G104</f>
        <v>0</v>
      </c>
      <c r="F21" s="26">
        <f>+Input!H104</f>
        <v>0</v>
      </c>
      <c r="G21" s="26">
        <f>+Input!I104</f>
        <v>0</v>
      </c>
      <c r="H21" s="26">
        <f>+Input!J104</f>
        <v>0</v>
      </c>
    </row>
    <row r="22" spans="2:8" ht="15">
      <c r="B22" t="str">
        <f>+Input!C105</f>
        <v>consulenze legali, fiscali, notarili, ecc…</v>
      </c>
      <c r="D22" s="26">
        <f>+Input!F105</f>
        <v>600</v>
      </c>
      <c r="E22" s="26">
        <f>+Input!G105</f>
        <v>600</v>
      </c>
      <c r="F22" s="26">
        <f>+Input!H105</f>
        <v>600</v>
      </c>
      <c r="G22" s="26">
        <f>+Input!I105</f>
        <v>600</v>
      </c>
      <c r="H22" s="26">
        <f>+Input!J105</f>
        <v>600</v>
      </c>
    </row>
    <row r="23" spans="2:8" ht="15">
      <c r="B23" t="str">
        <f>+Input!C106</f>
        <v>compensi amministratori</v>
      </c>
      <c r="D23" s="26">
        <f>+Input!F106</f>
        <v>0</v>
      </c>
      <c r="E23" s="26">
        <f>+Input!G106</f>
        <v>0</v>
      </c>
      <c r="F23" s="26">
        <f>+Input!H106</f>
        <v>0</v>
      </c>
      <c r="G23" s="26">
        <f>+Input!I106</f>
        <v>0</v>
      </c>
      <c r="H23" s="26">
        <f>+Input!J106</f>
        <v>0</v>
      </c>
    </row>
    <row r="24" spans="2:8" ht="15">
      <c r="B24" t="str">
        <f>+Input!C107</f>
        <v>affitti </v>
      </c>
      <c r="D24" s="26">
        <f>+Input!F107</f>
        <v>9600</v>
      </c>
      <c r="E24" s="26">
        <f>+Input!G107</f>
        <v>9600</v>
      </c>
      <c r="F24" s="26">
        <f>+Input!H107</f>
        <v>9600</v>
      </c>
      <c r="G24" s="26">
        <f>+Input!I107</f>
        <v>9600</v>
      </c>
      <c r="H24" s="26">
        <f>+Input!J107</f>
        <v>9600</v>
      </c>
    </row>
    <row r="25" spans="2:8" ht="15">
      <c r="B25" t="str">
        <f>+Input!C108</f>
        <v>altri costi amministrativi</v>
      </c>
      <c r="D25" s="26">
        <f>+Input!F108</f>
        <v>0</v>
      </c>
      <c r="E25" s="26">
        <f>+Input!G108</f>
        <v>0</v>
      </c>
      <c r="F25" s="26">
        <f>+Input!H108</f>
        <v>0</v>
      </c>
      <c r="G25" s="26">
        <f>+Input!I108</f>
        <v>0</v>
      </c>
      <c r="H25" s="26">
        <f>+Input!J108</f>
        <v>0</v>
      </c>
    </row>
    <row r="26" spans="2:8" ht="15">
      <c r="B26" t="str">
        <f>+Input!C109</f>
        <v>Costi diversi</v>
      </c>
      <c r="D26" s="26">
        <f>+Input!F109</f>
        <v>1000</v>
      </c>
      <c r="E26" s="26">
        <f>+Input!G109</f>
        <v>1000</v>
      </c>
      <c r="F26" s="26">
        <f>+Input!H109</f>
        <v>1000</v>
      </c>
      <c r="G26" s="26">
        <f>+Input!I109</f>
        <v>1000</v>
      </c>
      <c r="H26" s="26">
        <f>+Input!J109</f>
        <v>1000</v>
      </c>
    </row>
    <row r="27" spans="2:8" ht="15">
      <c r="B27" t="str">
        <f>+Input!C110</f>
        <v>Premi assicurativi</v>
      </c>
      <c r="D27" s="26">
        <f>+Input!F110</f>
        <v>500</v>
      </c>
      <c r="E27" s="26">
        <f>+Input!G110</f>
        <v>500</v>
      </c>
      <c r="F27" s="26">
        <f>+Input!H110</f>
        <v>500</v>
      </c>
      <c r="G27" s="26">
        <f>+Input!I110</f>
        <v>500</v>
      </c>
      <c r="H27" s="26">
        <f>+Input!J110</f>
        <v>500</v>
      </c>
    </row>
    <row r="28" spans="2:8" ht="15">
      <c r="B28" t="str">
        <f>+Input!C111</f>
        <v>Costo annuale fidejussione</v>
      </c>
      <c r="D28" s="26">
        <f>+Input!F111</f>
        <v>0</v>
      </c>
      <c r="E28" s="26">
        <f>+Input!G111</f>
        <v>0</v>
      </c>
      <c r="F28" s="26">
        <f>+Input!H111</f>
        <v>0</v>
      </c>
      <c r="G28" s="26">
        <f>+Input!I111</f>
        <v>0</v>
      </c>
      <c r="H28" s="26">
        <f>+Input!J111</f>
        <v>0</v>
      </c>
    </row>
    <row r="29" spans="2:8" ht="15">
      <c r="B29" t="str">
        <f>+Input!C112</f>
        <v>Royalties Franchising</v>
      </c>
      <c r="D29" s="26">
        <f>+Input!F112</f>
        <v>8550</v>
      </c>
      <c r="E29" s="26">
        <f>+Input!G112</f>
        <v>9975</v>
      </c>
      <c r="F29" s="26">
        <f>+Input!H112</f>
        <v>11500</v>
      </c>
      <c r="G29" s="26">
        <f>+Input!I112</f>
        <v>11750</v>
      </c>
      <c r="H29" s="26">
        <f>+Input!J112</f>
        <v>12000</v>
      </c>
    </row>
    <row r="30" spans="2:8" ht="15">
      <c r="B30" t="str">
        <f>+Input!C113</f>
        <v>Altri costi 3</v>
      </c>
      <c r="D30" s="26">
        <f>+Input!F113</f>
        <v>0</v>
      </c>
      <c r="E30" s="26">
        <f>+Input!G113</f>
        <v>0</v>
      </c>
      <c r="F30" s="26">
        <f>+Input!H113</f>
        <v>0</v>
      </c>
      <c r="G30" s="26">
        <f>+Input!I113</f>
        <v>0</v>
      </c>
      <c r="H30" s="26">
        <f>+Input!J113</f>
        <v>0</v>
      </c>
    </row>
    <row r="31" spans="2:8" ht="15">
      <c r="B31" t="str">
        <f>+Input!C114</f>
        <v>Altri costi 4</v>
      </c>
      <c r="D31" s="26">
        <f>+Input!F114</f>
        <v>0</v>
      </c>
      <c r="E31" s="26">
        <f>+Input!G114</f>
        <v>0</v>
      </c>
      <c r="F31" s="26">
        <f>+Input!H114</f>
        <v>0</v>
      </c>
      <c r="G31" s="26">
        <f>+Input!I114</f>
        <v>0</v>
      </c>
      <c r="H31" s="26">
        <f>+Input!J114</f>
        <v>0</v>
      </c>
    </row>
    <row r="32" spans="2:8" ht="15">
      <c r="B32" t="str">
        <f>+Input!C115</f>
        <v>Altri costi 5</v>
      </c>
      <c r="D32" s="26">
        <f>+Input!F115</f>
        <v>0</v>
      </c>
      <c r="E32" s="26">
        <f>+Input!G115</f>
        <v>0</v>
      </c>
      <c r="F32" s="26">
        <f>+Input!H115</f>
        <v>0</v>
      </c>
      <c r="G32" s="26">
        <f>+Input!I115</f>
        <v>0</v>
      </c>
      <c r="H32" s="26">
        <f>+Input!J115</f>
        <v>0</v>
      </c>
    </row>
    <row r="33" spans="2:8" ht="15">
      <c r="B33" t="str">
        <f>+Input!C116</f>
        <v>Altri costi 6</v>
      </c>
      <c r="D33" s="26">
        <f>+Input!F116</f>
        <v>0</v>
      </c>
      <c r="E33" s="26">
        <f>+Input!G116</f>
        <v>0</v>
      </c>
      <c r="F33" s="26">
        <f>+Input!H116</f>
        <v>0</v>
      </c>
      <c r="G33" s="26">
        <f>+Input!I116</f>
        <v>0</v>
      </c>
      <c r="H33" s="26">
        <f>+Input!J116</f>
        <v>0</v>
      </c>
    </row>
    <row r="34" spans="2:8" ht="15">
      <c r="B34" t="str">
        <f>+Input!C117</f>
        <v>Altri costi 7</v>
      </c>
      <c r="D34" s="26">
        <f>+Input!F117</f>
        <v>0</v>
      </c>
      <c r="E34" s="26">
        <f>+Input!G117</f>
        <v>0</v>
      </c>
      <c r="F34" s="26">
        <f>+Input!H117</f>
        <v>0</v>
      </c>
      <c r="G34" s="26">
        <f>+Input!I117</f>
        <v>0</v>
      </c>
      <c r="H34" s="26">
        <f>+Input!J117</f>
        <v>0</v>
      </c>
    </row>
    <row r="35" spans="2:8" ht="15">
      <c r="B35" t="str">
        <f>+Input!C118</f>
        <v>Altri costi 8</v>
      </c>
      <c r="D35" s="26">
        <f>+Input!F118</f>
        <v>0</v>
      </c>
      <c r="E35" s="26">
        <f>+Input!G118</f>
        <v>0</v>
      </c>
      <c r="F35" s="26">
        <f>+Input!H118</f>
        <v>0</v>
      </c>
      <c r="G35" s="26">
        <f>+Input!I118</f>
        <v>0</v>
      </c>
      <c r="H35" s="26">
        <f>+Input!J118</f>
        <v>0</v>
      </c>
    </row>
    <row r="36" spans="2:8" ht="15">
      <c r="B36" t="str">
        <f>+Input!C119</f>
        <v>Altri costi 9</v>
      </c>
      <c r="D36" s="26">
        <f>+Input!F119</f>
        <v>0</v>
      </c>
      <c r="E36" s="26">
        <f>+Input!G119</f>
        <v>0</v>
      </c>
      <c r="F36" s="26">
        <f>+Input!H119</f>
        <v>0</v>
      </c>
      <c r="G36" s="26">
        <f>+Input!I119</f>
        <v>0</v>
      </c>
      <c r="H36" s="26">
        <f>+Input!J119</f>
        <v>0</v>
      </c>
    </row>
    <row r="38" spans="2:8" ht="15">
      <c r="B38" s="6" t="s">
        <v>325</v>
      </c>
      <c r="C38" s="6"/>
      <c r="D38" s="35">
        <f>SUM(D39:D41)</f>
        <v>18142.85714285714</v>
      </c>
      <c r="E38" s="35">
        <f>SUM(E39:E41)</f>
        <v>18142.85714285714</v>
      </c>
      <c r="F38" s="35">
        <f>SUM(F39:F41)</f>
        <v>18142.85714285714</v>
      </c>
      <c r="G38" s="35">
        <f>SUM(G39:G41)</f>
        <v>18142.85714285714</v>
      </c>
      <c r="H38" s="35">
        <f>SUM(H39:H41)</f>
        <v>18142.85714285714</v>
      </c>
    </row>
    <row r="39" spans="2:8" ht="15">
      <c r="B39" t="s">
        <v>51</v>
      </c>
      <c r="D39" s="26">
        <f>+Inve!D57</f>
        <v>16000</v>
      </c>
      <c r="E39" s="26">
        <f>+Inve!E57</f>
        <v>16000</v>
      </c>
      <c r="F39" s="26">
        <f>+Inve!F57</f>
        <v>16000</v>
      </c>
      <c r="G39" s="26">
        <f>+Inve!G57</f>
        <v>16000</v>
      </c>
      <c r="H39" s="26">
        <f>+Inve!H57</f>
        <v>16000</v>
      </c>
    </row>
    <row r="40" spans="2:8" ht="15">
      <c r="B40" t="s">
        <v>52</v>
      </c>
      <c r="D40" s="26">
        <f>+Inve!D58</f>
        <v>0</v>
      </c>
      <c r="E40" s="26">
        <f>+Inve!E58</f>
        <v>0</v>
      </c>
      <c r="F40" s="26">
        <f>+Inve!F58</f>
        <v>0</v>
      </c>
      <c r="G40" s="26">
        <f>+Inve!G58</f>
        <v>0</v>
      </c>
      <c r="H40" s="26">
        <f>+Inve!H58</f>
        <v>0</v>
      </c>
    </row>
    <row r="41" spans="2:8" ht="15">
      <c r="B41" t="s">
        <v>421</v>
      </c>
      <c r="D41" s="26">
        <f>+Inve!D73</f>
        <v>2142.8571428571427</v>
      </c>
      <c r="E41" s="26">
        <f>+Inve!E73</f>
        <v>2142.8571428571427</v>
      </c>
      <c r="F41" s="26">
        <f>+Inve!F73</f>
        <v>2142.8571428571427</v>
      </c>
      <c r="G41" s="26">
        <f>+Inve!G73</f>
        <v>2142.8571428571427</v>
      </c>
      <c r="H41" s="26">
        <f>+Inve!H73</f>
        <v>2142.8571428571427</v>
      </c>
    </row>
    <row r="42" spans="4:8" ht="15">
      <c r="D42" s="26"/>
      <c r="E42" s="26"/>
      <c r="F42" s="26"/>
      <c r="G42" s="26"/>
      <c r="H42" s="26"/>
    </row>
    <row r="43" spans="2:8" ht="15">
      <c r="B43" s="6" t="s">
        <v>75</v>
      </c>
      <c r="C43" s="6"/>
      <c r="D43" s="35">
        <f>+Personale!D8</f>
        <v>42600</v>
      </c>
      <c r="E43" s="35">
        <f>+Personale!E8</f>
        <v>44730</v>
      </c>
      <c r="F43" s="35">
        <f>+Personale!F8</f>
        <v>44730</v>
      </c>
      <c r="G43" s="35">
        <f>+Personale!G8</f>
        <v>44730</v>
      </c>
      <c r="H43" s="35">
        <f>+Personale!H8</f>
        <v>44730</v>
      </c>
    </row>
    <row r="44" spans="4:8" ht="15">
      <c r="D44" s="26"/>
      <c r="E44" s="26"/>
      <c r="F44" s="26"/>
      <c r="G44" s="26"/>
      <c r="H44" s="26"/>
    </row>
    <row r="45" spans="2:8" ht="15">
      <c r="B45" s="6" t="s">
        <v>324</v>
      </c>
      <c r="C45" s="6"/>
      <c r="D45" s="35">
        <f>+D12-D15-D38-D43</f>
        <v>7837.142857142855</v>
      </c>
      <c r="E45" s="35">
        <f>+E12-E15-E38-E43</f>
        <v>19387.14285714284</v>
      </c>
      <c r="F45" s="35">
        <f>+F12-F15-F38-F43</f>
        <v>34027.142857142855</v>
      </c>
      <c r="G45" s="35">
        <f>+G12-G15-G38-G43</f>
        <v>36427.142857142855</v>
      </c>
      <c r="H45" s="35">
        <f>+H12-H15-H38-H43</f>
        <v>38827.142857142855</v>
      </c>
    </row>
    <row r="46" spans="4:8" ht="15">
      <c r="D46" s="26"/>
      <c r="E46" s="26"/>
      <c r="F46" s="26"/>
      <c r="G46" s="26"/>
      <c r="H46" s="26"/>
    </row>
    <row r="47" spans="2:8" ht="15">
      <c r="B47" s="6" t="s">
        <v>339</v>
      </c>
      <c r="C47" s="6"/>
      <c r="D47" s="35">
        <f>-D48+D49</f>
        <v>325.10249999999996</v>
      </c>
      <c r="E47" s="35">
        <f>-E48+E49</f>
        <v>0</v>
      </c>
      <c r="F47" s="35">
        <f>-F48+F49</f>
        <v>-1100.000000000001</v>
      </c>
      <c r="G47" s="35">
        <f>-G48+G49</f>
        <v>-952.0368482865911</v>
      </c>
      <c r="H47" s="35">
        <f>-H48+H49</f>
        <v>-801.114433538913</v>
      </c>
    </row>
    <row r="48" spans="2:8" ht="15">
      <c r="B48" t="s">
        <v>129</v>
      </c>
      <c r="D48" s="26">
        <f>+finanziamento!E28+Banca!C9+'Mutuo invitalia'!E28</f>
        <v>0</v>
      </c>
      <c r="E48" s="26">
        <f>+finanziamento!F28+Banca!D9+'Mutuo invitalia'!F28</f>
        <v>0</v>
      </c>
      <c r="F48" s="26">
        <f>+finanziamento!G28+Banca!E9+'Mutuo invitalia'!G28</f>
        <v>1100.000000000001</v>
      </c>
      <c r="G48" s="26">
        <f>+finanziamento!H28+Banca!F9+'Mutuo invitalia'!H28</f>
        <v>952.0368482865911</v>
      </c>
      <c r="H48" s="26">
        <f>+finanziamento!I28+Banca!G9+'Mutuo invitalia'!I28</f>
        <v>801.114433538913</v>
      </c>
    </row>
    <row r="49" spans="2:8" ht="15">
      <c r="B49" t="s">
        <v>338</v>
      </c>
      <c r="D49" s="26">
        <f>+Banca!C10</f>
        <v>325.10249999999996</v>
      </c>
      <c r="E49" s="26">
        <f>+Banca!D10</f>
        <v>0</v>
      </c>
      <c r="F49" s="26">
        <f>+Banca!E10</f>
        <v>0</v>
      </c>
      <c r="G49" s="26">
        <f>+Banca!F10</f>
        <v>0</v>
      </c>
      <c r="H49" s="26">
        <f>+Banca!G10</f>
        <v>0</v>
      </c>
    </row>
    <row r="51" spans="2:8" ht="15">
      <c r="B51" s="6" t="s">
        <v>247</v>
      </c>
      <c r="C51" s="6"/>
      <c r="D51" s="35">
        <f>+D45+D47</f>
        <v>8162.245357142855</v>
      </c>
      <c r="E51" s="35">
        <f>+E45+E47</f>
        <v>19387.14285714284</v>
      </c>
      <c r="F51" s="35">
        <f>+F45+F47</f>
        <v>32927.142857142855</v>
      </c>
      <c r="G51" s="35">
        <f>+G45+G47</f>
        <v>35475.106008856266</v>
      </c>
      <c r="H51" s="35">
        <f>+H45+H47</f>
        <v>38026.028423603944</v>
      </c>
    </row>
    <row r="53" spans="2:8" ht="15">
      <c r="B53" t="s">
        <v>290</v>
      </c>
      <c r="D53" s="35">
        <f>+Irap!E16</f>
        <v>1979.7275689285714</v>
      </c>
      <c r="E53" s="35">
        <f>+Irap!F16</f>
        <v>2500.568571428571</v>
      </c>
      <c r="F53" s="35">
        <f>+Irap!G16</f>
        <v>3028.6285714285714</v>
      </c>
      <c r="G53" s="35">
        <f>+Irap!H16</f>
        <v>3127.9991343453944</v>
      </c>
      <c r="H53" s="35">
        <f>+Irap!I16</f>
        <v>3227.4851085205537</v>
      </c>
    </row>
    <row r="55" spans="2:8" ht="15">
      <c r="B55" s="6" t="s">
        <v>296</v>
      </c>
      <c r="D55" s="35">
        <f>+D51-D53</f>
        <v>6182.517788214283</v>
      </c>
      <c r="E55" s="35">
        <f>+E51-E53</f>
        <v>16886.57428571427</v>
      </c>
      <c r="F55" s="35">
        <f>+F51-F53</f>
        <v>29898.514285714286</v>
      </c>
      <c r="G55" s="35">
        <f>+G51-G53</f>
        <v>32347.10687451087</v>
      </c>
      <c r="H55" s="35">
        <f>+H51-H53</f>
        <v>34798.54331508339</v>
      </c>
    </row>
    <row r="56" spans="4:8" ht="15">
      <c r="D56" s="35"/>
      <c r="E56" s="35"/>
      <c r="F56" s="35"/>
      <c r="G56" s="35"/>
      <c r="H56" s="35"/>
    </row>
    <row r="57" spans="4:8" ht="15">
      <c r="D57" s="35"/>
      <c r="E57" s="35"/>
      <c r="F57" s="35"/>
      <c r="G57" s="35"/>
      <c r="H57" s="35"/>
    </row>
    <row r="58" ht="15.75" thickBot="1"/>
    <row r="59" spans="2:8" ht="15">
      <c r="B59" s="8"/>
      <c r="C59" s="9"/>
      <c r="D59" s="9"/>
      <c r="E59" s="9"/>
      <c r="F59" s="9"/>
      <c r="G59" s="9"/>
      <c r="H59" s="10"/>
    </row>
    <row r="60" spans="2:8" ht="15">
      <c r="B60" s="11" t="s">
        <v>355</v>
      </c>
      <c r="C60" s="12"/>
      <c r="D60" s="17"/>
      <c r="E60" s="17"/>
      <c r="F60" s="17"/>
      <c r="G60" s="17"/>
      <c r="H60" s="15"/>
    </row>
    <row r="61" spans="2:8" ht="15">
      <c r="B61" s="16" t="s">
        <v>354</v>
      </c>
      <c r="C61" s="121">
        <f>+Input!D27</f>
        <v>1</v>
      </c>
      <c r="D61" s="34">
        <f>+'Irpef socio'!G27</f>
        <v>1877.3164321428567</v>
      </c>
      <c r="E61" s="34">
        <f>+'Irpef socio'!I27</f>
        <v>4634.528571428567</v>
      </c>
      <c r="F61" s="34">
        <f>+'Irpef socio'!K27</f>
        <v>8832.314285714285</v>
      </c>
      <c r="G61" s="34">
        <f>+'Irpef socio'!M27</f>
        <v>9800.54028336538</v>
      </c>
      <c r="H61" s="122">
        <f>+'Irpef socio'!O27</f>
        <v>10769.890800969499</v>
      </c>
    </row>
    <row r="62" spans="2:8" ht="15">
      <c r="B62" s="16" t="s">
        <v>365</v>
      </c>
      <c r="C62" s="121">
        <f>+Input!D27</f>
        <v>1</v>
      </c>
      <c r="D62" s="34">
        <f>+'Inps socio'!T23</f>
        <v>3192.89</v>
      </c>
      <c r="E62" s="34">
        <f>+'Inps socio'!U23</f>
        <v>4146.056818142853</v>
      </c>
      <c r="F62" s="34">
        <f>+'Inps socio'!V23</f>
        <v>7042.262818142856</v>
      </c>
      <c r="G62" s="34">
        <f>+'Inps socio'!W23</f>
        <v>7587.272136294356</v>
      </c>
      <c r="H62" s="122">
        <f>+'Inps socio'!X23</f>
        <v>8132.914440808883</v>
      </c>
    </row>
    <row r="63" spans="2:8" ht="15">
      <c r="B63" s="123" t="s">
        <v>353</v>
      </c>
      <c r="C63" s="121">
        <f>+Input!D27</f>
        <v>1</v>
      </c>
      <c r="D63" s="34">
        <f>+(D55*$C$63)-D61-D62</f>
        <v>1112.3113560714269</v>
      </c>
      <c r="E63" s="34">
        <f>+(E55*$C$63)-E61-E62</f>
        <v>8105.988896142848</v>
      </c>
      <c r="F63" s="34">
        <f>+(F55*$C$63)-F61-F62</f>
        <v>14023.937181857145</v>
      </c>
      <c r="G63" s="34">
        <f>+(G55*$C$63)-G61-G62</f>
        <v>14959.294454851137</v>
      </c>
      <c r="H63" s="122">
        <f>+(H55*$C$63)-H61-H62</f>
        <v>15895.738073305009</v>
      </c>
    </row>
    <row r="64" spans="2:8" ht="15">
      <c r="B64" s="16"/>
      <c r="C64" s="17"/>
      <c r="D64" s="17"/>
      <c r="E64" s="17"/>
      <c r="F64" s="17"/>
      <c r="G64" s="17"/>
      <c r="H64" s="15"/>
    </row>
    <row r="65" spans="2:8" ht="15">
      <c r="B65" s="16"/>
      <c r="C65" s="17"/>
      <c r="D65" s="17"/>
      <c r="E65" s="17"/>
      <c r="F65" s="17"/>
      <c r="G65" s="17"/>
      <c r="H65" s="15"/>
    </row>
    <row r="66" spans="2:8" ht="15.75" thickBot="1">
      <c r="B66" s="18"/>
      <c r="C66" s="19"/>
      <c r="D66" s="19"/>
      <c r="E66" s="19"/>
      <c r="F66" s="19"/>
      <c r="G66" s="19"/>
      <c r="H66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3"/>
  <sheetViews>
    <sheetView showGridLines="0" zoomScalePageLayoutView="0" workbookViewId="0" topLeftCell="A12">
      <selection activeCell="P36" sqref="P36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5" t="s">
        <v>346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299</v>
      </c>
    </row>
    <row r="3" spans="2:7" ht="15">
      <c r="B3" s="6" t="s">
        <v>300</v>
      </c>
      <c r="C3" s="101">
        <f>+'CE'!D45</f>
        <v>7837.142857142855</v>
      </c>
      <c r="D3" s="101">
        <f>+'CE'!E45</f>
        <v>19387.14285714284</v>
      </c>
      <c r="E3" s="101">
        <f>+'CE'!F45</f>
        <v>34027.142857142855</v>
      </c>
      <c r="F3" s="101">
        <f>+'CE'!G45</f>
        <v>36427.142857142855</v>
      </c>
      <c r="G3" s="101">
        <f>+'CE'!H45</f>
        <v>38827.142857142855</v>
      </c>
    </row>
    <row r="4" spans="2:7" ht="15">
      <c r="B4" t="s">
        <v>301</v>
      </c>
      <c r="C4" s="25">
        <f>+SP!C36</f>
        <v>2400</v>
      </c>
      <c r="D4" s="25">
        <f>+SP!D36-SP!C36</f>
        <v>2520</v>
      </c>
      <c r="E4" s="25">
        <f>+SP!E36-SP!D36</f>
        <v>2520</v>
      </c>
      <c r="F4" s="25">
        <f>+SP!F36-SP!E36</f>
        <v>2520</v>
      </c>
      <c r="G4" s="25">
        <f>+SP!G36-SP!F36</f>
        <v>2520</v>
      </c>
    </row>
    <row r="5" spans="2:7" ht="15">
      <c r="B5" t="s">
        <v>302</v>
      </c>
      <c r="C5" s="25">
        <f>+'CE'!D38</f>
        <v>18142.85714285714</v>
      </c>
      <c r="D5" s="25">
        <f>+'CE'!E38</f>
        <v>18142.85714285714</v>
      </c>
      <c r="E5" s="25">
        <f>+'CE'!F38</f>
        <v>18142.85714285714</v>
      </c>
      <c r="F5" s="25">
        <f>+'CE'!G38</f>
        <v>18142.85714285714</v>
      </c>
      <c r="G5" s="25">
        <f>+'CE'!H38</f>
        <v>18142.85714285714</v>
      </c>
    </row>
    <row r="6" spans="2:7" ht="15">
      <c r="B6" t="s">
        <v>303</v>
      </c>
      <c r="C6" s="101">
        <f>+C3+C4+C5</f>
        <v>28379.999999999996</v>
      </c>
      <c r="D6" s="101">
        <f>+D3+D4+D5</f>
        <v>40049.999999999985</v>
      </c>
      <c r="E6" s="101">
        <f>+E3+E4+E5</f>
        <v>54690</v>
      </c>
      <c r="F6" s="101">
        <f>+F3+F4+F5</f>
        <v>57090</v>
      </c>
      <c r="G6" s="101">
        <f>+G3+G4+G5</f>
        <v>59490</v>
      </c>
    </row>
    <row r="8" spans="2:7" ht="15">
      <c r="B8" s="6" t="s">
        <v>304</v>
      </c>
      <c r="C8" s="101">
        <f>SUM(C9:C13)</f>
        <v>966.477568928575</v>
      </c>
      <c r="D8" s="101">
        <f>SUM(D9:D13)</f>
        <v>3975.6509335714254</v>
      </c>
      <c r="E8" s="101">
        <f>SUM(E9:E13)</f>
        <v>1753.4683333333373</v>
      </c>
      <c r="F8" s="101">
        <f>SUM(F9:F13)</f>
        <v>-113.86693708317762</v>
      </c>
      <c r="G8" s="101">
        <f>SUM(G9:G13)</f>
        <v>214.98597417515884</v>
      </c>
    </row>
    <row r="9" spans="2:7" ht="15">
      <c r="B9" t="s">
        <v>305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306</v>
      </c>
      <c r="C10" s="25">
        <f>-SP!C8+SP!C33</f>
        <v>-5940.899999999994</v>
      </c>
      <c r="D10" s="25">
        <f>+SP!C8-SP!D8+SP!D33-SP!C33</f>
        <v>7027.212499999994</v>
      </c>
      <c r="E10" s="25">
        <f>+SP!D8-SP!E8+SP!E33-SP!D33</f>
        <v>748.8250000000007</v>
      </c>
      <c r="F10" s="25">
        <f>+SP!E8-SP!F8+SP!F33-SP!E33</f>
        <v>73.23749999999927</v>
      </c>
      <c r="G10" s="25">
        <f>+SP!F8-SP!G8+SP!G33-SP!F33</f>
        <v>42</v>
      </c>
    </row>
    <row r="11" spans="2:7" ht="15">
      <c r="B11" t="s">
        <v>307</v>
      </c>
      <c r="C11" s="25">
        <f>-SP!C11</f>
        <v>-11970</v>
      </c>
      <c r="D11" s="25">
        <f>+SP!C11-SP!D11</f>
        <v>-1995.0000000000018</v>
      </c>
      <c r="E11" s="25">
        <f>+SP!D11-SP!E11</f>
        <v>-2135</v>
      </c>
      <c r="F11" s="25">
        <f>+SP!E11-SP!F11</f>
        <v>-349.9999999999982</v>
      </c>
      <c r="G11" s="25">
        <f>+SP!F11-SP!G11</f>
        <v>-350</v>
      </c>
    </row>
    <row r="12" spans="2:7" ht="15">
      <c r="B12" t="s">
        <v>308</v>
      </c>
      <c r="C12" s="25">
        <f>+SP!C30</f>
        <v>16897.649999999998</v>
      </c>
      <c r="D12" s="25">
        <f>+SP!D30-SP!C30</f>
        <v>402.32500000000437</v>
      </c>
      <c r="E12" s="25">
        <f>+SP!E30-SP!D30</f>
        <v>2611.5833333333358</v>
      </c>
      <c r="F12" s="25">
        <f>+SP!F30-SP!E30</f>
        <v>63.52499999999782</v>
      </c>
      <c r="G12" s="25">
        <f>+SP!G30-SP!F30</f>
        <v>423.5</v>
      </c>
    </row>
    <row r="13" spans="2:7" ht="15">
      <c r="B13" t="s">
        <v>306</v>
      </c>
      <c r="C13" s="25">
        <f>+SP!C32-SP!C9</f>
        <v>1979.7275689285714</v>
      </c>
      <c r="D13" s="25">
        <f>+SP!D32-SP!C32+SP!C9-SP!D9</f>
        <v>-1458.8865664285715</v>
      </c>
      <c r="E13" s="25">
        <f>+SP!E32-SP!D32+SP!D9-SP!E9</f>
        <v>528.0600000000009</v>
      </c>
      <c r="F13" s="25">
        <f>+SP!F32-SP!E32+SP!E9-SP!F9</f>
        <v>99.37056291682347</v>
      </c>
      <c r="G13" s="25">
        <f>+SP!G32-SP!F32+SP!F9-SP!G9</f>
        <v>99.48597417515884</v>
      </c>
    </row>
    <row r="14" ht="15">
      <c r="A14" s="105"/>
    </row>
    <row r="15" spans="2:7" ht="15">
      <c r="B15" s="6" t="s">
        <v>309</v>
      </c>
      <c r="C15" s="101">
        <f>+C6+C8</f>
        <v>29346.47756892857</v>
      </c>
      <c r="D15" s="101">
        <f>+D6+D8</f>
        <v>44025.65093357141</v>
      </c>
      <c r="E15" s="101">
        <f>+E6+E8</f>
        <v>56443.46833333334</v>
      </c>
      <c r="F15" s="101">
        <f>+F6+F8</f>
        <v>56976.13306291682</v>
      </c>
      <c r="G15" s="101">
        <f>+G6+G8</f>
        <v>59704.98597417516</v>
      </c>
    </row>
    <row r="17" spans="2:7" ht="15">
      <c r="B17" s="6" t="s">
        <v>310</v>
      </c>
      <c r="C17" s="101">
        <f>SUM(C18:C20)</f>
        <v>-95000</v>
      </c>
      <c r="D17" s="101">
        <f>SUM(D18:D20)</f>
        <v>0</v>
      </c>
      <c r="E17" s="101">
        <f>SUM(E18:E20)</f>
        <v>0</v>
      </c>
      <c r="F17" s="101">
        <f>SUM(F18:F20)</f>
        <v>0</v>
      </c>
      <c r="G17" s="101">
        <f>SUM(G18:G20)</f>
        <v>0</v>
      </c>
    </row>
    <row r="18" spans="2:7" ht="15">
      <c r="B18" t="s">
        <v>311</v>
      </c>
      <c r="C18" s="25">
        <f>-SP!C14</f>
        <v>-80000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312</v>
      </c>
      <c r="C19" s="25">
        <f>-SP!C15</f>
        <v>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0" spans="2:7" ht="15">
      <c r="B20" t="s">
        <v>424</v>
      </c>
      <c r="C20" s="25">
        <f>-SP!C16</f>
        <v>-15000</v>
      </c>
      <c r="D20" s="25">
        <f>+SP!C16-SP!D16</f>
        <v>0</v>
      </c>
      <c r="E20" s="25">
        <f>+SP!D16-SP!E16</f>
        <v>0</v>
      </c>
      <c r="F20" s="25">
        <f>+SP!E16-SP!F16</f>
        <v>0</v>
      </c>
      <c r="G20" s="25">
        <f>+SP!F16-SP!G16</f>
        <v>0</v>
      </c>
    </row>
    <row r="21" spans="3:7" ht="15">
      <c r="C21" s="25"/>
      <c r="D21" s="25"/>
      <c r="E21" s="25"/>
      <c r="F21" s="25"/>
      <c r="G21" s="25"/>
    </row>
    <row r="22" spans="2:7" ht="15">
      <c r="B22" s="132" t="s">
        <v>395</v>
      </c>
      <c r="C22" s="101">
        <f>-SP!C21</f>
        <v>0</v>
      </c>
      <c r="D22" s="101">
        <f>+SP!C21-SP!D21</f>
        <v>0</v>
      </c>
      <c r="E22" s="101">
        <f>+SP!D21-SP!E21</f>
        <v>0</v>
      </c>
      <c r="F22" s="101">
        <f>+SP!E21-SP!F21</f>
        <v>0</v>
      </c>
      <c r="G22" s="101">
        <f>+SP!F21-SP!G21</f>
        <v>0</v>
      </c>
    </row>
    <row r="24" spans="2:7" ht="15">
      <c r="B24" s="6" t="s">
        <v>313</v>
      </c>
      <c r="C24" s="101">
        <f>+C15+C17+C22</f>
        <v>-65653.52243107143</v>
      </c>
      <c r="D24" s="101">
        <f>+D15+D17+D22</f>
        <v>44025.65093357141</v>
      </c>
      <c r="E24" s="101">
        <f>+E15+E17+E22</f>
        <v>56443.46833333334</v>
      </c>
      <c r="F24" s="101">
        <f>+F15+F17+F22</f>
        <v>56976.13306291682</v>
      </c>
      <c r="G24" s="101">
        <f>+G15+G17+G22</f>
        <v>59704.98597417516</v>
      </c>
    </row>
    <row r="26" spans="2:7" ht="15">
      <c r="B26" t="s">
        <v>314</v>
      </c>
      <c r="C26" s="101">
        <f>SUM(C27:C31)</f>
        <v>78470</v>
      </c>
      <c r="D26" s="101">
        <f>SUM(D27:D31)</f>
        <v>15000</v>
      </c>
      <c r="E26" s="101">
        <f>SUM(E27:E31)</f>
        <v>-7398.157585670488</v>
      </c>
      <c r="F26" s="101">
        <f>SUM(F27:F31)</f>
        <v>-7546.120737383899</v>
      </c>
      <c r="G26" s="101">
        <f>SUM(G27:G31)</f>
        <v>-7697.043152131577</v>
      </c>
    </row>
    <row r="27" spans="2:7" ht="15">
      <c r="B27" t="s">
        <v>315</v>
      </c>
      <c r="C27" s="25">
        <f>+SP!C38</f>
        <v>0</v>
      </c>
      <c r="D27" s="25">
        <f>+SP!D38-SP!C38</f>
        <v>0</v>
      </c>
      <c r="E27" s="25">
        <f>+SP!E38-SP!D38</f>
        <v>0</v>
      </c>
      <c r="F27" s="25">
        <f>+SP!F38-SP!E38</f>
        <v>0</v>
      </c>
      <c r="G27" s="25">
        <f>+SP!G38-SP!F38</f>
        <v>0</v>
      </c>
    </row>
    <row r="28" spans="2:7" ht="15">
      <c r="B28" t="s">
        <v>316</v>
      </c>
      <c r="C28" s="25">
        <f>+SP!C40</f>
        <v>0</v>
      </c>
      <c r="D28" s="25">
        <f>+SP!D40-SP!C40</f>
        <v>0</v>
      </c>
      <c r="E28" s="25">
        <f>+SP!E40-SP!D40</f>
        <v>0</v>
      </c>
      <c r="F28" s="25">
        <f>+SP!F40-SP!E40</f>
        <v>0</v>
      </c>
      <c r="G28" s="25">
        <f>+SP!G40-SP!F40</f>
        <v>0</v>
      </c>
    </row>
    <row r="29" spans="2:7" ht="15">
      <c r="B29" t="s">
        <v>402</v>
      </c>
      <c r="C29" s="25">
        <f>+SP!C37</f>
        <v>55000</v>
      </c>
      <c r="D29" s="25">
        <f>+SP!D37-SP!C37</f>
        <v>0</v>
      </c>
      <c r="E29" s="25">
        <f>+SP!E37-SP!D37</f>
        <v>-7398.157585670488</v>
      </c>
      <c r="F29" s="25">
        <f>+SP!F37-SP!E37</f>
        <v>-7546.120737383899</v>
      </c>
      <c r="G29" s="25">
        <f>+SP!G37-SP!F37</f>
        <v>-7697.043152131577</v>
      </c>
    </row>
    <row r="30" spans="2:7" ht="15">
      <c r="B30" t="s">
        <v>317</v>
      </c>
      <c r="C30" s="25">
        <f>+SP!C31</f>
        <v>8470</v>
      </c>
      <c r="D30" s="25">
        <f>+SP!D31-SP!C31</f>
        <v>0</v>
      </c>
      <c r="E30" s="25">
        <f>+SP!E31-SP!D31</f>
        <v>0</v>
      </c>
      <c r="F30" s="25">
        <f>+SP!F31-SP!E31</f>
        <v>0</v>
      </c>
      <c r="G30" s="25">
        <f>+SP!G31-SP!F31</f>
        <v>0</v>
      </c>
    </row>
    <row r="31" spans="2:7" ht="15">
      <c r="B31" t="s">
        <v>408</v>
      </c>
      <c r="C31" s="25">
        <f>+SP!C39</f>
        <v>15000</v>
      </c>
      <c r="D31" s="25">
        <f>+SP!D39-SP!C39</f>
        <v>15000</v>
      </c>
      <c r="E31" s="25">
        <f>+SP!E39-SP!D39</f>
        <v>0</v>
      </c>
      <c r="F31" s="25">
        <f>+SP!F39-SP!E39</f>
        <v>0</v>
      </c>
      <c r="G31" s="25">
        <f>+SP!G39-SP!F39</f>
        <v>0</v>
      </c>
    </row>
    <row r="33" spans="2:7" ht="15">
      <c r="B33" t="s">
        <v>318</v>
      </c>
      <c r="C33" s="101">
        <f>+'CE'!D47</f>
        <v>325.10249999999996</v>
      </c>
      <c r="D33" s="101">
        <f>+'CE'!E47</f>
        <v>0</v>
      </c>
      <c r="E33" s="101">
        <f>+'CE'!F47</f>
        <v>-1100.000000000001</v>
      </c>
      <c r="F33" s="101">
        <f>+'CE'!G47</f>
        <v>-952.0368482865911</v>
      </c>
      <c r="G33" s="101">
        <f>+'CE'!H47</f>
        <v>-801.114433538913</v>
      </c>
    </row>
    <row r="34" spans="2:7" ht="15">
      <c r="B34" t="s">
        <v>319</v>
      </c>
      <c r="C34" s="101">
        <f>-'CE'!D53</f>
        <v>-1979.7275689285714</v>
      </c>
      <c r="D34" s="101">
        <f>-'CE'!E53</f>
        <v>-2500.568571428571</v>
      </c>
      <c r="E34" s="101">
        <f>-'CE'!F53</f>
        <v>-3028.6285714285714</v>
      </c>
      <c r="F34" s="101">
        <f>-'CE'!G53</f>
        <v>-3127.9991343453944</v>
      </c>
      <c r="G34" s="101">
        <f>-'CE'!H53</f>
        <v>-3227.4851085205537</v>
      </c>
    </row>
    <row r="35" spans="3:7" ht="15">
      <c r="C35" s="101"/>
      <c r="D35" s="101"/>
      <c r="E35" s="101"/>
      <c r="F35" s="101"/>
      <c r="G35" s="101"/>
    </row>
    <row r="37" spans="2:7" ht="15">
      <c r="B37" t="s">
        <v>320</v>
      </c>
      <c r="C37" s="101">
        <f>+SP!C43</f>
        <v>0</v>
      </c>
      <c r="D37" s="101">
        <f>+SP!D43-SP!C43-SP!C44</f>
        <v>0</v>
      </c>
      <c r="E37" s="101">
        <f>+SP!E43-SP!D43-SP!D44</f>
        <v>0</v>
      </c>
      <c r="F37" s="101">
        <f>+SP!F43-SP!E43-SP!E44</f>
        <v>0</v>
      </c>
      <c r="G37" s="101">
        <f>+SP!G43-SP!F43-SP!F44</f>
        <v>0</v>
      </c>
    </row>
    <row r="39" spans="2:7" ht="15">
      <c r="B39" s="6" t="s">
        <v>321</v>
      </c>
      <c r="C39" s="101">
        <f>+C24+C26+C33+C34+C37</f>
        <v>11161.852500000005</v>
      </c>
      <c r="D39" s="101">
        <f>+D24+D26+D33+D34+D37</f>
        <v>56525.082362142835</v>
      </c>
      <c r="E39" s="101">
        <f>+E24+E26+E33+E34+E37</f>
        <v>44916.68217623428</v>
      </c>
      <c r="F39" s="101">
        <f>+F24+F26+F33+F34+F37</f>
        <v>45349.97634290094</v>
      </c>
      <c r="G39" s="101">
        <f>+G24+G26+G33+G34+G37</f>
        <v>47979.34327998412</v>
      </c>
    </row>
    <row r="41" spans="2:7" ht="15">
      <c r="B41" t="s">
        <v>322</v>
      </c>
      <c r="C41" s="25">
        <f>+SP!C4-SP!C27</f>
        <v>11161.852499999979</v>
      </c>
      <c r="D41" s="25">
        <f>-(+SP!D27-SP!C27+SP!C4-SP!D4)</f>
        <v>56525.082362142915</v>
      </c>
      <c r="E41" s="25">
        <f>-(+SP!E27-SP!D27+SP!D4-SP!E4)</f>
        <v>44916.68217623432</v>
      </c>
      <c r="F41" s="25">
        <f>-(+SP!F27-SP!E27+SP!E4-SP!F4)</f>
        <v>45349.97634290089</v>
      </c>
      <c r="G41" s="25">
        <f>-(+SP!G27-SP!F27+SP!F4-SP!G4)</f>
        <v>47979.3432799842</v>
      </c>
    </row>
    <row r="43" spans="3:7" ht="15">
      <c r="C43" s="25"/>
      <c r="D43" s="25"/>
      <c r="E43" s="25"/>
      <c r="F43" s="25"/>
      <c r="G43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96"/>
  <sheetViews>
    <sheetView showGridLines="0" zoomScalePageLayoutView="0" workbookViewId="0" topLeftCell="A45">
      <selection activeCell="K75" sqref="K75"/>
    </sheetView>
  </sheetViews>
  <sheetFormatPr defaultColWidth="9.140625" defaultRowHeight="15"/>
  <cols>
    <col min="2" max="2" width="3.8515625" style="0" customWidth="1"/>
    <col min="3" max="3" width="20.7109375" style="0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8"/>
      <c r="E2" s="138"/>
      <c r="F2" s="138"/>
      <c r="G2" s="138"/>
      <c r="H2" s="138"/>
      <c r="I2" s="10"/>
    </row>
    <row r="3" spans="2:9" ht="15">
      <c r="B3" s="16"/>
      <c r="C3" s="12" t="s">
        <v>0</v>
      </c>
      <c r="D3" s="13" t="str">
        <f>+Input!I34</f>
        <v>Anno 1</v>
      </c>
      <c r="E3" s="13" t="str">
        <f>+Input!J34</f>
        <v>Anno 2</v>
      </c>
      <c r="F3" s="13" t="str">
        <f>+Input!K34</f>
        <v>Anno 3</v>
      </c>
      <c r="G3" s="13" t="str">
        <f>+Input!L34</f>
        <v>Anno 4</v>
      </c>
      <c r="H3" s="13" t="str">
        <f>+Input!M34</f>
        <v>Anno 5</v>
      </c>
      <c r="I3" s="15"/>
    </row>
    <row r="4" spans="2:9" ht="15">
      <c r="B4" s="16"/>
      <c r="C4" s="17" t="str">
        <f>+Input!C35</f>
        <v>Tipologia 1</v>
      </c>
      <c r="D4" s="33">
        <f>+Input!I35*Input!O35</f>
        <v>171000</v>
      </c>
      <c r="E4" s="33">
        <f>+Input!J35*Input!P35</f>
        <v>199500</v>
      </c>
      <c r="F4" s="33">
        <f>+Input!K35*Input!Q35</f>
        <v>230000</v>
      </c>
      <c r="G4" s="33">
        <f>+Input!L35*Input!R35</f>
        <v>235000</v>
      </c>
      <c r="H4" s="33">
        <f>+Input!M35*Input!S35</f>
        <v>240000</v>
      </c>
      <c r="I4" s="15"/>
    </row>
    <row r="5" spans="2:9" ht="15">
      <c r="B5" s="16"/>
      <c r="C5" s="17" t="str">
        <f>+Input!C36</f>
        <v>Tipologia 2</v>
      </c>
      <c r="D5" s="33">
        <f>+Input!I36*Input!O36</f>
        <v>0</v>
      </c>
      <c r="E5" s="33">
        <f>+Input!J36*Input!P36</f>
        <v>0</v>
      </c>
      <c r="F5" s="33">
        <f>+Input!K36*Input!Q36</f>
        <v>0</v>
      </c>
      <c r="G5" s="33">
        <f>+Input!L36*Input!R36</f>
        <v>0</v>
      </c>
      <c r="H5" s="33">
        <f>+Input!M36*Input!S36</f>
        <v>0</v>
      </c>
      <c r="I5" s="15"/>
    </row>
    <row r="6" spans="2:9" ht="15">
      <c r="B6" s="16"/>
      <c r="C6" s="17" t="str">
        <f>+Input!C37</f>
        <v>Tipologia 3</v>
      </c>
      <c r="D6" s="33">
        <f>+Input!I37*Input!O37</f>
        <v>0</v>
      </c>
      <c r="E6" s="33">
        <f>+Input!J37*Input!P37</f>
        <v>0</v>
      </c>
      <c r="F6" s="33">
        <f>+Input!K37*Input!Q37</f>
        <v>0</v>
      </c>
      <c r="G6" s="33">
        <f>+Input!L37*Input!R37</f>
        <v>0</v>
      </c>
      <c r="H6" s="33">
        <f>+Input!M37*Input!S37</f>
        <v>0</v>
      </c>
      <c r="I6" s="15"/>
    </row>
    <row r="7" spans="2:9" ht="15">
      <c r="B7" s="16"/>
      <c r="C7" s="17" t="str">
        <f>+Input!C38</f>
        <v>Tipologia 4</v>
      </c>
      <c r="D7" s="33">
        <f>+Input!I38*Input!O38</f>
        <v>0</v>
      </c>
      <c r="E7" s="33">
        <f>+Input!J38*Input!P38</f>
        <v>0</v>
      </c>
      <c r="F7" s="33">
        <f>+Input!K38*Input!Q38</f>
        <v>0</v>
      </c>
      <c r="G7" s="33">
        <f>+Input!L38*Input!R38</f>
        <v>0</v>
      </c>
      <c r="H7" s="33">
        <f>+Input!M38*Input!S38</f>
        <v>0</v>
      </c>
      <c r="I7" s="15"/>
    </row>
    <row r="8" spans="2:9" ht="15">
      <c r="B8" s="16"/>
      <c r="C8" s="17" t="str">
        <f>+Input!C39</f>
        <v>Tipologia 5</v>
      </c>
      <c r="D8" s="33">
        <f>+Input!I39*Input!O39</f>
        <v>0</v>
      </c>
      <c r="E8" s="33">
        <f>+Input!J39*Input!P39</f>
        <v>0</v>
      </c>
      <c r="F8" s="33">
        <f>+Input!K39*Input!Q39</f>
        <v>0</v>
      </c>
      <c r="G8" s="33">
        <f>+Input!L39*Input!R39</f>
        <v>0</v>
      </c>
      <c r="H8" s="33">
        <f>+Input!M39*Input!S39</f>
        <v>0</v>
      </c>
      <c r="I8" s="15"/>
    </row>
    <row r="9" spans="2:9" ht="15">
      <c r="B9" s="16"/>
      <c r="C9" s="17" t="str">
        <f>+Input!C40</f>
        <v>Tipologia 6</v>
      </c>
      <c r="D9" s="33">
        <f>+Input!I40*Input!O40</f>
        <v>0</v>
      </c>
      <c r="E9" s="33">
        <f>+Input!J40*Input!P40</f>
        <v>0</v>
      </c>
      <c r="F9" s="33">
        <f>+Input!K40*Input!Q40</f>
        <v>0</v>
      </c>
      <c r="G9" s="33">
        <f>+Input!L40*Input!R40</f>
        <v>0</v>
      </c>
      <c r="H9" s="33">
        <f>+Input!M40*Input!S40</f>
        <v>0</v>
      </c>
      <c r="I9" s="15"/>
    </row>
    <row r="10" spans="2:9" ht="15">
      <c r="B10" s="16"/>
      <c r="C10" s="17" t="str">
        <f>+Input!C41</f>
        <v>Tipologia 7</v>
      </c>
      <c r="D10" s="33">
        <f>+Input!I41*Input!O41</f>
        <v>0</v>
      </c>
      <c r="E10" s="33">
        <f>+Input!J41*Input!P41</f>
        <v>0</v>
      </c>
      <c r="F10" s="33">
        <f>+Input!K41*Input!Q41</f>
        <v>0</v>
      </c>
      <c r="G10" s="33">
        <f>+Input!L41*Input!R41</f>
        <v>0</v>
      </c>
      <c r="H10" s="33">
        <f>+Input!M41*Input!S41</f>
        <v>0</v>
      </c>
      <c r="I10" s="15"/>
    </row>
    <row r="11" spans="2:9" ht="15">
      <c r="B11" s="16"/>
      <c r="C11" s="17" t="str">
        <f>+Input!C42</f>
        <v>Tipologia 8</v>
      </c>
      <c r="D11" s="33">
        <f>+Input!I42*Input!O42</f>
        <v>0</v>
      </c>
      <c r="E11" s="33">
        <f>+Input!J42*Input!P42</f>
        <v>0</v>
      </c>
      <c r="F11" s="33">
        <f>+Input!K42*Input!Q42</f>
        <v>0</v>
      </c>
      <c r="G11" s="33">
        <f>+Input!L42*Input!R42</f>
        <v>0</v>
      </c>
      <c r="H11" s="33">
        <f>+Input!M42*Input!S42</f>
        <v>0</v>
      </c>
      <c r="I11" s="15"/>
    </row>
    <row r="12" spans="2:9" ht="15">
      <c r="B12" s="16"/>
      <c r="C12" s="17" t="str">
        <f>+Input!C43</f>
        <v>Tipologia 9</v>
      </c>
      <c r="D12" s="33">
        <f>+Input!I43*Input!O43</f>
        <v>0</v>
      </c>
      <c r="E12" s="33">
        <f>+Input!J43*Input!P43</f>
        <v>0</v>
      </c>
      <c r="F12" s="33">
        <f>+Input!K43*Input!Q43</f>
        <v>0</v>
      </c>
      <c r="G12" s="33">
        <f>+Input!L43*Input!R43</f>
        <v>0</v>
      </c>
      <c r="H12" s="33">
        <f>+Input!M43*Input!S43</f>
        <v>0</v>
      </c>
      <c r="I12" s="15"/>
    </row>
    <row r="13" spans="2:9" ht="15">
      <c r="B13" s="16"/>
      <c r="C13" s="12" t="s">
        <v>15</v>
      </c>
      <c r="D13" s="34">
        <f>SUM(D4:D12)</f>
        <v>171000</v>
      </c>
      <c r="E13" s="34">
        <f>SUM(E4:E12)</f>
        <v>199500</v>
      </c>
      <c r="F13" s="34">
        <f>SUM(F4:F12)</f>
        <v>230000</v>
      </c>
      <c r="G13" s="34">
        <f>SUM(G4:G12)</f>
        <v>235000</v>
      </c>
      <c r="H13" s="34">
        <f>SUM(H4:H12)</f>
        <v>240000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16</v>
      </c>
      <c r="D17" s="13" t="str">
        <f>+Input!I34</f>
        <v>Anno 1</v>
      </c>
      <c r="E17" s="13" t="str">
        <f>+Input!J34</f>
        <v>Anno 2</v>
      </c>
      <c r="F17" s="13" t="str">
        <f>+Input!K34</f>
        <v>Anno 3</v>
      </c>
      <c r="G17" s="13" t="str">
        <f>+Input!L34</f>
        <v>Anno 4</v>
      </c>
      <c r="H17" s="13" t="str">
        <f>+Input!M34</f>
        <v>Anno 5</v>
      </c>
      <c r="I17" s="15"/>
      <c r="K17" s="31"/>
      <c r="L17" s="12" t="s">
        <v>14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21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+Input!C48</f>
        <v>Mp xTipologia 1</v>
      </c>
      <c r="D18" s="33">
        <f>+D4*(1-(Input!$E35))</f>
        <v>71820</v>
      </c>
      <c r="E18" s="33">
        <f>+E4*(1-(Input!$E35))</f>
        <v>83790.00000000001</v>
      </c>
      <c r="F18" s="33">
        <f>+F4*(1-(Input!$E35))</f>
        <v>96600.00000000001</v>
      </c>
      <c r="G18" s="33">
        <f>+G4*(1-(Input!$E35))</f>
        <v>98700.00000000001</v>
      </c>
      <c r="H18" s="33">
        <f>+H4*(1-(Input!$E35))</f>
        <v>100800.00000000001</v>
      </c>
      <c r="I18" s="15"/>
      <c r="K18" s="31"/>
      <c r="L18" s="17" t="str">
        <f aca="true" t="shared" si="0" ref="L18:L26">+C18</f>
        <v>Mp xTipologia 1</v>
      </c>
      <c r="M18" s="29">
        <f>+D18*(Input!$F48/360)</f>
        <v>11970</v>
      </c>
      <c r="N18" s="29">
        <f>+E18*(Input!$F48/360)</f>
        <v>13965.000000000002</v>
      </c>
      <c r="O18" s="29">
        <f>+F18*(Input!$F48/360)</f>
        <v>16100.000000000002</v>
      </c>
      <c r="P18" s="29">
        <f>+G18*(Input!$F48/360)</f>
        <v>16450</v>
      </c>
      <c r="Q18" s="29">
        <f>+H18*(Input!$F48/360)</f>
        <v>16800</v>
      </c>
      <c r="R18" s="32"/>
      <c r="T18" s="31"/>
      <c r="U18" s="17" t="str">
        <f aca="true" t="shared" si="1" ref="U18:U26">+L18</f>
        <v>Mp xTipologia 1</v>
      </c>
      <c r="V18" s="29">
        <f>+D18+M18</f>
        <v>83790</v>
      </c>
      <c r="W18" s="29">
        <f>+E18+N18-M18</f>
        <v>85785.00000000001</v>
      </c>
      <c r="X18" s="29">
        <f aca="true" t="shared" si="2" ref="X18:Z26">+F18+O18-N18</f>
        <v>98735.00000000001</v>
      </c>
      <c r="Y18" s="29">
        <f t="shared" si="2"/>
        <v>99050.00000000001</v>
      </c>
      <c r="Z18" s="29">
        <f t="shared" si="2"/>
        <v>101150.00000000001</v>
      </c>
      <c r="AA18" s="32"/>
    </row>
    <row r="19" spans="2:27" ht="15">
      <c r="B19" s="16"/>
      <c r="C19" s="17" t="str">
        <f>+Input!C49</f>
        <v>Mp xTipologia 2</v>
      </c>
      <c r="D19" s="33">
        <f>+D5*(1-(Input!$E36))</f>
        <v>0</v>
      </c>
      <c r="E19" s="33">
        <f>+E5*(1-(Input!$E36))</f>
        <v>0</v>
      </c>
      <c r="F19" s="33">
        <f>+F5*(1-(Input!$E36))</f>
        <v>0</v>
      </c>
      <c r="G19" s="33">
        <f>+G5*(1-(Input!$E36))</f>
        <v>0</v>
      </c>
      <c r="H19" s="33">
        <f>+H5*(1-(Input!$E36))</f>
        <v>0</v>
      </c>
      <c r="I19" s="15"/>
      <c r="K19" s="31"/>
      <c r="L19" s="17" t="str">
        <f t="shared" si="0"/>
        <v>Mp xTipologia 2</v>
      </c>
      <c r="M19" s="29">
        <f>+D19*(Input!$F49/360)</f>
        <v>0</v>
      </c>
      <c r="N19" s="29">
        <f>+E19*(Input!$F49/360)</f>
        <v>0</v>
      </c>
      <c r="O19" s="29">
        <f>+F19*(Input!$F49/360)</f>
        <v>0</v>
      </c>
      <c r="P19" s="29">
        <f>+G19*(Input!$F49/360)</f>
        <v>0</v>
      </c>
      <c r="Q19" s="29">
        <f>+H19*(Input!$F49/360)</f>
        <v>0</v>
      </c>
      <c r="R19" s="32"/>
      <c r="T19" s="31"/>
      <c r="U19" s="17" t="str">
        <f t="shared" si="1"/>
        <v>Mp xTipologia 2</v>
      </c>
      <c r="V19" s="29">
        <f aca="true" t="shared" si="3" ref="V19:V26">+D19+M19</f>
        <v>0</v>
      </c>
      <c r="W19" s="29">
        <f aca="true" t="shared" si="4" ref="W19:W26">+E19+N19-M19</f>
        <v>0</v>
      </c>
      <c r="X19" s="29">
        <f t="shared" si="2"/>
        <v>0</v>
      </c>
      <c r="Y19" s="29">
        <f t="shared" si="2"/>
        <v>0</v>
      </c>
      <c r="Z19" s="29">
        <f t="shared" si="2"/>
        <v>0</v>
      </c>
      <c r="AA19" s="32"/>
    </row>
    <row r="20" spans="2:27" ht="15">
      <c r="B20" s="16"/>
      <c r="C20" s="17" t="str">
        <f>+Input!C50</f>
        <v>Mp xTipologia 3</v>
      </c>
      <c r="D20" s="33">
        <f>+D6*(1-(Input!$E37))</f>
        <v>0</v>
      </c>
      <c r="E20" s="33">
        <f>+E6*(1-(Input!$E37))</f>
        <v>0</v>
      </c>
      <c r="F20" s="33">
        <f>+F6*(1-(Input!$E37))</f>
        <v>0</v>
      </c>
      <c r="G20" s="33">
        <f>+G6*(1-(Input!$E37))</f>
        <v>0</v>
      </c>
      <c r="H20" s="33">
        <f>+H6*(1-(Input!$E37))</f>
        <v>0</v>
      </c>
      <c r="I20" s="15"/>
      <c r="K20" s="31"/>
      <c r="L20" s="17" t="str">
        <f t="shared" si="0"/>
        <v>Mp xTipologia 3</v>
      </c>
      <c r="M20" s="29">
        <f>+D20*(Input!$F50/360)</f>
        <v>0</v>
      </c>
      <c r="N20" s="29">
        <f>+E20*(Input!$F50/360)</f>
        <v>0</v>
      </c>
      <c r="O20" s="29">
        <f>+F20*(Input!$F50/360)</f>
        <v>0</v>
      </c>
      <c r="P20" s="29">
        <f>+G20*(Input!$F50/360)</f>
        <v>0</v>
      </c>
      <c r="Q20" s="29">
        <f>+H20*(Input!$F50/360)</f>
        <v>0</v>
      </c>
      <c r="R20" s="32"/>
      <c r="T20" s="31"/>
      <c r="U20" s="17" t="str">
        <f t="shared" si="1"/>
        <v>Mp xTipologia 3</v>
      </c>
      <c r="V20" s="29">
        <f t="shared" si="3"/>
        <v>0</v>
      </c>
      <c r="W20" s="29">
        <f t="shared" si="4"/>
        <v>0</v>
      </c>
      <c r="X20" s="29">
        <f t="shared" si="2"/>
        <v>0</v>
      </c>
      <c r="Y20" s="29">
        <f t="shared" si="2"/>
        <v>0</v>
      </c>
      <c r="Z20" s="29">
        <f t="shared" si="2"/>
        <v>0</v>
      </c>
      <c r="AA20" s="32"/>
    </row>
    <row r="21" spans="2:27" ht="15">
      <c r="B21" s="16"/>
      <c r="C21" s="17" t="str">
        <f>+Input!C51</f>
        <v>Mp xTipologia 4</v>
      </c>
      <c r="D21" s="33">
        <f>+D7*(1-(Input!$E38))</f>
        <v>0</v>
      </c>
      <c r="E21" s="33">
        <f>+E7*(1-(Input!$E38))</f>
        <v>0</v>
      </c>
      <c r="F21" s="33">
        <f>+F7*(1-(Input!$E38))</f>
        <v>0</v>
      </c>
      <c r="G21" s="33">
        <f>+G7*(1-(Input!$E38))</f>
        <v>0</v>
      </c>
      <c r="H21" s="33">
        <f>+H7*(1-(Input!$E38))</f>
        <v>0</v>
      </c>
      <c r="I21" s="15"/>
      <c r="K21" s="31"/>
      <c r="L21" s="17" t="str">
        <f t="shared" si="0"/>
        <v>Mp xTipologia 4</v>
      </c>
      <c r="M21" s="29">
        <f>+D21*(Input!$F51/360)</f>
        <v>0</v>
      </c>
      <c r="N21" s="29">
        <f>+E21*(Input!$F51/360)</f>
        <v>0</v>
      </c>
      <c r="O21" s="29">
        <f>+F21*(Input!$F51/360)</f>
        <v>0</v>
      </c>
      <c r="P21" s="29">
        <f>+G21*(Input!$F51/360)</f>
        <v>0</v>
      </c>
      <c r="Q21" s="29">
        <f>+H21*(Input!$F51/360)</f>
        <v>0</v>
      </c>
      <c r="R21" s="32"/>
      <c r="T21" s="31"/>
      <c r="U21" s="17" t="str">
        <f t="shared" si="1"/>
        <v>Mp xTipologia 4</v>
      </c>
      <c r="V21" s="29">
        <f t="shared" si="3"/>
        <v>0</v>
      </c>
      <c r="W21" s="29">
        <f t="shared" si="4"/>
        <v>0</v>
      </c>
      <c r="X21" s="29">
        <f t="shared" si="2"/>
        <v>0</v>
      </c>
      <c r="Y21" s="29">
        <f t="shared" si="2"/>
        <v>0</v>
      </c>
      <c r="Z21" s="29">
        <f t="shared" si="2"/>
        <v>0</v>
      </c>
      <c r="AA21" s="32"/>
    </row>
    <row r="22" spans="2:27" ht="15">
      <c r="B22" s="16"/>
      <c r="C22" s="17" t="str">
        <f>+Input!C52</f>
        <v>Mp xTipologia 5</v>
      </c>
      <c r="D22" s="33">
        <f>+D8*(1-(Input!$E39))</f>
        <v>0</v>
      </c>
      <c r="E22" s="33">
        <f>+E8*(1-(Input!$E39))</f>
        <v>0</v>
      </c>
      <c r="F22" s="33">
        <f>+F8*(1-(Input!$E39))</f>
        <v>0</v>
      </c>
      <c r="G22" s="33">
        <f>+G8*(1-(Input!$E39))</f>
        <v>0</v>
      </c>
      <c r="H22" s="33">
        <f>+H8*(1-(Input!$E39))</f>
        <v>0</v>
      </c>
      <c r="I22" s="15"/>
      <c r="K22" s="31"/>
      <c r="L22" s="17" t="str">
        <f t="shared" si="0"/>
        <v>Mp xTipologia 5</v>
      </c>
      <c r="M22" s="29">
        <f>+D22*(Input!$F52/360)</f>
        <v>0</v>
      </c>
      <c r="N22" s="29">
        <f>+E22*(Input!$F52/360)</f>
        <v>0</v>
      </c>
      <c r="O22" s="29">
        <f>+F22*(Input!$F52/360)</f>
        <v>0</v>
      </c>
      <c r="P22" s="29">
        <f>+G22*(Input!$F52/360)</f>
        <v>0</v>
      </c>
      <c r="Q22" s="29">
        <f>+H22*(Input!$F52/360)</f>
        <v>0</v>
      </c>
      <c r="R22" s="32"/>
      <c r="T22" s="31"/>
      <c r="U22" s="17" t="str">
        <f t="shared" si="1"/>
        <v>Mp xTipologia 5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+Input!C53</f>
        <v>Mp xTipologia 6</v>
      </c>
      <c r="D23" s="33">
        <f>+D9*(1-(Input!$E40))</f>
        <v>0</v>
      </c>
      <c r="E23" s="33">
        <f>+E9*(1-(Input!$E40))</f>
        <v>0</v>
      </c>
      <c r="F23" s="33">
        <f>+F9*(1-(Input!$E40))</f>
        <v>0</v>
      </c>
      <c r="G23" s="33">
        <f>+G9*(1-(Input!$E40))</f>
        <v>0</v>
      </c>
      <c r="H23" s="33">
        <f>+H9*(1-(Input!$E40))</f>
        <v>0</v>
      </c>
      <c r="I23" s="15"/>
      <c r="K23" s="31"/>
      <c r="L23" s="17" t="str">
        <f t="shared" si="0"/>
        <v>Mp xTipologia 6</v>
      </c>
      <c r="M23" s="29">
        <f>+D23*(Input!$F53/360)</f>
        <v>0</v>
      </c>
      <c r="N23" s="29">
        <f>+E23*(Input!$F53/360)</f>
        <v>0</v>
      </c>
      <c r="O23" s="29">
        <f>+F23*(Input!$F53/360)</f>
        <v>0</v>
      </c>
      <c r="P23" s="29">
        <f>+G23*(Input!$F53/360)</f>
        <v>0</v>
      </c>
      <c r="Q23" s="29">
        <f>+H23*(Input!$F53/360)</f>
        <v>0</v>
      </c>
      <c r="R23" s="32"/>
      <c r="T23" s="31"/>
      <c r="U23" s="17" t="str">
        <f t="shared" si="1"/>
        <v>Mp xTipologia 6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+Input!C54</f>
        <v>Mp xTipologia 7</v>
      </c>
      <c r="D24" s="33">
        <f>+D10*(1-(Input!$E41))</f>
        <v>0</v>
      </c>
      <c r="E24" s="33">
        <f>+E10*(1-(Input!$E41))</f>
        <v>0</v>
      </c>
      <c r="F24" s="33">
        <f>+F10*(1-(Input!$E41))</f>
        <v>0</v>
      </c>
      <c r="G24" s="33">
        <f>+G10*(1-(Input!$E41))</f>
        <v>0</v>
      </c>
      <c r="H24" s="33">
        <f>+H10*(1-(Input!$E41))</f>
        <v>0</v>
      </c>
      <c r="I24" s="15"/>
      <c r="K24" s="31"/>
      <c r="L24" s="17" t="str">
        <f t="shared" si="0"/>
        <v>Mp xTipologia 7</v>
      </c>
      <c r="M24" s="29">
        <f>+D24*(Input!$F54/360)</f>
        <v>0</v>
      </c>
      <c r="N24" s="29">
        <f>+E24*(Input!$F54/360)</f>
        <v>0</v>
      </c>
      <c r="O24" s="29">
        <f>+F24*(Input!$F54/360)</f>
        <v>0</v>
      </c>
      <c r="P24" s="29">
        <f>+G24*(Input!$F54/360)</f>
        <v>0</v>
      </c>
      <c r="Q24" s="29">
        <f>+H24*(Input!$F54/360)</f>
        <v>0</v>
      </c>
      <c r="R24" s="32"/>
      <c r="T24" s="31"/>
      <c r="U24" s="17" t="str">
        <f t="shared" si="1"/>
        <v>Mp xTipologia 7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+Input!C55</f>
        <v>Mp xTipologia 8</v>
      </c>
      <c r="D25" s="33">
        <f>+D11*(1-(Input!$E42))</f>
        <v>0</v>
      </c>
      <c r="E25" s="33">
        <f>+E11*(1-(Input!$E42))</f>
        <v>0</v>
      </c>
      <c r="F25" s="33">
        <f>+F11*(1-(Input!$E42))</f>
        <v>0</v>
      </c>
      <c r="G25" s="33">
        <f>+G11*(1-(Input!$E42))</f>
        <v>0</v>
      </c>
      <c r="H25" s="33">
        <f>+H11*(1-(Input!$E42))</f>
        <v>0</v>
      </c>
      <c r="I25" s="15"/>
      <c r="K25" s="16"/>
      <c r="L25" s="17" t="str">
        <f t="shared" si="0"/>
        <v>Mp xTipologia 8</v>
      </c>
      <c r="M25" s="29">
        <f>+D25*(Input!$F55/360)</f>
        <v>0</v>
      </c>
      <c r="N25" s="29">
        <f>+E25*(Input!$F55/360)</f>
        <v>0</v>
      </c>
      <c r="O25" s="29">
        <f>+F25*(Input!$F55/360)</f>
        <v>0</v>
      </c>
      <c r="P25" s="29">
        <f>+G25*(Input!$F55/360)</f>
        <v>0</v>
      </c>
      <c r="Q25" s="29">
        <f>+H25*(Input!$F55/360)</f>
        <v>0</v>
      </c>
      <c r="R25" s="32"/>
      <c r="T25" s="16"/>
      <c r="U25" s="17" t="str">
        <f t="shared" si="1"/>
        <v>Mp xTipologia 8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+Input!C56</f>
        <v>Mp xTipologia 9</v>
      </c>
      <c r="D26" s="33">
        <f>+D12*(1-(Input!$E43))</f>
        <v>0</v>
      </c>
      <c r="E26" s="33">
        <f>+E12*(1-(Input!$E43))</f>
        <v>0</v>
      </c>
      <c r="F26" s="33">
        <f>+F12*(1-(Input!$E43))</f>
        <v>0</v>
      </c>
      <c r="G26" s="33">
        <f>+G12*(1-(Input!$E43))</f>
        <v>0</v>
      </c>
      <c r="H26" s="33">
        <f>+H12*(1-(Input!$E43))</f>
        <v>0</v>
      </c>
      <c r="I26" s="15"/>
      <c r="K26" s="16"/>
      <c r="L26" s="17" t="str">
        <f t="shared" si="0"/>
        <v>Mp xTipologia 9</v>
      </c>
      <c r="M26" s="29">
        <f>+D26*(Input!$F56/360)</f>
        <v>0</v>
      </c>
      <c r="N26" s="29">
        <f>+E26*(Input!$F56/360)</f>
        <v>0</v>
      </c>
      <c r="O26" s="29">
        <f>+F26*(Input!$F56/360)</f>
        <v>0</v>
      </c>
      <c r="P26" s="29">
        <f>+G26*(Input!$F56/360)</f>
        <v>0</v>
      </c>
      <c r="Q26" s="29">
        <f>+H26*(Input!$F56/360)</f>
        <v>0</v>
      </c>
      <c r="R26" s="32"/>
      <c r="T26" s="16"/>
      <c r="U26" s="17" t="str">
        <f t="shared" si="1"/>
        <v>Mp xTipologia 9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15</v>
      </c>
      <c r="D27" s="34">
        <f>SUM(D18:D26)</f>
        <v>71820</v>
      </c>
      <c r="E27" s="34">
        <f>SUM(E18:E26)</f>
        <v>83790.00000000001</v>
      </c>
      <c r="F27" s="34">
        <f>SUM(F18:F26)</f>
        <v>96600.00000000001</v>
      </c>
      <c r="G27" s="34">
        <f>SUM(G18:G26)</f>
        <v>98700.00000000001</v>
      </c>
      <c r="H27" s="34">
        <f>SUM(H18:H26)</f>
        <v>100800.00000000001</v>
      </c>
      <c r="I27" s="15"/>
      <c r="K27" s="16"/>
      <c r="L27" s="12" t="s">
        <v>15</v>
      </c>
      <c r="M27" s="34">
        <f>SUM(M18:M26)</f>
        <v>11970</v>
      </c>
      <c r="N27" s="34">
        <f>SUM(N18:N26)</f>
        <v>13965.000000000002</v>
      </c>
      <c r="O27" s="34">
        <f>SUM(O18:O26)</f>
        <v>16100.000000000002</v>
      </c>
      <c r="P27" s="34">
        <f>SUM(P18:P26)</f>
        <v>16450</v>
      </c>
      <c r="Q27" s="34">
        <f>SUM(Q18:Q26)</f>
        <v>16800</v>
      </c>
      <c r="R27" s="32"/>
      <c r="T27" s="16"/>
      <c r="U27" s="12" t="s">
        <v>15</v>
      </c>
      <c r="V27" s="34">
        <f>SUM(V18:V26)</f>
        <v>83790</v>
      </c>
      <c r="W27" s="34">
        <f>SUM(W18:W26)</f>
        <v>85785.00000000001</v>
      </c>
      <c r="X27" s="34">
        <f>SUM(X18:X26)</f>
        <v>98735.00000000001</v>
      </c>
      <c r="Y27" s="34">
        <f>SUM(Y18:Y26)</f>
        <v>99050.00000000001</v>
      </c>
      <c r="Z27" s="34">
        <f>SUM(Z18:Z26)</f>
        <v>101150.00000000001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>
      <c r="V29" s="85"/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17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18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368</v>
      </c>
      <c r="V31" s="13" t="str">
        <f>+V17</f>
        <v>Anno 1</v>
      </c>
      <c r="W31" s="13" t="str">
        <f>+W17</f>
        <v>Anno 2</v>
      </c>
      <c r="X31" s="13" t="str">
        <f>+X17</f>
        <v>Anno 3</v>
      </c>
      <c r="Y31" s="13" t="str">
        <f>+Y17</f>
        <v>Anno 4</v>
      </c>
      <c r="Z31" s="13" t="str">
        <f>+Z17</f>
        <v>Anno 5</v>
      </c>
      <c r="AA31" s="36"/>
    </row>
    <row r="32" spans="2:27" ht="15">
      <c r="B32" s="16"/>
      <c r="C32" s="17" t="str">
        <f>+C18</f>
        <v>Mp xTipologia 1</v>
      </c>
      <c r="D32" s="33">
        <f>+IF(Input!$G35=0,0,IF(Input!$G35=30,((D4+V32)/12),IF(Input!$G35=60,(D4+V32)/6,IF(Input!$G35=90,(D4+V32)/4,IF(Input!$G35=120,(D4+V32)/3,IF(Input!$G35=150,(D4+V32)*0.416667,(D4+V32)/2))))))</f>
        <v>0</v>
      </c>
      <c r="E32" s="33">
        <f>+IF(Input!$G35=0,0,IF(Input!$G35=30,((E4+W32)/12),IF(Input!$G35=60,(E4+W32)/6,IF(Input!$G35=90,(E4+W32)/4,IF(Input!$G35=120,(E4+W32)/3,IF(Input!$G35=150,(E4+W32)*0.416667,(E4+W32)/2))))))</f>
        <v>0</v>
      </c>
      <c r="F32" s="33">
        <f>+IF(Input!$G35=0,0,IF(Input!$G35=30,((F4+X32)/12),IF(Input!$G35=60,(F4+X32)/6,IF(Input!$G35=90,(F4+X32)/4,IF(Input!$G35=120,(F4+X32)/3,IF(Input!$G35=150,(F4+X32)*0.416667,(F4+X32)/2))))))</f>
        <v>0</v>
      </c>
      <c r="G32" s="33">
        <f>+IF(Input!$G35=0,0,IF(Input!$G35=30,((G4+Y32)/12),IF(Input!$G35=60,(G4+Y32)/6,IF(Input!$G35=90,(G4+Y32)/4,IF(Input!$G35=120,(G4+Y32)/3,IF(Input!$G35=150,(G4+Y32)*0.416667,(G4+Y32)/2))))))</f>
        <v>0</v>
      </c>
      <c r="H32" s="33">
        <f>+IF(Input!$G35=0,0,IF(Input!$G35=30,((H4+Z32)/12),IF(Input!$G35=60,(H4+Z32)/6,IF(Input!$G35=90,(H4+Z32)/4,IF(Input!$G35=120,(H4+Z32)/3,IF(Input!$G35=150,(H4+Z32)*0.416667,(H4+Z32)/2))))))</f>
        <v>0</v>
      </c>
      <c r="I32" s="15"/>
      <c r="K32" s="16"/>
      <c r="L32" s="17" t="str">
        <f>+L18</f>
        <v>Mp xTipologia 1</v>
      </c>
      <c r="M32" s="33">
        <f>+Input!$F35*D4</f>
        <v>35910</v>
      </c>
      <c r="N32" s="33">
        <f>+Input!$F35*E4</f>
        <v>41895</v>
      </c>
      <c r="O32" s="33">
        <f>+Input!$F35*F4</f>
        <v>48300</v>
      </c>
      <c r="P32" s="33">
        <f>+Input!$F35*G4</f>
        <v>49350</v>
      </c>
      <c r="Q32" s="33">
        <f>+Input!$F35*H4</f>
        <v>50400</v>
      </c>
      <c r="R32" s="15"/>
      <c r="T32" s="16"/>
      <c r="U32" s="17" t="str">
        <f>+U18</f>
        <v>Mp xTipologia 1</v>
      </c>
      <c r="V32" s="33">
        <f>+M32/12</f>
        <v>2992.5</v>
      </c>
      <c r="W32" s="33">
        <f aca="true" t="shared" si="5" ref="W32:Z40">+N32/12</f>
        <v>3491.25</v>
      </c>
      <c r="X32" s="33">
        <f t="shared" si="5"/>
        <v>4025</v>
      </c>
      <c r="Y32" s="33">
        <f t="shared" si="5"/>
        <v>4112.5</v>
      </c>
      <c r="Z32" s="33">
        <f t="shared" si="5"/>
        <v>4200</v>
      </c>
      <c r="AA32" s="15"/>
    </row>
    <row r="33" spans="2:27" ht="15">
      <c r="B33" s="16"/>
      <c r="C33" s="17" t="str">
        <f aca="true" t="shared" si="6" ref="C33:C40">+C19</f>
        <v>Mp xTipologia 2</v>
      </c>
      <c r="D33" s="33">
        <f>+IF(Input!$G36=0,0,IF(Input!$G36=30,((D5+V33)/12),IF(Input!$G36=60,(D5+V33)/6,IF(Input!$G36=90,(D5+V33)/4,IF(Input!$G36=120,(D5+V33)/3,IF(Input!$G36=150,(D5+V33)*0.416667,(D5+V33)/2))))))</f>
        <v>0</v>
      </c>
      <c r="E33" s="33">
        <f>+IF(Input!$G36=0,0,IF(Input!$G36=30,((E5+W33)/12),IF(Input!$G36=60,(E5+W33)/6,IF(Input!$G36=90,(E5+W33)/4,IF(Input!$G36=120,(E5+W33)/3,IF(Input!$G36=150,(E5+W33)*0.416667,(E5+W33)/2))))))</f>
        <v>0</v>
      </c>
      <c r="F33" s="33">
        <f>+IF(Input!$G36=0,0,IF(Input!$G36=30,((F5+X33)/12),IF(Input!$G36=60,(F5+X33)/6,IF(Input!$G36=90,(F5+X33)/4,IF(Input!$G36=120,(F5+X33)/3,IF(Input!$G36=150,(F5+X33)*0.416667,(F5+X33)/2))))))</f>
        <v>0</v>
      </c>
      <c r="G33" s="33">
        <f>+IF(Input!$G36=0,0,IF(Input!$G36=30,((G5+Y33)/12),IF(Input!$G36=60,(G5+Y33)/6,IF(Input!$G36=90,(G5+Y33)/4,IF(Input!$G36=120,(G5+Y33)/3,IF(Input!$G36=150,(G5+Y33)*0.416667,(G5+Y33)/2))))))</f>
        <v>0</v>
      </c>
      <c r="H33" s="33">
        <f>+IF(Input!$G36=0,0,IF(Input!$G36=30,((H5+Z33)/12),IF(Input!$G36=60,(H5+Z33)/6,IF(Input!$G36=90,(H5+Z33)/4,IF(Input!$G36=120,(H5+Z33)/3,IF(Input!$G36=150,(H5+Z33)*0.416667,(H5+Z33)/2))))))</f>
        <v>0</v>
      </c>
      <c r="I33" s="15"/>
      <c r="K33" s="16"/>
      <c r="L33" s="17" t="str">
        <f aca="true" t="shared" si="7" ref="L33:L40">+L19</f>
        <v>Mp xTipologia 2</v>
      </c>
      <c r="M33" s="33">
        <f>+Input!$F36*D5</f>
        <v>0</v>
      </c>
      <c r="N33" s="33">
        <f>+Input!$F36*E5</f>
        <v>0</v>
      </c>
      <c r="O33" s="33">
        <f>+Input!$F36*F5</f>
        <v>0</v>
      </c>
      <c r="P33" s="33">
        <f>+Input!$F36*G5</f>
        <v>0</v>
      </c>
      <c r="Q33" s="33">
        <f>+Input!$F36*H5</f>
        <v>0</v>
      </c>
      <c r="R33" s="15"/>
      <c r="T33" s="16"/>
      <c r="U33" s="17" t="str">
        <f aca="true" t="shared" si="8" ref="U33:U40">+U19</f>
        <v>Mp xTipologia 2</v>
      </c>
      <c r="V33" s="33">
        <f aca="true" t="shared" si="9" ref="V33:V40">+M33/12</f>
        <v>0</v>
      </c>
      <c r="W33" s="33">
        <f t="shared" si="5"/>
        <v>0</v>
      </c>
      <c r="X33" s="33">
        <f t="shared" si="5"/>
        <v>0</v>
      </c>
      <c r="Y33" s="33">
        <f t="shared" si="5"/>
        <v>0</v>
      </c>
      <c r="Z33" s="33">
        <f t="shared" si="5"/>
        <v>0</v>
      </c>
      <c r="AA33" s="15"/>
    </row>
    <row r="34" spans="2:27" ht="15">
      <c r="B34" s="16"/>
      <c r="C34" s="17" t="str">
        <f t="shared" si="6"/>
        <v>Mp xTipologia 3</v>
      </c>
      <c r="D34" s="33">
        <f>+IF(Input!$G37=0,0,IF(Input!$G37=30,((D6+V34)/12),IF(Input!$G37=60,(D6+V34)/6,IF(Input!$G37=90,(D6+V34)/4,IF(Input!$G37=120,(D6+V34)/3,IF(Input!$G37=150,(D6+V34)*0.416667,(D6+V34)/2))))))</f>
        <v>0</v>
      </c>
      <c r="E34" s="33">
        <f>+IF(Input!$G37=0,0,IF(Input!$G37=30,((E6+W34)/12),IF(Input!$G37=60,(E6+W34)/6,IF(Input!$G37=90,(E6+W34)/4,IF(Input!$G37=120,(E6+W34)/3,IF(Input!$G37=150,(E6+W34)*0.416667,(E6+W34)/2))))))</f>
        <v>0</v>
      </c>
      <c r="F34" s="33">
        <f>+IF(Input!$G37=0,0,IF(Input!$G37=30,((F6+X34)/12),IF(Input!$G37=60,(F6+X34)/6,IF(Input!$G37=90,(F6+X34)/4,IF(Input!$G37=120,(F6+X34)/3,IF(Input!$G37=150,(F6+X34)*0.416667,(F6+X34)/2))))))</f>
        <v>0</v>
      </c>
      <c r="G34" s="33">
        <f>+IF(Input!$G37=0,0,IF(Input!$G37=30,((G6+Y34)/12),IF(Input!$G37=60,(G6+Y34)/6,IF(Input!$G37=90,(G6+Y34)/4,IF(Input!$G37=120,(G6+Y34)/3,IF(Input!$G37=150,(G6+Y34)*0.416667,(G6+Y34)/2))))))</f>
        <v>0</v>
      </c>
      <c r="H34" s="33">
        <f>+IF(Input!$G37=0,0,IF(Input!$G37=30,((H6+Z34)/12),IF(Input!$G37=60,(H6+Z34)/6,IF(Input!$G37=90,(H6+Z34)/4,IF(Input!$G37=120,(H6+Z34)/3,IF(Input!$G37=150,(H6+Z34)*0.416667,(H6+Z34)/2))))))</f>
        <v>0</v>
      </c>
      <c r="I34" s="15"/>
      <c r="K34" s="16"/>
      <c r="L34" s="17" t="str">
        <f t="shared" si="7"/>
        <v>Mp xTipologia 3</v>
      </c>
      <c r="M34" s="33">
        <f>+Input!$F37*D6</f>
        <v>0</v>
      </c>
      <c r="N34" s="33">
        <f>+Input!$F37*E6</f>
        <v>0</v>
      </c>
      <c r="O34" s="33">
        <f>+Input!$F37*F6</f>
        <v>0</v>
      </c>
      <c r="P34" s="33">
        <f>+Input!$F37*G6</f>
        <v>0</v>
      </c>
      <c r="Q34" s="33">
        <f>+Input!$F37*H6</f>
        <v>0</v>
      </c>
      <c r="R34" s="15"/>
      <c r="T34" s="16"/>
      <c r="U34" s="17" t="str">
        <f t="shared" si="8"/>
        <v>Mp xTipologia 3</v>
      </c>
      <c r="V34" s="33">
        <f t="shared" si="9"/>
        <v>0</v>
      </c>
      <c r="W34" s="33">
        <f t="shared" si="5"/>
        <v>0</v>
      </c>
      <c r="X34" s="33">
        <f t="shared" si="5"/>
        <v>0</v>
      </c>
      <c r="Y34" s="33">
        <f t="shared" si="5"/>
        <v>0</v>
      </c>
      <c r="Z34" s="33">
        <f t="shared" si="5"/>
        <v>0</v>
      </c>
      <c r="AA34" s="15"/>
    </row>
    <row r="35" spans="2:27" ht="15">
      <c r="B35" s="16"/>
      <c r="C35" s="17" t="str">
        <f t="shared" si="6"/>
        <v>Mp xTipologia 4</v>
      </c>
      <c r="D35" s="33">
        <f>+IF(Input!$G38=0,0,IF(Input!$G38=30,((D7+V35)/12),IF(Input!$G38=60,(D7+V35)/6,IF(Input!$G38=90,(D7+V35)/4,IF(Input!$G38=120,(D7+V35)/3,IF(Input!$G38=150,(D7+V35)*0.416667,(D7+V35)/2))))))</f>
        <v>0</v>
      </c>
      <c r="E35" s="33">
        <f>+IF(Input!$G38=0,0,IF(Input!$G38=30,((E7+W35)/12),IF(Input!$G38=60,(E7+W35)/6,IF(Input!$G38=90,(E7+W35)/4,IF(Input!$G38=120,(E7+W35)/3,IF(Input!$G38=150,(E7+W35)*0.416667,(E7+W35)/2))))))</f>
        <v>0</v>
      </c>
      <c r="F35" s="33">
        <f>+IF(Input!$G38=0,0,IF(Input!$G38=30,((F7+X35)/12),IF(Input!$G38=60,(F7+X35)/6,IF(Input!$G38=90,(F7+X35)/4,IF(Input!$G38=120,(F7+X35)/3,IF(Input!$G38=150,(F7+X35)*0.416667,(F7+X35)/2))))))</f>
        <v>0</v>
      </c>
      <c r="G35" s="33">
        <f>+IF(Input!$G38=0,0,IF(Input!$G38=30,((G7+Y35)/12),IF(Input!$G38=60,(G7+Y35)/6,IF(Input!$G38=90,(G7+Y35)/4,IF(Input!$G38=120,(G7+Y35)/3,IF(Input!$G38=150,(G7+Y35)*0.416667,(G7+Y35)/2))))))</f>
        <v>0</v>
      </c>
      <c r="H35" s="33">
        <f>+IF(Input!$G38=0,0,IF(Input!$G38=30,((H7+Z35)/12),IF(Input!$G38=60,(H7+Z35)/6,IF(Input!$G38=90,(H7+Z35)/4,IF(Input!$G38=120,(H7+Z35)/3,IF(Input!$G38=150,(H7+Z35)*0.416667,(H7+Z35)/2))))))</f>
        <v>0</v>
      </c>
      <c r="I35" s="15"/>
      <c r="K35" s="16"/>
      <c r="L35" s="17" t="str">
        <f t="shared" si="7"/>
        <v>Mp xTipologia 4</v>
      </c>
      <c r="M35" s="33">
        <f>+Input!$F38*D7</f>
        <v>0</v>
      </c>
      <c r="N35" s="33">
        <f>+Input!$F38*E7</f>
        <v>0</v>
      </c>
      <c r="O35" s="33">
        <f>+Input!$F38*F7</f>
        <v>0</v>
      </c>
      <c r="P35" s="33">
        <f>+Input!$F38*G7</f>
        <v>0</v>
      </c>
      <c r="Q35" s="33">
        <f>+Input!$F38*H7</f>
        <v>0</v>
      </c>
      <c r="R35" s="15"/>
      <c r="T35" s="16"/>
      <c r="U35" s="17" t="str">
        <f t="shared" si="8"/>
        <v>Mp xTipologia 4</v>
      </c>
      <c r="V35" s="33">
        <f t="shared" si="9"/>
        <v>0</v>
      </c>
      <c r="W35" s="33">
        <f t="shared" si="5"/>
        <v>0</v>
      </c>
      <c r="X35" s="33">
        <f t="shared" si="5"/>
        <v>0</v>
      </c>
      <c r="Y35" s="33">
        <f t="shared" si="5"/>
        <v>0</v>
      </c>
      <c r="Z35" s="33">
        <f t="shared" si="5"/>
        <v>0</v>
      </c>
      <c r="AA35" s="15"/>
    </row>
    <row r="36" spans="2:27" ht="15">
      <c r="B36" s="16"/>
      <c r="C36" s="17" t="str">
        <f t="shared" si="6"/>
        <v>Mp xTipologia 5</v>
      </c>
      <c r="D36" s="33">
        <f>+IF(Input!$G39=0,0,IF(Input!$G39=30,((D8+V36)/12),IF(Input!$G39=60,(D8+V36)/6,IF(Input!$G39=90,(D8+V36)/4,IF(Input!$G39=120,(D8+V36)/3,IF(Input!$G39=150,(D8+V36)*0.416667,(D8+V36)/2))))))</f>
        <v>0</v>
      </c>
      <c r="E36" s="33">
        <f>+IF(Input!$G39=0,0,IF(Input!$G39=30,((E8+W36)/12),IF(Input!$G39=60,(E8+W36)/6,IF(Input!$G39=90,(E8+W36)/4,IF(Input!$G39=120,(E8+W36)/3,IF(Input!$G39=150,(E8+W36)*0.416667,(E8+W36)/2))))))</f>
        <v>0</v>
      </c>
      <c r="F36" s="33">
        <f>+IF(Input!$G39=0,0,IF(Input!$G39=30,((F8+X36)/12),IF(Input!$G39=60,(F8+X36)/6,IF(Input!$G39=90,(F8+X36)/4,IF(Input!$G39=120,(F8+X36)/3,IF(Input!$G39=150,(F8+X36)*0.416667,(F8+X36)/2))))))</f>
        <v>0</v>
      </c>
      <c r="G36" s="33">
        <f>+IF(Input!$G39=0,0,IF(Input!$G39=30,((G8+Y36)/12),IF(Input!$G39=60,(G8+Y36)/6,IF(Input!$G39=90,(G8+Y36)/4,IF(Input!$G39=120,(G8+Y36)/3,IF(Input!$G39=150,(G8+Y36)*0.416667,(G8+Y36)/2))))))</f>
        <v>0</v>
      </c>
      <c r="H36" s="33">
        <f>+IF(Input!$G39=0,0,IF(Input!$G39=30,((H8+Z36)/12),IF(Input!$G39=60,(H8+Z36)/6,IF(Input!$G39=90,(H8+Z36)/4,IF(Input!$G39=120,(H8+Z36)/3,IF(Input!$G39=150,(H8+Z36)*0.416667,(H8+Z36)/2))))))</f>
        <v>0</v>
      </c>
      <c r="I36" s="15"/>
      <c r="K36" s="16"/>
      <c r="L36" s="17" t="str">
        <f t="shared" si="7"/>
        <v>Mp xTipologia 5</v>
      </c>
      <c r="M36" s="33">
        <f>+Input!$F39*D8</f>
        <v>0</v>
      </c>
      <c r="N36" s="33">
        <f>+Input!$F39*E8</f>
        <v>0</v>
      </c>
      <c r="O36" s="33">
        <f>+Input!$F39*F8</f>
        <v>0</v>
      </c>
      <c r="P36" s="33">
        <f>+Input!$F39*G8</f>
        <v>0</v>
      </c>
      <c r="Q36" s="33">
        <f>+Input!$F39*H8</f>
        <v>0</v>
      </c>
      <c r="R36" s="15"/>
      <c r="T36" s="16"/>
      <c r="U36" s="17" t="str">
        <f t="shared" si="8"/>
        <v>Mp xTipologia 5</v>
      </c>
      <c r="V36" s="33">
        <f t="shared" si="9"/>
        <v>0</v>
      </c>
      <c r="W36" s="33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15"/>
    </row>
    <row r="37" spans="2:27" ht="15">
      <c r="B37" s="16"/>
      <c r="C37" s="17" t="str">
        <f t="shared" si="6"/>
        <v>Mp xTipologia 6</v>
      </c>
      <c r="D37" s="33">
        <f>+IF(Input!$G40=0,0,IF(Input!$G40=30,((D9+V37)/12),IF(Input!$G40=60,(D9+V37)/6,IF(Input!$G40=90,(D9+V37)/4,IF(Input!$G40=120,(D9+V37)/3,IF(Input!$G40=150,(D9+V37)*0.416667,(D9+V37)/2))))))</f>
        <v>0</v>
      </c>
      <c r="E37" s="33">
        <f>+IF(Input!$G40=0,0,IF(Input!$G40=30,((E9+W37)/12),IF(Input!$G40=60,(E9+W37)/6,IF(Input!$G40=90,(E9+W37)/4,IF(Input!$G40=120,(E9+W37)/3,IF(Input!$G40=150,(E9+W37)*0.416667,(E9+W37)/2))))))</f>
        <v>0</v>
      </c>
      <c r="F37" s="33">
        <f>+IF(Input!$G40=0,0,IF(Input!$G40=30,((F9+X37)/12),IF(Input!$G40=60,(F9+X37)/6,IF(Input!$G40=90,(F9+X37)/4,IF(Input!$G40=120,(F9+X37)/3,IF(Input!$G40=150,(F9+X37)*0.416667,(F9+X37)/2))))))</f>
        <v>0</v>
      </c>
      <c r="G37" s="33">
        <f>+IF(Input!$G40=0,0,IF(Input!$G40=30,((G9+Y37)/12),IF(Input!$G40=60,(G9+Y37)/6,IF(Input!$G40=90,(G9+Y37)/4,IF(Input!$G40=120,(G9+Y37)/3,IF(Input!$G40=150,(G9+Y37)*0.416667,(G9+Y37)/2))))))</f>
        <v>0</v>
      </c>
      <c r="H37" s="33">
        <f>+IF(Input!$G40=0,0,IF(Input!$G40=30,((H9+Z37)/12),IF(Input!$G40=60,(H9+Z37)/6,IF(Input!$G40=90,(H9+Z37)/4,IF(Input!$G40=120,(H9+Z37)/3,IF(Input!$G40=150,(H9+Z37)*0.416667,(H9+Z37)/2))))))</f>
        <v>0</v>
      </c>
      <c r="I37" s="15"/>
      <c r="K37" s="16"/>
      <c r="L37" s="17" t="str">
        <f t="shared" si="7"/>
        <v>Mp xTipologia 6</v>
      </c>
      <c r="M37" s="33">
        <f>+Input!$F40*D9</f>
        <v>0</v>
      </c>
      <c r="N37" s="33">
        <f>+Input!$F40*E9</f>
        <v>0</v>
      </c>
      <c r="O37" s="33">
        <f>+Input!$F40*F9</f>
        <v>0</v>
      </c>
      <c r="P37" s="33">
        <f>+Input!$F40*G9</f>
        <v>0</v>
      </c>
      <c r="Q37" s="33">
        <f>+Input!$F40*H9</f>
        <v>0</v>
      </c>
      <c r="R37" s="15"/>
      <c r="T37" s="16"/>
      <c r="U37" s="17" t="str">
        <f t="shared" si="8"/>
        <v>Mp xTipologia 6</v>
      </c>
      <c r="V37" s="33">
        <f t="shared" si="9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15"/>
    </row>
    <row r="38" spans="2:27" ht="15">
      <c r="B38" s="16"/>
      <c r="C38" s="17" t="str">
        <f t="shared" si="6"/>
        <v>Mp xTipologia 7</v>
      </c>
      <c r="D38" s="33">
        <f>+IF(Input!$G41=0,0,IF(Input!$G41=30,((D10+V38)/12),IF(Input!$G41=60,(D10+V38)/6,IF(Input!$G41=90,(D10+V38)/4,IF(Input!$G41=120,(D10+V38)/3,IF(Input!$G41=150,(D10+V38)*0.416667,(D10+V38)/2))))))</f>
        <v>0</v>
      </c>
      <c r="E38" s="33">
        <f>+IF(Input!$G41=0,0,IF(Input!$G41=30,((E10+W38)/12),IF(Input!$G41=60,(E10+W38)/6,IF(Input!$G41=90,(E10+W38)/4,IF(Input!$G41=120,(E10+W38)/3,IF(Input!$G41=150,(E10+W38)*0.416667,(E10+W38)/2))))))</f>
        <v>0</v>
      </c>
      <c r="F38" s="33">
        <f>+IF(Input!$G41=0,0,IF(Input!$G41=30,((F10+X38)/12),IF(Input!$G41=60,(F10+X38)/6,IF(Input!$G41=90,(F10+X38)/4,IF(Input!$G41=120,(F10+X38)/3,IF(Input!$G41=150,(F10+X38)*0.416667,(F10+X38)/2))))))</f>
        <v>0</v>
      </c>
      <c r="G38" s="33">
        <f>+IF(Input!$G41=0,0,IF(Input!$G41=30,((G10+Y38)/12),IF(Input!$G41=60,(G10+Y38)/6,IF(Input!$G41=90,(G10+Y38)/4,IF(Input!$G41=120,(G10+Y38)/3,IF(Input!$G41=150,(G10+Y38)*0.416667,(G10+Y38)/2))))))</f>
        <v>0</v>
      </c>
      <c r="H38" s="33">
        <f>+IF(Input!$G41=0,0,IF(Input!$G41=30,((H10+Z38)/12),IF(Input!$G41=60,(H10+Z38)/6,IF(Input!$G41=90,(H10+Z38)/4,IF(Input!$G41=120,(H10+Z38)/3,IF(Input!$G41=150,(H10+Z38)*0.416667,(H10+Z38)/2))))))</f>
        <v>0</v>
      </c>
      <c r="I38" s="15"/>
      <c r="K38" s="16"/>
      <c r="L38" s="17" t="str">
        <f t="shared" si="7"/>
        <v>Mp xTipologia 7</v>
      </c>
      <c r="M38" s="33">
        <f>+Input!$F41*D10</f>
        <v>0</v>
      </c>
      <c r="N38" s="33">
        <f>+Input!$F41*E10</f>
        <v>0</v>
      </c>
      <c r="O38" s="33">
        <f>+Input!$F41*F10</f>
        <v>0</v>
      </c>
      <c r="P38" s="33">
        <f>+Input!$F41*G10</f>
        <v>0</v>
      </c>
      <c r="Q38" s="33">
        <f>+Input!$F41*H10</f>
        <v>0</v>
      </c>
      <c r="R38" s="15"/>
      <c r="T38" s="16"/>
      <c r="U38" s="17" t="str">
        <f t="shared" si="8"/>
        <v>Mp xTipologia 7</v>
      </c>
      <c r="V38" s="33">
        <f t="shared" si="9"/>
        <v>0</v>
      </c>
      <c r="W38" s="33">
        <f t="shared" si="5"/>
        <v>0</v>
      </c>
      <c r="X38" s="33">
        <f t="shared" si="5"/>
        <v>0</v>
      </c>
      <c r="Y38" s="33">
        <f t="shared" si="5"/>
        <v>0</v>
      </c>
      <c r="Z38" s="33">
        <f t="shared" si="5"/>
        <v>0</v>
      </c>
      <c r="AA38" s="15"/>
    </row>
    <row r="39" spans="2:27" ht="15">
      <c r="B39" s="16"/>
      <c r="C39" s="17" t="str">
        <f t="shared" si="6"/>
        <v>Mp xTipologia 8</v>
      </c>
      <c r="D39" s="33">
        <f>+IF(Input!$G42=0,0,IF(Input!$G42=30,((D11+V39)/12),IF(Input!$G42=60,(D11+V39)/6,IF(Input!$G42=90,(D11+V39)/4,IF(Input!$G42=120,(D11+V39)/3,IF(Input!$G42=150,(D11+V39)*0.416667,(D11+V39)/2))))))</f>
        <v>0</v>
      </c>
      <c r="E39" s="33">
        <f>+IF(Input!$G42=0,0,IF(Input!$G42=30,((E11+W39)/12),IF(Input!$G42=60,(E11+W39)/6,IF(Input!$G42=90,(E11+W39)/4,IF(Input!$G42=120,(E11+W39)/3,IF(Input!$G42=150,(E11+W39)*0.416667,(E11+W39)/2))))))</f>
        <v>0</v>
      </c>
      <c r="F39" s="33">
        <f>+IF(Input!$G42=0,0,IF(Input!$G42=30,((F11+X39)/12),IF(Input!$G42=60,(F11+X39)/6,IF(Input!$G42=90,(F11+X39)/4,IF(Input!$G42=120,(F11+X39)/3,IF(Input!$G42=150,(F11+X39)*0.416667,(F11+X39)/2))))))</f>
        <v>0</v>
      </c>
      <c r="G39" s="33">
        <f>+IF(Input!$G42=0,0,IF(Input!$G42=30,((G11+Y39)/12),IF(Input!$G42=60,(G11+Y39)/6,IF(Input!$G42=90,(G11+Y39)/4,IF(Input!$G42=120,(G11+Y39)/3,IF(Input!$G42=150,(G11+Y39)*0.416667,(G11+Y39)/2))))))</f>
        <v>0</v>
      </c>
      <c r="H39" s="33">
        <f>+IF(Input!$G42=0,0,IF(Input!$G42=30,((H11+Z39)/12),IF(Input!$G42=60,(H11+Z39)/6,IF(Input!$G42=90,(H11+Z39)/4,IF(Input!$G42=120,(H11+Z39)/3,IF(Input!$G42=150,(H11+Z39)*0.416667,(H11+Z39)/2))))))</f>
        <v>0</v>
      </c>
      <c r="I39" s="15"/>
      <c r="K39" s="16"/>
      <c r="L39" s="17" t="str">
        <f t="shared" si="7"/>
        <v>Mp xTipologia 8</v>
      </c>
      <c r="M39" s="33">
        <f>+Input!$F42*D11</f>
        <v>0</v>
      </c>
      <c r="N39" s="33">
        <f>+Input!$F42*E11</f>
        <v>0</v>
      </c>
      <c r="O39" s="33">
        <f>+Input!$F42*F11</f>
        <v>0</v>
      </c>
      <c r="P39" s="33">
        <f>+Input!$F42*G11</f>
        <v>0</v>
      </c>
      <c r="Q39" s="33">
        <f>+Input!$F42*H11</f>
        <v>0</v>
      </c>
      <c r="R39" s="15"/>
      <c r="T39" s="16"/>
      <c r="U39" s="17" t="str">
        <f t="shared" si="8"/>
        <v>Mp xTipologia 8</v>
      </c>
      <c r="V39" s="33">
        <f t="shared" si="9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15"/>
    </row>
    <row r="40" spans="2:27" ht="15">
      <c r="B40" s="16"/>
      <c r="C40" s="17" t="str">
        <f t="shared" si="6"/>
        <v>Mp xTipologia 9</v>
      </c>
      <c r="D40" s="33">
        <f>+IF(Input!$G43=0,0,IF(Input!$G43=30,((D12+V40)/12),IF(Input!$G43=60,(D12+V40)/6,IF(Input!$G43=90,(D12+V40)/4,IF(Input!$G43=120,(D12+V40)/3,IF(Input!$G43=150,(D12+V40)*0.416667,(D12+V40)/2))))))</f>
        <v>0</v>
      </c>
      <c r="E40" s="33">
        <f>+IF(Input!$G43=0,0,IF(Input!$G43=30,((E12+W40)/12),IF(Input!$G43=60,(E12+W40)/6,IF(Input!$G43=90,(E12+W40)/4,IF(Input!$G43=120,(E12+W40)/3,IF(Input!$G43=150,(E12+W40)*0.416667,(E12+W40)/2))))))</f>
        <v>0</v>
      </c>
      <c r="F40" s="33">
        <f>+IF(Input!$G43=0,0,IF(Input!$G43=30,((F12+X40)/12),IF(Input!$G43=60,(F12+X40)/6,IF(Input!$G43=90,(F12+X40)/4,IF(Input!$G43=120,(F12+X40)/3,IF(Input!$G43=150,(F12+X40)*0.416667,(F12+X40)/2))))))</f>
        <v>0</v>
      </c>
      <c r="G40" s="33">
        <f>+IF(Input!$G43=0,0,IF(Input!$G43=30,((G12+Y40)/12),IF(Input!$G43=60,(G12+Y40)/6,IF(Input!$G43=90,(G12+Y40)/4,IF(Input!$G43=120,(G12+Y40)/3,IF(Input!$G43=150,(G12+Y40)*0.416667,(G12+Y40)/2))))))</f>
        <v>0</v>
      </c>
      <c r="H40" s="33">
        <f>+IF(Input!$G43=0,0,IF(Input!$G43=30,((H12+Z40)/12),IF(Input!$G43=60,(H12+Z40)/6,IF(Input!$G43=90,(H12+Z40)/4,IF(Input!$G43=120,(H12+Z40)/3,IF(Input!$G43=150,(H12+Z40)*0.416667,(H12+Z40)/2))))))</f>
        <v>0</v>
      </c>
      <c r="I40" s="15"/>
      <c r="K40" s="16"/>
      <c r="L40" s="17" t="str">
        <f t="shared" si="7"/>
        <v>Mp xTipologia 9</v>
      </c>
      <c r="M40" s="33">
        <f>+Input!$F43*D12</f>
        <v>0</v>
      </c>
      <c r="N40" s="33">
        <f>+Input!$F43*E12</f>
        <v>0</v>
      </c>
      <c r="O40" s="33">
        <f>+Input!$F43*F12</f>
        <v>0</v>
      </c>
      <c r="P40" s="33">
        <f>+Input!$F43*G12</f>
        <v>0</v>
      </c>
      <c r="Q40" s="33">
        <f>+Input!$F43*H12</f>
        <v>0</v>
      </c>
      <c r="R40" s="15"/>
      <c r="T40" s="16"/>
      <c r="U40" s="17" t="str">
        <f t="shared" si="8"/>
        <v>Mp xTipologia 9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27</v>
      </c>
      <c r="D41" s="34">
        <f>SUM(D32:D40)</f>
        <v>0</v>
      </c>
      <c r="E41" s="34">
        <f>SUM(E32:E40)</f>
        <v>0</v>
      </c>
      <c r="F41" s="34">
        <f>SUM(F32:F40)</f>
        <v>0</v>
      </c>
      <c r="G41" s="34">
        <f>SUM(G32:G40)</f>
        <v>0</v>
      </c>
      <c r="H41" s="34">
        <f>SUM(H32:H40)</f>
        <v>0</v>
      </c>
      <c r="I41" s="15"/>
      <c r="K41" s="16"/>
      <c r="L41" s="12" t="s">
        <v>24</v>
      </c>
      <c r="M41" s="34">
        <f>SUM(M32:M40)</f>
        <v>35910</v>
      </c>
      <c r="N41" s="34">
        <f>SUM(N32:N40)</f>
        <v>41895</v>
      </c>
      <c r="O41" s="34">
        <f>SUM(O32:O40)</f>
        <v>48300</v>
      </c>
      <c r="P41" s="34">
        <f>SUM(P32:P40)</f>
        <v>49350</v>
      </c>
      <c r="Q41" s="34">
        <f>SUM(Q32:Q40)</f>
        <v>50400</v>
      </c>
      <c r="R41" s="15"/>
      <c r="T41" s="16"/>
      <c r="U41" s="12" t="s">
        <v>370</v>
      </c>
      <c r="V41" s="34">
        <f>SUM(V32:V40)</f>
        <v>2992.5</v>
      </c>
      <c r="W41" s="34">
        <f>SUM(W32:W40)</f>
        <v>3491.25</v>
      </c>
      <c r="X41" s="34">
        <f>SUM(X32:X40)</f>
        <v>4025</v>
      </c>
      <c r="Y41" s="34">
        <f>SUM(Y32:Y40)</f>
        <v>4112.5</v>
      </c>
      <c r="Z41" s="34">
        <f>SUM(Z32:Z40)</f>
        <v>4200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20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23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369</v>
      </c>
      <c r="V45" s="13" t="str">
        <f>+V31</f>
        <v>Anno 1</v>
      </c>
      <c r="W45" s="13" t="str">
        <f>+W31</f>
        <v>Anno 2</v>
      </c>
      <c r="X45" s="13" t="str">
        <f>+X31</f>
        <v>Anno 3</v>
      </c>
      <c r="Y45" s="13" t="str">
        <f>+Y31</f>
        <v>Anno 4</v>
      </c>
      <c r="Z45" s="13" t="str">
        <f>+Z31</f>
        <v>Anno 5</v>
      </c>
      <c r="AA45" s="36"/>
    </row>
    <row r="46" spans="2:27" ht="15">
      <c r="B46" s="16"/>
      <c r="C46" s="17" t="str">
        <f>+C32</f>
        <v>Mp xTipologia 1</v>
      </c>
      <c r="D46" s="33">
        <f>+IF(Input!$G48=0,0,IF(Input!$G48=30,(V18+M46)/12,IF(Input!$G48=60,(V18+M46)/6,IF(Input!$G48=90,(V18+M46)/4,IF(Input!$G48=120,(V18+M46)/3,IF(Input!$G48=150,(V18+M46)*0.416667,(V18+M46)/2))))))</f>
        <v>16897.649999999998</v>
      </c>
      <c r="E46" s="33">
        <f>+IF(Input!$G48=0,0,IF(Input!$G48=30,(W18+N46)/12,IF(Input!$G48=60,(W18+N46)/6,IF(Input!$G48=90,(W18+N46)/4,IF(Input!$G48=120,(W18+N46)/3,IF(Input!$G48=150,(W18+N46)*0.416667,(W18+N46)/2))))))</f>
        <v>17299.975000000002</v>
      </c>
      <c r="F46" s="33">
        <f>+IF(Input!$G48=0,0,IF(Input!$G48=30,(X18+O46)/12,IF(Input!$G48=60,(X18+O46)/6,IF(Input!$G48=90,(X18+O46)/4,IF(Input!$G48=120,(X18+O46)/3,IF(Input!$G48=150,(X18+O46)*0.416667,(X18+O46)/2))))))</f>
        <v>19911.558333333338</v>
      </c>
      <c r="G46" s="33">
        <f>+IF(Input!$G48=0,0,IF(Input!$G48=30,(Y18+P46)/12,IF(Input!$G48=60,(Y18+P46)/6,IF(Input!$G48=90,(Y18+P46)/4,IF(Input!$G48=120,(Y18+P46)/3,IF(Input!$G48=150,(Y18+P46)*0.416667,(Y18+P46)/2))))))</f>
        <v>19975.083333333336</v>
      </c>
      <c r="H46" s="33">
        <f>+IF(Input!$G48=0,0,IF(Input!$G48=30,(Z18+Q46)/12,IF(Input!$G48=60,(Z18+Q46)/6,IF(Input!$G48=90,(Z18+Q46)/4,IF(Input!$G48=120,(Z18+Q46)/3,IF(Input!$G48=150,(Z18+Q46)*0.416667,(Z18+Q46)/2))))))</f>
        <v>20398.583333333336</v>
      </c>
      <c r="I46" s="15"/>
      <c r="K46" s="16"/>
      <c r="L46" s="17" t="str">
        <f>+L32</f>
        <v>Mp xTipologia 1</v>
      </c>
      <c r="M46" s="33">
        <f>+MCL!V18*Input!$E48</f>
        <v>17595.899999999998</v>
      </c>
      <c r="N46" s="33">
        <f>+MCL!W18*Input!$E48</f>
        <v>18014.850000000002</v>
      </c>
      <c r="O46" s="33">
        <f>+MCL!X18*Input!$E48</f>
        <v>20734.350000000002</v>
      </c>
      <c r="P46" s="33">
        <f>+MCL!Y18*Input!$E48</f>
        <v>20800.500000000004</v>
      </c>
      <c r="Q46" s="33">
        <f>+MCL!Z18*Input!$E48</f>
        <v>21241.500000000004</v>
      </c>
      <c r="R46" s="15"/>
      <c r="T46" s="16"/>
      <c r="U46" s="17" t="str">
        <f>+U32</f>
        <v>Mp xTipologia 1</v>
      </c>
      <c r="V46" s="33">
        <f>+M46/12</f>
        <v>1466.3249999999998</v>
      </c>
      <c r="W46" s="33">
        <f aca="true" t="shared" si="10" ref="W46:W54">+N46/12</f>
        <v>1501.2375000000002</v>
      </c>
      <c r="X46" s="33">
        <f aca="true" t="shared" si="11" ref="X46:X54">+O46/12</f>
        <v>1727.8625000000002</v>
      </c>
      <c r="Y46" s="33">
        <f aca="true" t="shared" si="12" ref="Y46:Y54">+P46/12</f>
        <v>1733.3750000000002</v>
      </c>
      <c r="Z46" s="33">
        <f aca="true" t="shared" si="13" ref="Z46:Z54">+Q46/12</f>
        <v>1770.1250000000002</v>
      </c>
      <c r="AA46" s="15"/>
    </row>
    <row r="47" spans="2:27" ht="15">
      <c r="B47" s="16"/>
      <c r="C47" s="17" t="str">
        <f aca="true" t="shared" si="14" ref="C47:C54">+C33</f>
        <v>Mp xTipologia 2</v>
      </c>
      <c r="D47" s="33">
        <f>+IF(Input!$G49=0,0,IF(Input!$G49=30,(V19+M47)/12,IF(Input!$G49=60,(V19+M47)/6,IF(Input!$G49=90,(V19+M47)/4,IF(Input!$G49=120,(V19+M47)/3,IF(Input!$G49=150,(V19+M47)*0.416667,(V19+M47)/2))))))</f>
        <v>0</v>
      </c>
      <c r="E47" s="33">
        <f>+IF(Input!$G49=0,0,IF(Input!$G49=30,(W19+N47)/12,IF(Input!$G49=60,(W19+N47)/6,IF(Input!$G49=90,(W19+N47)/4,IF(Input!$G49=120,(W19+N47)/3,IF(Input!$G49=150,(W19+N47)*0.416667,(W19+N47)/2))))))</f>
        <v>0</v>
      </c>
      <c r="F47" s="33">
        <f>+IF(Input!$G49=0,0,IF(Input!$G49=30,(X19+O47)/12,IF(Input!$G49=60,(X19+O47)/6,IF(Input!$G49=90,(X19+O47)/4,IF(Input!$G49=120,(X19+O47)/3,IF(Input!$G49=150,(X19+O47)*0.416667,(X19+O47)/2))))))</f>
        <v>0</v>
      </c>
      <c r="G47" s="33">
        <f>+IF(Input!$G49=0,0,IF(Input!$G49=30,(Y19+P47)/12,IF(Input!$G49=60,(Y19+P47)/6,IF(Input!$G49=90,(Y19+P47)/4,IF(Input!$G49=120,(Y19+P47)/3,IF(Input!$G49=150,(Y19+P47)*0.416667,(Y19+P47)/2))))))</f>
        <v>0</v>
      </c>
      <c r="H47" s="33">
        <f>+IF(Input!$G49=0,0,IF(Input!$G49=30,(Z19+Q47)/12,IF(Input!$G49=60,(Z19+Q47)/6,IF(Input!$G49=90,(Z19+Q47)/4,IF(Input!$G49=120,(Z19+Q47)/3,IF(Input!$G49=150,(Z19+Q47)*0.416667,(Z19+Q47)/2))))))</f>
        <v>0</v>
      </c>
      <c r="I47" s="15"/>
      <c r="K47" s="16"/>
      <c r="L47" s="17" t="str">
        <f aca="true" t="shared" si="15" ref="L47:L54">+L33</f>
        <v>Mp xTipologia 2</v>
      </c>
      <c r="M47" s="33">
        <f>+MCL!V19*Input!$E49</f>
        <v>0</v>
      </c>
      <c r="N47" s="33">
        <f>+MCL!W19*Input!$E49</f>
        <v>0</v>
      </c>
      <c r="O47" s="33">
        <f>+MCL!X19*Input!$E49</f>
        <v>0</v>
      </c>
      <c r="P47" s="33">
        <f>+MCL!Y19*Input!$E49</f>
        <v>0</v>
      </c>
      <c r="Q47" s="33">
        <f>+MCL!Z19*Input!$E49</f>
        <v>0</v>
      </c>
      <c r="R47" s="15"/>
      <c r="T47" s="16"/>
      <c r="U47" s="17" t="str">
        <f aca="true" t="shared" si="16" ref="U47:U54">+U33</f>
        <v>Mp xTipologia 2</v>
      </c>
      <c r="V47" s="33">
        <f aca="true" t="shared" si="17" ref="V47:V54">+M47/12</f>
        <v>0</v>
      </c>
      <c r="W47" s="33">
        <f t="shared" si="10"/>
        <v>0</v>
      </c>
      <c r="X47" s="33">
        <f t="shared" si="11"/>
        <v>0</v>
      </c>
      <c r="Y47" s="33">
        <f t="shared" si="12"/>
        <v>0</v>
      </c>
      <c r="Z47" s="33">
        <f t="shared" si="13"/>
        <v>0</v>
      </c>
      <c r="AA47" s="15"/>
    </row>
    <row r="48" spans="2:27" ht="15">
      <c r="B48" s="16"/>
      <c r="C48" s="17" t="str">
        <f t="shared" si="14"/>
        <v>Mp xTipologia 3</v>
      </c>
      <c r="D48" s="33">
        <f>+IF(Input!$G50=0,0,IF(Input!$G50=30,(V20+M48)/12,IF(Input!$G50=60,(V20+M48)/6,IF(Input!$G50=90,(V20+M48)/4,IF(Input!$G50=120,(V20+M48)/3,IF(Input!$G50=150,(V20+M48)*0.416667,(V20+M48)/2))))))</f>
        <v>0</v>
      </c>
      <c r="E48" s="33">
        <f>+IF(Input!$G50=0,0,IF(Input!$G50=30,(W20+N48)/12,IF(Input!$G50=60,(W20+N48)/6,IF(Input!$G50=90,(W20+N48)/4,IF(Input!$G50=120,(W20+N48)/3,IF(Input!$G50=150,(W20+N48)*0.416667,(W20+N48)/2))))))</f>
        <v>0</v>
      </c>
      <c r="F48" s="33">
        <f>+IF(Input!$G50=0,0,IF(Input!$G50=30,(X20+O48)/12,IF(Input!$G50=60,(X20+O48)/6,IF(Input!$G50=90,(X20+O48)/4,IF(Input!$G50=120,(X20+O48)/3,IF(Input!$G50=150,(X20+O48)*0.416667,(X20+O48)/2))))))</f>
        <v>0</v>
      </c>
      <c r="G48" s="33">
        <f>+IF(Input!$G50=0,0,IF(Input!$G50=30,(Y20+P48)/12,IF(Input!$G50=60,(Y20+P48)/6,IF(Input!$G50=90,(Y20+P48)/4,IF(Input!$G50=120,(Y20+P48)/3,IF(Input!$G50=150,(Y20+P48)*0.416667,(Y20+P48)/2))))))</f>
        <v>0</v>
      </c>
      <c r="H48" s="33">
        <f>+IF(Input!$G50=0,0,IF(Input!$G50=30,(Z20+Q48)/12,IF(Input!$G50=60,(Z20+Q48)/6,IF(Input!$G50=90,(Z20+Q48)/4,IF(Input!$G50=120,(Z20+Q48)/3,IF(Input!$G50=150,(Z20+Q48)*0.416667,(Z20+Q48)/2))))))</f>
        <v>0</v>
      </c>
      <c r="I48" s="15"/>
      <c r="K48" s="16"/>
      <c r="L48" s="17" t="str">
        <f t="shared" si="15"/>
        <v>Mp xTipologia 3</v>
      </c>
      <c r="M48" s="33">
        <f>+MCL!V20*Input!$E50</f>
        <v>0</v>
      </c>
      <c r="N48" s="33">
        <f>+MCL!W20*Input!$E50</f>
        <v>0</v>
      </c>
      <c r="O48" s="33">
        <f>+MCL!X20*Input!$E50</f>
        <v>0</v>
      </c>
      <c r="P48" s="33">
        <f>+MCL!Y20*Input!$E50</f>
        <v>0</v>
      </c>
      <c r="Q48" s="33">
        <f>+MCL!Z20*Input!$E50</f>
        <v>0</v>
      </c>
      <c r="R48" s="15"/>
      <c r="T48" s="16"/>
      <c r="U48" s="17" t="str">
        <f t="shared" si="16"/>
        <v>Mp xTipologia 3</v>
      </c>
      <c r="V48" s="33">
        <f t="shared" si="17"/>
        <v>0</v>
      </c>
      <c r="W48" s="33">
        <f t="shared" si="10"/>
        <v>0</v>
      </c>
      <c r="X48" s="33">
        <f t="shared" si="11"/>
        <v>0</v>
      </c>
      <c r="Y48" s="33">
        <f t="shared" si="12"/>
        <v>0</v>
      </c>
      <c r="Z48" s="33">
        <f t="shared" si="13"/>
        <v>0</v>
      </c>
      <c r="AA48" s="15"/>
    </row>
    <row r="49" spans="2:27" ht="15">
      <c r="B49" s="16"/>
      <c r="C49" s="17" t="str">
        <f t="shared" si="14"/>
        <v>Mp xTipologia 4</v>
      </c>
      <c r="D49" s="33">
        <f>+IF(Input!$G51=0,0,IF(Input!$G51=30,(V21+M49)/12,IF(Input!$G51=60,(V21+M49)/6,IF(Input!$G51=90,(V21+M49)/4,IF(Input!$G51=120,(V21+M49)/3,IF(Input!$G51=150,(V21+M49)*0.416667,(V21+M49)/2))))))</f>
        <v>0</v>
      </c>
      <c r="E49" s="33">
        <f>+IF(Input!$G51=0,0,IF(Input!$G51=30,(W21+N49)/12,IF(Input!$G51=60,(W21+N49)/6,IF(Input!$G51=90,(W21+N49)/4,IF(Input!$G51=120,(W21+N49)/3,IF(Input!$G51=150,(W21+N49)*0.416667,(W21+N49)/2))))))</f>
        <v>0</v>
      </c>
      <c r="F49" s="33">
        <f>+IF(Input!$G51=0,0,IF(Input!$G51=30,(X21+O49)/12,IF(Input!$G51=60,(X21+O49)/6,IF(Input!$G51=90,(X21+O49)/4,IF(Input!$G51=120,(X21+O49)/3,IF(Input!$G51=150,(X21+O49)*0.416667,(X21+O49)/2))))))</f>
        <v>0</v>
      </c>
      <c r="G49" s="33">
        <f>+IF(Input!$G51=0,0,IF(Input!$G51=30,(Y21+P49)/12,IF(Input!$G51=60,(Y21+P49)/6,IF(Input!$G51=90,(Y21+P49)/4,IF(Input!$G51=120,(Y21+P49)/3,IF(Input!$G51=150,(Y21+P49)*0.416667,(Y21+P49)/2))))))</f>
        <v>0</v>
      </c>
      <c r="H49" s="33">
        <f>+IF(Input!$G51=0,0,IF(Input!$G51=30,(Z21+Q49)/12,IF(Input!$G51=60,(Z21+Q49)/6,IF(Input!$G51=90,(Z21+Q49)/4,IF(Input!$G51=120,(Z21+Q49)/3,IF(Input!$G51=150,(Z21+Q49)*0.416667,(Z21+Q49)/2))))))</f>
        <v>0</v>
      </c>
      <c r="I49" s="15"/>
      <c r="K49" s="16"/>
      <c r="L49" s="17" t="str">
        <f t="shared" si="15"/>
        <v>Mp xTipologia 4</v>
      </c>
      <c r="M49" s="33">
        <f>+MCL!V21*Input!$E51</f>
        <v>0</v>
      </c>
      <c r="N49" s="33">
        <f>+MCL!W21*Input!$E51</f>
        <v>0</v>
      </c>
      <c r="O49" s="33">
        <f>+MCL!X21*Input!$E51</f>
        <v>0</v>
      </c>
      <c r="P49" s="33">
        <f>+MCL!Y21*Input!$E51</f>
        <v>0</v>
      </c>
      <c r="Q49" s="33">
        <f>+MCL!Z21*Input!$E51</f>
        <v>0</v>
      </c>
      <c r="R49" s="15"/>
      <c r="T49" s="16"/>
      <c r="U49" s="17" t="str">
        <f t="shared" si="16"/>
        <v>Mp xTipologia 4</v>
      </c>
      <c r="V49" s="33">
        <f t="shared" si="17"/>
        <v>0</v>
      </c>
      <c r="W49" s="33">
        <f t="shared" si="10"/>
        <v>0</v>
      </c>
      <c r="X49" s="33">
        <f t="shared" si="11"/>
        <v>0</v>
      </c>
      <c r="Y49" s="33">
        <f t="shared" si="12"/>
        <v>0</v>
      </c>
      <c r="Z49" s="33">
        <f t="shared" si="13"/>
        <v>0</v>
      </c>
      <c r="AA49" s="15"/>
    </row>
    <row r="50" spans="2:27" ht="15">
      <c r="B50" s="16"/>
      <c r="C50" s="17" t="str">
        <f t="shared" si="14"/>
        <v>Mp xTipologia 5</v>
      </c>
      <c r="D50" s="33">
        <f>+IF(Input!$G52=0,0,IF(Input!$G52=30,(V22+M50)/12,IF(Input!$G52=60,(V22+M50)/6,IF(Input!$G52=90,(V22+M50)/4,IF(Input!$G52=120,(V22+M50)/3,IF(Input!$G52=150,(V22+M50)*0.416667,(V22+M50)/2))))))</f>
        <v>0</v>
      </c>
      <c r="E50" s="33">
        <f>+IF(Input!$G52=0,0,IF(Input!$G52=30,(W22+N50)/12,IF(Input!$G52=60,(W22+N50)/6,IF(Input!$G52=90,(W22+N50)/4,IF(Input!$G52=120,(W22+N50)/3,IF(Input!$G52=150,(W22+N50)*0.416667,(W22+N50)/2))))))</f>
        <v>0</v>
      </c>
      <c r="F50" s="33">
        <f>+IF(Input!$G52=0,0,IF(Input!$G52=30,(X22+O50)/12,IF(Input!$G52=60,(X22+O50)/6,IF(Input!$G52=90,(X22+O50)/4,IF(Input!$G52=120,(X22+O50)/3,IF(Input!$G52=150,(X22+O50)*0.416667,(X22+O50)/2))))))</f>
        <v>0</v>
      </c>
      <c r="G50" s="33">
        <f>+IF(Input!$G52=0,0,IF(Input!$G52=30,(Y22+P50)/12,IF(Input!$G52=60,(Y22+P50)/6,IF(Input!$G52=90,(Y22+P50)/4,IF(Input!$G52=120,(Y22+P50)/3,IF(Input!$G52=150,(Y22+P50)*0.416667,(Y22+P50)/2))))))</f>
        <v>0</v>
      </c>
      <c r="H50" s="33">
        <f>+IF(Input!$G52=0,0,IF(Input!$G52=30,(Z22+Q50)/12,IF(Input!$G52=60,(Z22+Q50)/6,IF(Input!$G52=90,(Z22+Q50)/4,IF(Input!$G52=120,(Z22+Q50)/3,IF(Input!$G52=150,(Z22+Q50)*0.416667,(Z22+Q50)/2))))))</f>
        <v>0</v>
      </c>
      <c r="I50" s="15"/>
      <c r="K50" s="16"/>
      <c r="L50" s="17" t="str">
        <f t="shared" si="15"/>
        <v>Mp xTipologia 5</v>
      </c>
      <c r="M50" s="33">
        <f>+MCL!V22*Input!$E52</f>
        <v>0</v>
      </c>
      <c r="N50" s="33">
        <f>+MCL!W22*Input!$E52</f>
        <v>0</v>
      </c>
      <c r="O50" s="33">
        <f>+MCL!X22*Input!$E52</f>
        <v>0</v>
      </c>
      <c r="P50" s="33">
        <f>+MCL!Y22*Input!$E52</f>
        <v>0</v>
      </c>
      <c r="Q50" s="33">
        <f>+MCL!Z22*Input!$E52</f>
        <v>0</v>
      </c>
      <c r="R50" s="15"/>
      <c r="T50" s="16"/>
      <c r="U50" s="17" t="str">
        <f t="shared" si="16"/>
        <v>Mp xTipologia 5</v>
      </c>
      <c r="V50" s="33">
        <f t="shared" si="17"/>
        <v>0</v>
      </c>
      <c r="W50" s="33">
        <f t="shared" si="10"/>
        <v>0</v>
      </c>
      <c r="X50" s="33">
        <f t="shared" si="11"/>
        <v>0</v>
      </c>
      <c r="Y50" s="33">
        <f t="shared" si="12"/>
        <v>0</v>
      </c>
      <c r="Z50" s="33">
        <f t="shared" si="13"/>
        <v>0</v>
      </c>
      <c r="AA50" s="15"/>
    </row>
    <row r="51" spans="2:27" ht="15">
      <c r="B51" s="16"/>
      <c r="C51" s="17" t="str">
        <f t="shared" si="14"/>
        <v>Mp xTipologia 6</v>
      </c>
      <c r="D51" s="33">
        <f>+IF(Input!$G53=0,0,IF(Input!$G53=30,(V23+M51)/12,IF(Input!$G53=60,(V23+M51)/6,IF(Input!$G53=90,(V23+M51)/4,IF(Input!$G53=120,(V23+M51)/3,IF(Input!$G53=150,(V23+M51)*0.416667,(V23+M51)/2))))))</f>
        <v>0</v>
      </c>
      <c r="E51" s="33">
        <f>+IF(Input!$G53=0,0,IF(Input!$G53=30,(W23+N51)/12,IF(Input!$G53=60,(W23+N51)/6,IF(Input!$G53=90,(W23+N51)/4,IF(Input!$G53=120,(W23+N51)/3,IF(Input!$G53=150,(W23+N51)*0.416667,(W23+N51)/2))))))</f>
        <v>0</v>
      </c>
      <c r="F51" s="33">
        <f>+IF(Input!$G53=0,0,IF(Input!$G53=30,(X23+O51)/12,IF(Input!$G53=60,(X23+O51)/6,IF(Input!$G53=90,(X23+O51)/4,IF(Input!$G53=120,(X23+O51)/3,IF(Input!$G53=150,(X23+O51)*0.416667,(X23+O51)/2))))))</f>
        <v>0</v>
      </c>
      <c r="G51" s="33">
        <f>+IF(Input!$G53=0,0,IF(Input!$G53=30,(Y23+P51)/12,IF(Input!$G53=60,(Y23+P51)/6,IF(Input!$G53=90,(Y23+P51)/4,IF(Input!$G53=120,(Y23+P51)/3,IF(Input!$G53=150,(Y23+P51)*0.416667,(Y23+P51)/2))))))</f>
        <v>0</v>
      </c>
      <c r="H51" s="33">
        <f>+IF(Input!$G53=0,0,IF(Input!$G53=30,(Z23+Q51)/12,IF(Input!$G53=60,(Z23+Q51)/6,IF(Input!$G53=90,(Z23+Q51)/4,IF(Input!$G53=120,(Z23+Q51)/3,IF(Input!$G53=150,(Z23+Q51)*0.416667,(Z23+Q51)/2))))))</f>
        <v>0</v>
      </c>
      <c r="I51" s="15"/>
      <c r="K51" s="16"/>
      <c r="L51" s="17" t="str">
        <f t="shared" si="15"/>
        <v>Mp xTipologia 6</v>
      </c>
      <c r="M51" s="33">
        <f>+MCL!V23*Input!$E53</f>
        <v>0</v>
      </c>
      <c r="N51" s="33">
        <f>+MCL!W23*Input!$E53</f>
        <v>0</v>
      </c>
      <c r="O51" s="33">
        <f>+MCL!X23*Input!$E53</f>
        <v>0</v>
      </c>
      <c r="P51" s="33">
        <f>+MCL!Y23*Input!$E53</f>
        <v>0</v>
      </c>
      <c r="Q51" s="33">
        <f>+MCL!Z23*Input!$E53</f>
        <v>0</v>
      </c>
      <c r="R51" s="15"/>
      <c r="T51" s="16"/>
      <c r="U51" s="17" t="str">
        <f t="shared" si="16"/>
        <v>Mp xTipologia 6</v>
      </c>
      <c r="V51" s="33">
        <f t="shared" si="17"/>
        <v>0</v>
      </c>
      <c r="W51" s="33">
        <f t="shared" si="10"/>
        <v>0</v>
      </c>
      <c r="X51" s="33">
        <f t="shared" si="11"/>
        <v>0</v>
      </c>
      <c r="Y51" s="33">
        <f t="shared" si="12"/>
        <v>0</v>
      </c>
      <c r="Z51" s="33">
        <f t="shared" si="13"/>
        <v>0</v>
      </c>
      <c r="AA51" s="15"/>
    </row>
    <row r="52" spans="2:27" ht="15">
      <c r="B52" s="16"/>
      <c r="C52" s="17" t="str">
        <f t="shared" si="14"/>
        <v>Mp xTipologia 7</v>
      </c>
      <c r="D52" s="33">
        <f>+IF(Input!$G54=0,0,IF(Input!$G54=30,(V24+M52)/12,IF(Input!$G54=60,(V24+M52)/6,IF(Input!$G54=90,(V24+M52)/4,IF(Input!$G54=120,(V24+M52)/3,IF(Input!$G54=150,(V24+M52)*0.416667,(V24+M52)/2))))))</f>
        <v>0</v>
      </c>
      <c r="E52" s="33">
        <f>+IF(Input!$G54=0,0,IF(Input!$G54=30,(W24+N52)/12,IF(Input!$G54=60,(W24+N52)/6,IF(Input!$G54=90,(W24+N52)/4,IF(Input!$G54=120,(W24+N52)/3,IF(Input!$G54=150,(W24+N52)*0.416667,(W24+N52)/2))))))</f>
        <v>0</v>
      </c>
      <c r="F52" s="33">
        <f>+IF(Input!$G54=0,0,IF(Input!$G54=30,(X24+O52)/12,IF(Input!$G54=60,(X24+O52)/6,IF(Input!$G54=90,(X24+O52)/4,IF(Input!$G54=120,(X24+O52)/3,IF(Input!$G54=150,(X24+O52)*0.416667,(X24+O52)/2))))))</f>
        <v>0</v>
      </c>
      <c r="G52" s="33">
        <f>+IF(Input!$G54=0,0,IF(Input!$G54=30,(Y24+P52)/12,IF(Input!$G54=60,(Y24+P52)/6,IF(Input!$G54=90,(Y24+P52)/4,IF(Input!$G54=120,(Y24+P52)/3,IF(Input!$G54=150,(Y24+P52)*0.416667,(Y24+P52)/2))))))</f>
        <v>0</v>
      </c>
      <c r="H52" s="33">
        <f>+IF(Input!$G54=0,0,IF(Input!$G54=30,(Z24+Q52)/12,IF(Input!$G54=60,(Z24+Q52)/6,IF(Input!$G54=90,(Z24+Q52)/4,IF(Input!$G54=120,(Z24+Q52)/3,IF(Input!$G54=150,(Z24+Q52)*0.416667,(Z24+Q52)/2))))))</f>
        <v>0</v>
      </c>
      <c r="I52" s="15"/>
      <c r="K52" s="16"/>
      <c r="L52" s="17" t="str">
        <f t="shared" si="15"/>
        <v>Mp xTipologia 7</v>
      </c>
      <c r="M52" s="33">
        <f>+MCL!V24*Input!$E54</f>
        <v>0</v>
      </c>
      <c r="N52" s="33">
        <f>+MCL!W24*Input!$E54</f>
        <v>0</v>
      </c>
      <c r="O52" s="33">
        <f>+MCL!X24*Input!$E54</f>
        <v>0</v>
      </c>
      <c r="P52" s="33">
        <f>+MCL!Y24*Input!$E54</f>
        <v>0</v>
      </c>
      <c r="Q52" s="33">
        <f>+MCL!Z24*Input!$E54</f>
        <v>0</v>
      </c>
      <c r="R52" s="15"/>
      <c r="T52" s="16"/>
      <c r="U52" s="17" t="str">
        <f t="shared" si="16"/>
        <v>Mp xTipologia 7</v>
      </c>
      <c r="V52" s="33">
        <f t="shared" si="17"/>
        <v>0</v>
      </c>
      <c r="W52" s="33">
        <f t="shared" si="10"/>
        <v>0</v>
      </c>
      <c r="X52" s="33">
        <f t="shared" si="11"/>
        <v>0</v>
      </c>
      <c r="Y52" s="33">
        <f t="shared" si="12"/>
        <v>0</v>
      </c>
      <c r="Z52" s="33">
        <f t="shared" si="13"/>
        <v>0</v>
      </c>
      <c r="AA52" s="15"/>
    </row>
    <row r="53" spans="2:27" ht="15">
      <c r="B53" s="16"/>
      <c r="C53" s="17" t="str">
        <f t="shared" si="14"/>
        <v>Mp xTipologia 8</v>
      </c>
      <c r="D53" s="33">
        <f>+IF(Input!$G55=0,0,IF(Input!$G55=30,(V25+M53)/12,IF(Input!$G55=60,(V25+M53)/6,IF(Input!$G55=90,(V25+M53)/4,IF(Input!$G55=120,(V25+M53)/3,IF(Input!$G55=150,(V25+M53)*0.416667,(V25+M53)/2))))))</f>
        <v>0</v>
      </c>
      <c r="E53" s="33">
        <f>+IF(Input!$G55=0,0,IF(Input!$G55=30,(W25+N53)/12,IF(Input!$G55=60,(W25+N53)/6,IF(Input!$G55=90,(W25+N53)/4,IF(Input!$G55=120,(W25+N53)/3,IF(Input!$G55=150,(W25+N53)*0.416667,(W25+N53)/2))))))</f>
        <v>0</v>
      </c>
      <c r="F53" s="33">
        <f>+IF(Input!$G55=0,0,IF(Input!$G55=30,(X25+O53)/12,IF(Input!$G55=60,(X25+O53)/6,IF(Input!$G55=90,(X25+O53)/4,IF(Input!$G55=120,(X25+O53)/3,IF(Input!$G55=150,(X25+O53)*0.416667,(X25+O53)/2))))))</f>
        <v>0</v>
      </c>
      <c r="G53" s="33">
        <f>+IF(Input!$G55=0,0,IF(Input!$G55=30,(Y25+P53)/12,IF(Input!$G55=60,(Y25+P53)/6,IF(Input!$G55=90,(Y25+P53)/4,IF(Input!$G55=120,(Y25+P53)/3,IF(Input!$G55=150,(Y25+P53)*0.416667,(Y25+P53)/2))))))</f>
        <v>0</v>
      </c>
      <c r="H53" s="33">
        <f>+IF(Input!$G55=0,0,IF(Input!$G55=30,(Z25+Q53)/12,IF(Input!$G55=60,(Z25+Q53)/6,IF(Input!$G55=90,(Z25+Q53)/4,IF(Input!$G55=120,(Z25+Q53)/3,IF(Input!$G55=150,(Z25+Q53)*0.416667,(Z25+Q53)/2))))))</f>
        <v>0</v>
      </c>
      <c r="I53" s="15"/>
      <c r="K53" s="16"/>
      <c r="L53" s="17" t="str">
        <f t="shared" si="15"/>
        <v>Mp xTipologia 8</v>
      </c>
      <c r="M53" s="33">
        <f>+MCL!V25*Input!$E55</f>
        <v>0</v>
      </c>
      <c r="N53" s="33">
        <f>+MCL!W25*Input!$E55</f>
        <v>0</v>
      </c>
      <c r="O53" s="33">
        <f>+MCL!X25*Input!$E55</f>
        <v>0</v>
      </c>
      <c r="P53" s="33">
        <f>+MCL!Y25*Input!$E55</f>
        <v>0</v>
      </c>
      <c r="Q53" s="33">
        <f>+MCL!Z25*Input!$E55</f>
        <v>0</v>
      </c>
      <c r="R53" s="15"/>
      <c r="T53" s="16"/>
      <c r="U53" s="17" t="str">
        <f t="shared" si="16"/>
        <v>Mp xTipologia 8</v>
      </c>
      <c r="V53" s="33">
        <f t="shared" si="17"/>
        <v>0</v>
      </c>
      <c r="W53" s="33">
        <f t="shared" si="10"/>
        <v>0</v>
      </c>
      <c r="X53" s="33">
        <f t="shared" si="11"/>
        <v>0</v>
      </c>
      <c r="Y53" s="33">
        <f t="shared" si="12"/>
        <v>0</v>
      </c>
      <c r="Z53" s="33">
        <f t="shared" si="13"/>
        <v>0</v>
      </c>
      <c r="AA53" s="15"/>
    </row>
    <row r="54" spans="2:27" ht="15">
      <c r="B54" s="16"/>
      <c r="C54" s="17" t="str">
        <f t="shared" si="14"/>
        <v>Mp xTipologia 9</v>
      </c>
      <c r="D54" s="33">
        <f>+IF(Input!$G56=0,0,IF(Input!$G56=30,(V26+M54)/12,IF(Input!$G56=60,(V26+M54)/6,IF(Input!$G56=90,(V26+M54)/4,IF(Input!$G56=120,(V26+M54)/3,IF(Input!$G56=150,(V26+M54)*0.416667,(V26+M54)/2))))))</f>
        <v>0</v>
      </c>
      <c r="E54" s="33">
        <f>+IF(Input!$G56=0,0,IF(Input!$G56=30,(W26+N54)/12,IF(Input!$G56=60,(W26+N54)/6,IF(Input!$G56=90,(W26+N54)/4,IF(Input!$G56=120,(W26+N54)/3,IF(Input!$G56=150,(W26+N54)*0.416667,(W26+N54)/2))))))</f>
        <v>0</v>
      </c>
      <c r="F54" s="33">
        <f>+IF(Input!$G56=0,0,IF(Input!$G56=30,(X26+O54)/12,IF(Input!$G56=60,(X26+O54)/6,IF(Input!$G56=90,(X26+O54)/4,IF(Input!$G56=120,(X26+O54)/3,IF(Input!$G56=150,(X26+O54)*0.416667,(X26+O54)/2))))))</f>
        <v>0</v>
      </c>
      <c r="G54" s="33">
        <f>+IF(Input!$G56=0,0,IF(Input!$G56=30,(Y26+P54)/12,IF(Input!$G56=60,(Y26+P54)/6,IF(Input!$G56=90,(Y26+P54)/4,IF(Input!$G56=120,(Y26+P54)/3,IF(Input!$G56=150,(Y26+P54)*0.416667,(Y26+P54)/2))))))</f>
        <v>0</v>
      </c>
      <c r="H54" s="33">
        <f>+IF(Input!$G56=0,0,IF(Input!$G56=30,(Z26+Q54)/12,IF(Input!$G56=60,(Z26+Q54)/6,IF(Input!$G56=90,(Z26+Q54)/4,IF(Input!$G56=120,(Z26+Q54)/3,IF(Input!$G56=150,(Z26+Q54)*0.416667,(Z26+Q54)/2))))))</f>
        <v>0</v>
      </c>
      <c r="I54" s="15"/>
      <c r="K54" s="16"/>
      <c r="L54" s="17" t="str">
        <f t="shared" si="15"/>
        <v>Mp xTipologia 9</v>
      </c>
      <c r="M54" s="33">
        <f>+MCL!V26*Input!$E56</f>
        <v>0</v>
      </c>
      <c r="N54" s="33">
        <f>+MCL!W26*Input!$E56</f>
        <v>0</v>
      </c>
      <c r="O54" s="33">
        <f>+MCL!X26*Input!$E56</f>
        <v>0</v>
      </c>
      <c r="P54" s="33">
        <f>+MCL!Y26*Input!$E56</f>
        <v>0</v>
      </c>
      <c r="Q54" s="33">
        <f>+MCL!Z26*Input!$E56</f>
        <v>0</v>
      </c>
      <c r="R54" s="15"/>
      <c r="T54" s="16"/>
      <c r="U54" s="17" t="str">
        <f t="shared" si="16"/>
        <v>Mp xTipologia 9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26</v>
      </c>
      <c r="D55" s="34">
        <f>SUM(D46:D54)</f>
        <v>16897.649999999998</v>
      </c>
      <c r="E55" s="34">
        <f>SUM(E46:E54)</f>
        <v>17299.975000000002</v>
      </c>
      <c r="F55" s="34">
        <f>SUM(F46:F54)</f>
        <v>19911.558333333338</v>
      </c>
      <c r="G55" s="34">
        <f>SUM(G46:G54)</f>
        <v>19975.083333333336</v>
      </c>
      <c r="H55" s="34">
        <f>SUM(H46:H54)</f>
        <v>20398.583333333336</v>
      </c>
      <c r="I55" s="15"/>
      <c r="K55" s="16"/>
      <c r="L55" s="12" t="s">
        <v>25</v>
      </c>
      <c r="M55" s="34">
        <f>SUM(M46:M54)</f>
        <v>17595.899999999998</v>
      </c>
      <c r="N55" s="34">
        <f>SUM(N46:N54)</f>
        <v>18014.850000000002</v>
      </c>
      <c r="O55" s="34">
        <f>SUM(O46:O54)</f>
        <v>20734.350000000002</v>
      </c>
      <c r="P55" s="34">
        <f>SUM(P46:P54)</f>
        <v>20800.500000000004</v>
      </c>
      <c r="Q55" s="34">
        <f>SUM(Q46:Q54)</f>
        <v>21241.500000000004</v>
      </c>
      <c r="R55" s="15"/>
      <c r="T55" s="16"/>
      <c r="U55" s="12" t="s">
        <v>371</v>
      </c>
      <c r="V55" s="34">
        <f>SUM(V46:V54)</f>
        <v>1466.3249999999998</v>
      </c>
      <c r="W55" s="34">
        <f>SUM(W46:W54)</f>
        <v>1501.2375000000002</v>
      </c>
      <c r="X55" s="34">
        <f>SUM(X46:X54)</f>
        <v>1727.8625000000002</v>
      </c>
      <c r="Y55" s="34">
        <f>SUM(Y46:Y54)</f>
        <v>1733.3750000000002</v>
      </c>
      <c r="Z55" s="34">
        <f>SUM(Z46:Z54)</f>
        <v>1770.1250000000002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35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37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xTipologia 1</v>
      </c>
      <c r="D60" s="33">
        <f>+D4+MCL!M32-MCL!D32</f>
        <v>206910</v>
      </c>
      <c r="E60" s="33">
        <f>+E4+MCL!N32-MCL!E32+D32</f>
        <v>241395</v>
      </c>
      <c r="F60" s="33">
        <f>+F4+MCL!O32-MCL!F32+E32</f>
        <v>278300</v>
      </c>
      <c r="G60" s="33">
        <f>+G4+MCL!P32-MCL!G32+F32</f>
        <v>284350</v>
      </c>
      <c r="H60" s="33">
        <f>+H4+MCL!Q32-MCL!H32+G32</f>
        <v>290400</v>
      </c>
      <c r="I60" s="15"/>
      <c r="K60" s="16"/>
      <c r="L60" s="17" t="str">
        <f>+L46</f>
        <v>Mp xTipologia 1</v>
      </c>
      <c r="M60" s="33">
        <f>+V18+M46-D46</f>
        <v>84488.25</v>
      </c>
      <c r="N60" s="33">
        <f>+W18+N46-E46+D46</f>
        <v>103397.52500000001</v>
      </c>
      <c r="O60" s="33">
        <f aca="true" t="shared" si="18" ref="O60:Q68">+X18+O46-F46+E46</f>
        <v>116857.76666666669</v>
      </c>
      <c r="P60" s="33">
        <f t="shared" si="18"/>
        <v>119786.97500000002</v>
      </c>
      <c r="Q60" s="33">
        <f t="shared" si="18"/>
        <v>121968.00000000003</v>
      </c>
      <c r="R60" s="15"/>
    </row>
    <row r="61" spans="2:18" ht="15">
      <c r="B61" s="16"/>
      <c r="C61" s="17" t="str">
        <f aca="true" t="shared" si="19" ref="C61:C68">+C47</f>
        <v>Mp xTipologia 2</v>
      </c>
      <c r="D61" s="33">
        <f>+D5+MCL!M33-MCL!D33</f>
        <v>0</v>
      </c>
      <c r="E61" s="33">
        <f>+E5+MCL!N33-MCL!E33</f>
        <v>0</v>
      </c>
      <c r="F61" s="33">
        <f>+F5+MCL!O33-MCL!F33</f>
        <v>0</v>
      </c>
      <c r="G61" s="33">
        <f>+G5+MCL!P33-MCL!G33</f>
        <v>0</v>
      </c>
      <c r="H61" s="33">
        <f>+H5+MCL!Q33-MCL!H33</f>
        <v>0</v>
      </c>
      <c r="I61" s="15"/>
      <c r="K61" s="16"/>
      <c r="L61" s="17" t="str">
        <f aca="true" t="shared" si="20" ref="L61:L68">+L47</f>
        <v>Mp xTipologia 2</v>
      </c>
      <c r="M61" s="33">
        <f aca="true" t="shared" si="21" ref="M61:M68">+V19+M47-D47</f>
        <v>0</v>
      </c>
      <c r="N61" s="33">
        <f aca="true" t="shared" si="22" ref="N61:N68">+W19+N47-E47+D47</f>
        <v>0</v>
      </c>
      <c r="O61" s="33">
        <f t="shared" si="18"/>
        <v>0</v>
      </c>
      <c r="P61" s="33">
        <f t="shared" si="18"/>
        <v>0</v>
      </c>
      <c r="Q61" s="33">
        <f t="shared" si="18"/>
        <v>0</v>
      </c>
      <c r="R61" s="15"/>
    </row>
    <row r="62" spans="2:18" ht="15">
      <c r="B62" s="16"/>
      <c r="C62" s="17" t="str">
        <f t="shared" si="19"/>
        <v>Mp xTipologia 3</v>
      </c>
      <c r="D62" s="33">
        <f>+D6+MCL!M34-MCL!D34</f>
        <v>0</v>
      </c>
      <c r="E62" s="33">
        <f>+E6+MCL!N34-MCL!E34</f>
        <v>0</v>
      </c>
      <c r="F62" s="33">
        <f>+F6+MCL!O34-MCL!F34</f>
        <v>0</v>
      </c>
      <c r="G62" s="33">
        <f>+G6+MCL!P34-MCL!G34</f>
        <v>0</v>
      </c>
      <c r="H62" s="33">
        <f>+H6+MCL!Q34-MCL!H34</f>
        <v>0</v>
      </c>
      <c r="I62" s="15"/>
      <c r="K62" s="16"/>
      <c r="L62" s="17" t="str">
        <f t="shared" si="20"/>
        <v>Mp xTipologia 3</v>
      </c>
      <c r="M62" s="33">
        <f t="shared" si="21"/>
        <v>0</v>
      </c>
      <c r="N62" s="33">
        <f t="shared" si="22"/>
        <v>0</v>
      </c>
      <c r="O62" s="33">
        <f t="shared" si="18"/>
        <v>0</v>
      </c>
      <c r="P62" s="33">
        <f t="shared" si="18"/>
        <v>0</v>
      </c>
      <c r="Q62" s="33">
        <f t="shared" si="18"/>
        <v>0</v>
      </c>
      <c r="R62" s="15"/>
    </row>
    <row r="63" spans="2:18" ht="15">
      <c r="B63" s="16"/>
      <c r="C63" s="17" t="str">
        <f t="shared" si="19"/>
        <v>Mp xTipologia 4</v>
      </c>
      <c r="D63" s="33">
        <f>+D7+MCL!M35-MCL!D35</f>
        <v>0</v>
      </c>
      <c r="E63" s="33">
        <f>+E7+MCL!N35-MCL!E35</f>
        <v>0</v>
      </c>
      <c r="F63" s="33">
        <f>+F7+MCL!O35-MCL!F35</f>
        <v>0</v>
      </c>
      <c r="G63" s="33">
        <f>+G7+MCL!P35-MCL!G35</f>
        <v>0</v>
      </c>
      <c r="H63" s="33">
        <f>+H7+MCL!Q35-MCL!H35</f>
        <v>0</v>
      </c>
      <c r="I63" s="15"/>
      <c r="K63" s="16"/>
      <c r="L63" s="17" t="str">
        <f t="shared" si="20"/>
        <v>Mp xTipologia 4</v>
      </c>
      <c r="M63" s="33">
        <f t="shared" si="21"/>
        <v>0</v>
      </c>
      <c r="N63" s="33">
        <f t="shared" si="22"/>
        <v>0</v>
      </c>
      <c r="O63" s="33">
        <f t="shared" si="18"/>
        <v>0</v>
      </c>
      <c r="P63" s="33">
        <f t="shared" si="18"/>
        <v>0</v>
      </c>
      <c r="Q63" s="33">
        <f t="shared" si="18"/>
        <v>0</v>
      </c>
      <c r="R63" s="15"/>
    </row>
    <row r="64" spans="2:18" ht="15">
      <c r="B64" s="16"/>
      <c r="C64" s="17" t="str">
        <f t="shared" si="19"/>
        <v>Mp xTipologia 5</v>
      </c>
      <c r="D64" s="33">
        <f>+D8+MCL!M36-MCL!D36</f>
        <v>0</v>
      </c>
      <c r="E64" s="33">
        <f>+E8+MCL!N36-MCL!E36</f>
        <v>0</v>
      </c>
      <c r="F64" s="33">
        <f>+F8+MCL!O36-MCL!F36</f>
        <v>0</v>
      </c>
      <c r="G64" s="33">
        <f>+G8+MCL!P36-MCL!G36</f>
        <v>0</v>
      </c>
      <c r="H64" s="33">
        <f>+H8+MCL!Q36-MCL!H36</f>
        <v>0</v>
      </c>
      <c r="I64" s="15"/>
      <c r="K64" s="16"/>
      <c r="L64" s="17" t="str">
        <f t="shared" si="20"/>
        <v>Mp xTipologia 5</v>
      </c>
      <c r="M64" s="33">
        <f t="shared" si="21"/>
        <v>0</v>
      </c>
      <c r="N64" s="33">
        <f t="shared" si="22"/>
        <v>0</v>
      </c>
      <c r="O64" s="33">
        <f t="shared" si="18"/>
        <v>0</v>
      </c>
      <c r="P64" s="33">
        <f t="shared" si="18"/>
        <v>0</v>
      </c>
      <c r="Q64" s="33">
        <f t="shared" si="18"/>
        <v>0</v>
      </c>
      <c r="R64" s="15"/>
    </row>
    <row r="65" spans="2:18" ht="15">
      <c r="B65" s="16"/>
      <c r="C65" s="17" t="str">
        <f t="shared" si="19"/>
        <v>Mp xTipologia 6</v>
      </c>
      <c r="D65" s="33">
        <f>+D9+MCL!M37-MCL!D37</f>
        <v>0</v>
      </c>
      <c r="E65" s="33">
        <f>+E9+MCL!N37-MCL!E37</f>
        <v>0</v>
      </c>
      <c r="F65" s="33">
        <f>+F9+MCL!O37-MCL!F37</f>
        <v>0</v>
      </c>
      <c r="G65" s="33">
        <f>+G9+MCL!P37-MCL!G37</f>
        <v>0</v>
      </c>
      <c r="H65" s="33">
        <f>+H9+MCL!Q37-MCL!H37</f>
        <v>0</v>
      </c>
      <c r="I65" s="15"/>
      <c r="K65" s="16"/>
      <c r="L65" s="17" t="str">
        <f t="shared" si="20"/>
        <v>Mp xTipologia 6</v>
      </c>
      <c r="M65" s="33">
        <f t="shared" si="21"/>
        <v>0</v>
      </c>
      <c r="N65" s="33">
        <f t="shared" si="22"/>
        <v>0</v>
      </c>
      <c r="O65" s="33">
        <f t="shared" si="18"/>
        <v>0</v>
      </c>
      <c r="P65" s="33">
        <f t="shared" si="18"/>
        <v>0</v>
      </c>
      <c r="Q65" s="33">
        <f t="shared" si="18"/>
        <v>0</v>
      </c>
      <c r="R65" s="15"/>
    </row>
    <row r="66" spans="2:18" ht="15">
      <c r="B66" s="16"/>
      <c r="C66" s="17" t="str">
        <f t="shared" si="19"/>
        <v>Mp xTipologia 7</v>
      </c>
      <c r="D66" s="33">
        <f>+D10+MCL!M38-MCL!D38</f>
        <v>0</v>
      </c>
      <c r="E66" s="33">
        <f>+E10+MCL!N38-MCL!E38</f>
        <v>0</v>
      </c>
      <c r="F66" s="33">
        <f>+F10+MCL!O38-MCL!F38</f>
        <v>0</v>
      </c>
      <c r="G66" s="33">
        <f>+G10+MCL!P38-MCL!G38</f>
        <v>0</v>
      </c>
      <c r="H66" s="33">
        <f>+H10+MCL!Q38-MCL!H38</f>
        <v>0</v>
      </c>
      <c r="I66" s="15"/>
      <c r="K66" s="16"/>
      <c r="L66" s="17" t="str">
        <f t="shared" si="20"/>
        <v>Mp xTipologia 7</v>
      </c>
      <c r="M66" s="33">
        <f t="shared" si="21"/>
        <v>0</v>
      </c>
      <c r="N66" s="33">
        <f t="shared" si="22"/>
        <v>0</v>
      </c>
      <c r="O66" s="33">
        <f t="shared" si="18"/>
        <v>0</v>
      </c>
      <c r="P66" s="33">
        <f t="shared" si="18"/>
        <v>0</v>
      </c>
      <c r="Q66" s="33">
        <f t="shared" si="18"/>
        <v>0</v>
      </c>
      <c r="R66" s="15"/>
    </row>
    <row r="67" spans="2:18" ht="15">
      <c r="B67" s="16"/>
      <c r="C67" s="17" t="str">
        <f t="shared" si="19"/>
        <v>Mp xTipologia 8</v>
      </c>
      <c r="D67" s="33">
        <f>+D11+MCL!M39-MCL!D39</f>
        <v>0</v>
      </c>
      <c r="E67" s="33">
        <f>+E11+MCL!N39-MCL!E39</f>
        <v>0</v>
      </c>
      <c r="F67" s="33">
        <f>+F11+MCL!O39-MCL!F39</f>
        <v>0</v>
      </c>
      <c r="G67" s="33">
        <f>+G11+MCL!P39-MCL!G39</f>
        <v>0</v>
      </c>
      <c r="H67" s="33">
        <f>+H11+MCL!Q39-MCL!H39</f>
        <v>0</v>
      </c>
      <c r="I67" s="15"/>
      <c r="K67" s="16"/>
      <c r="L67" s="17" t="str">
        <f t="shared" si="20"/>
        <v>Mp xTipologia 8</v>
      </c>
      <c r="M67" s="33">
        <f t="shared" si="21"/>
        <v>0</v>
      </c>
      <c r="N67" s="33">
        <f t="shared" si="22"/>
        <v>0</v>
      </c>
      <c r="O67" s="33">
        <f t="shared" si="18"/>
        <v>0</v>
      </c>
      <c r="P67" s="33">
        <f t="shared" si="18"/>
        <v>0</v>
      </c>
      <c r="Q67" s="33">
        <f t="shared" si="18"/>
        <v>0</v>
      </c>
      <c r="R67" s="15"/>
    </row>
    <row r="68" spans="2:18" ht="15">
      <c r="B68" s="16"/>
      <c r="C68" s="17" t="str">
        <f t="shared" si="19"/>
        <v>Mp xTipologia 9</v>
      </c>
      <c r="D68" s="33">
        <f>+D12+MCL!M40-MCL!D40</f>
        <v>0</v>
      </c>
      <c r="E68" s="33">
        <f>+E12+MCL!N40-MCL!E40</f>
        <v>0</v>
      </c>
      <c r="F68" s="33">
        <f>+F12+MCL!O40-MCL!F40</f>
        <v>0</v>
      </c>
      <c r="G68" s="33">
        <f>+G12+MCL!P40-MCL!G40</f>
        <v>0</v>
      </c>
      <c r="H68" s="33">
        <f>+H12+MCL!Q40-MCL!H40</f>
        <v>0</v>
      </c>
      <c r="I68" s="15"/>
      <c r="K68" s="16"/>
      <c r="L68" s="17" t="str">
        <f t="shared" si="20"/>
        <v>Mp xTipologia 9</v>
      </c>
      <c r="M68" s="33">
        <f t="shared" si="21"/>
        <v>0</v>
      </c>
      <c r="N68" s="33">
        <f t="shared" si="22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15"/>
    </row>
    <row r="69" spans="2:18" ht="15">
      <c r="B69" s="16"/>
      <c r="C69" s="12" t="s">
        <v>36</v>
      </c>
      <c r="D69" s="34">
        <f>SUM(D60:D68)</f>
        <v>206910</v>
      </c>
      <c r="E69" s="34">
        <f>SUM(E60:E68)</f>
        <v>241395</v>
      </c>
      <c r="F69" s="34">
        <f>SUM(F60:F68)</f>
        <v>278300</v>
      </c>
      <c r="G69" s="34">
        <f>SUM(G60:G68)</f>
        <v>284350</v>
      </c>
      <c r="H69" s="34">
        <f>SUM(H60:H68)</f>
        <v>290400</v>
      </c>
      <c r="I69" s="15"/>
      <c r="K69" s="16"/>
      <c r="L69" s="12" t="s">
        <v>36</v>
      </c>
      <c r="M69" s="34">
        <f>SUM(M60:M68)</f>
        <v>84488.25</v>
      </c>
      <c r="N69" s="34">
        <f>SUM(N60:N68)</f>
        <v>103397.52500000001</v>
      </c>
      <c r="O69" s="34">
        <f>SUM(O60:O68)</f>
        <v>116857.76666666669</v>
      </c>
      <c r="P69" s="34">
        <f>SUM(P60:P68)</f>
        <v>119786.97500000002</v>
      </c>
      <c r="Q69" s="34">
        <f>SUM(Q60:Q68)</f>
        <v>121968.00000000003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  <row r="71" ht="15.75" thickBot="1"/>
    <row r="72" spans="2:9" ht="15">
      <c r="B72" s="8"/>
      <c r="C72" s="21" t="s">
        <v>383</v>
      </c>
      <c r="D72" s="9"/>
      <c r="E72" s="9"/>
      <c r="F72" s="9"/>
      <c r="G72" s="9"/>
      <c r="H72" s="9"/>
      <c r="I72" s="10"/>
    </row>
    <row r="73" spans="2:9" ht="15">
      <c r="B73" s="16"/>
      <c r="C73" s="17"/>
      <c r="D73" s="13" t="str">
        <f>+D59</f>
        <v>Anno 1</v>
      </c>
      <c r="E73" s="13" t="str">
        <f>+E59</f>
        <v>Anno 2</v>
      </c>
      <c r="F73" s="13" t="str">
        <f>+F59</f>
        <v>Anno 3</v>
      </c>
      <c r="G73" s="13" t="str">
        <f>+G59</f>
        <v>Anno 4</v>
      </c>
      <c r="H73" s="13" t="str">
        <f>+H59</f>
        <v>Anno 5</v>
      </c>
      <c r="I73" s="15"/>
    </row>
    <row r="74" spans="2:9" ht="15">
      <c r="B74" s="16"/>
      <c r="C74" s="17" t="s">
        <v>382</v>
      </c>
      <c r="D74" s="33">
        <f>+Input!$D$18*D13</f>
        <v>8550</v>
      </c>
      <c r="E74" s="33">
        <f>+Input!$D$18*E13</f>
        <v>9975</v>
      </c>
      <c r="F74" s="33">
        <f>+Input!$D$18*F13</f>
        <v>11500</v>
      </c>
      <c r="G74" s="33">
        <f>+Input!$D$18*G13</f>
        <v>11750</v>
      </c>
      <c r="H74" s="33">
        <f>+Input!$D$18*H13</f>
        <v>12000</v>
      </c>
      <c r="I74" s="15"/>
    </row>
    <row r="75" spans="2:12" ht="15.75" thickBot="1">
      <c r="B75" s="18"/>
      <c r="C75" s="19"/>
      <c r="D75" s="19"/>
      <c r="E75" s="19"/>
      <c r="F75" s="19"/>
      <c r="G75" s="19"/>
      <c r="H75" s="19"/>
      <c r="I75" s="20"/>
      <c r="L75" s="25"/>
    </row>
    <row r="76" ht="15.75" thickBot="1"/>
    <row r="77" spans="2:9" ht="15">
      <c r="B77" s="8"/>
      <c r="C77" s="21" t="s">
        <v>23</v>
      </c>
      <c r="D77" s="9"/>
      <c r="E77" s="9"/>
      <c r="F77" s="9"/>
      <c r="G77" s="9"/>
      <c r="H77" s="9"/>
      <c r="I77" s="10"/>
    </row>
    <row r="78" spans="2:9" ht="15">
      <c r="B78" s="16"/>
      <c r="C78" s="17"/>
      <c r="D78" s="13" t="str">
        <f>+M59</f>
        <v>Anno 1</v>
      </c>
      <c r="E78" s="13" t="str">
        <f>+N59</f>
        <v>Anno 2</v>
      </c>
      <c r="F78" s="13" t="str">
        <f>+O59</f>
        <v>Anno 3</v>
      </c>
      <c r="G78" s="13" t="str">
        <f>+P59</f>
        <v>Anno 4</v>
      </c>
      <c r="H78" s="13" t="str">
        <f>+Q59</f>
        <v>Anno 5</v>
      </c>
      <c r="I78" s="15"/>
    </row>
    <row r="79" spans="2:9" ht="15">
      <c r="B79" s="16"/>
      <c r="C79" s="17" t="s">
        <v>382</v>
      </c>
      <c r="D79" s="33">
        <f>+(D74*Input!$F$18)</f>
        <v>1795.5</v>
      </c>
      <c r="E79" s="33">
        <f>+(E74*Input!$F$18)</f>
        <v>2094.75</v>
      </c>
      <c r="F79" s="33">
        <f>+(F74*Input!$F$18)</f>
        <v>2415</v>
      </c>
      <c r="G79" s="33">
        <f>+(G74*Input!$F$18)</f>
        <v>2467.5</v>
      </c>
      <c r="H79" s="33">
        <f>+(H74*Input!$F$18)</f>
        <v>2520</v>
      </c>
      <c r="I79" s="15"/>
    </row>
    <row r="80" spans="2:9" ht="15.75" thickBot="1">
      <c r="B80" s="18"/>
      <c r="C80" s="19"/>
      <c r="D80" s="19"/>
      <c r="E80" s="19"/>
      <c r="F80" s="19"/>
      <c r="G80" s="19"/>
      <c r="H80" s="19"/>
      <c r="I80" s="20"/>
    </row>
    <row r="81" ht="15.75" thickBot="1"/>
    <row r="82" spans="2:9" ht="15">
      <c r="B82" s="8"/>
      <c r="C82" s="21" t="s">
        <v>387</v>
      </c>
      <c r="D82" s="9"/>
      <c r="E82" s="9"/>
      <c r="F82" s="9"/>
      <c r="G82" s="9"/>
      <c r="H82" s="9"/>
      <c r="I82" s="10"/>
    </row>
    <row r="83" spans="2:9" ht="15">
      <c r="B83" s="16"/>
      <c r="C83" s="17"/>
      <c r="D83" s="13" t="str">
        <f>+D78</f>
        <v>Anno 1</v>
      </c>
      <c r="E83" s="13" t="str">
        <f>+E78</f>
        <v>Anno 2</v>
      </c>
      <c r="F83" s="13" t="str">
        <f>+F78</f>
        <v>Anno 3</v>
      </c>
      <c r="G83" s="13" t="str">
        <f>+G78</f>
        <v>Anno 4</v>
      </c>
      <c r="H83" s="13" t="str">
        <f>+H78</f>
        <v>Anno 5</v>
      </c>
      <c r="I83" s="15"/>
    </row>
    <row r="84" spans="2:9" ht="15">
      <c r="B84" s="16"/>
      <c r="C84" s="17" t="s">
        <v>382</v>
      </c>
      <c r="D84" s="33">
        <f>+IF(Input!$E18=0,0,IF(Input!$E18=30,(D74+D79)/12,IF(Input!$E18=60,(D74+D79)/6,IF(Input!$E18=90,(D74+D79)/4,IF(Input!$E18=120*(D74+D79)/3,IF(Input!$E18=150,(D74+D79)*0.416667,(D74+D79)/2))))))</f>
        <v>0</v>
      </c>
      <c r="E84" s="33">
        <f>+IF(Input!$E18=0,0,IF(Input!$E18=30,(E74+E79)/12,IF(Input!$E18=60,(E74+E79)/6,IF(Input!$E18=90,(E74+E79)/4,IF(Input!$E18=120*(E74+E79)/3,IF(Input!$E18=150,(E74+E79)*0.416667,(E74+E79)/2))))))</f>
        <v>0</v>
      </c>
      <c r="F84" s="33">
        <f>+IF(Input!$E18=0,0,IF(Input!$E18=30,(F74+F79)/12,IF(Input!$E18=60,(F74+F79)/6,IF(Input!$E18=90,(F74+F79)/4,IF(Input!$E18=120*(F74+F79)/3,IF(Input!$E18=150,(F74+F79)*0.416667,(F74+F79)/2))))))</f>
        <v>0</v>
      </c>
      <c r="G84" s="33">
        <f>+IF(Input!$E18=0,0,IF(Input!$E18=30,(G74+G79)/12,IF(Input!$E18=60,(G74+G79)/6,IF(Input!$E18=90,(G74+G79)/4,IF(Input!$E18=120*(G74+G79)/3,IF(Input!$E18=150,(G74+G79)*0.416667,(G74+G79)/2))))))</f>
        <v>0</v>
      </c>
      <c r="H84" s="33">
        <f>+IF(Input!$E18=0,0,IF(Input!$E18=30,(H74+H79)/12,IF(Input!$E18=60,(H74+H79)/6,IF(Input!$E18=90,(H74+H79)/4,IF(Input!$E18=120*(H74+H79)/3,IF(Input!$E18=150,(H74+H79)*0.416667,(H74+H79)/2))))))</f>
        <v>0</v>
      </c>
      <c r="I84" s="15"/>
    </row>
    <row r="85" spans="2:9" ht="15.75" thickBot="1">
      <c r="B85" s="18"/>
      <c r="C85" s="19"/>
      <c r="D85" s="19"/>
      <c r="E85" s="19"/>
      <c r="F85" s="19"/>
      <c r="G85" s="19"/>
      <c r="H85" s="19"/>
      <c r="I85" s="20"/>
    </row>
    <row r="86" ht="15.75" thickBot="1"/>
    <row r="87" spans="2:9" ht="15">
      <c r="B87" s="8"/>
      <c r="C87" s="21" t="s">
        <v>388</v>
      </c>
      <c r="D87" s="9"/>
      <c r="E87" s="9"/>
      <c r="F87" s="9"/>
      <c r="G87" s="9"/>
      <c r="H87" s="9"/>
      <c r="I87" s="10"/>
    </row>
    <row r="88" spans="2:9" ht="15">
      <c r="B88" s="16"/>
      <c r="C88" s="17"/>
      <c r="D88" s="13" t="str">
        <f>+D83</f>
        <v>Anno 1</v>
      </c>
      <c r="E88" s="13" t="str">
        <f>+E83</f>
        <v>Anno 2</v>
      </c>
      <c r="F88" s="13" t="str">
        <f>+F83</f>
        <v>Anno 3</v>
      </c>
      <c r="G88" s="13" t="str">
        <f>+G83</f>
        <v>Anno 4</v>
      </c>
      <c r="H88" s="13" t="str">
        <f>+H83</f>
        <v>Anno 5</v>
      </c>
      <c r="I88" s="15"/>
    </row>
    <row r="89" spans="2:9" ht="15">
      <c r="B89" s="16"/>
      <c r="C89" s="17" t="s">
        <v>382</v>
      </c>
      <c r="D89" s="33">
        <f>+D74+D79-D84</f>
        <v>10345.5</v>
      </c>
      <c r="E89" s="33">
        <f>+E74+E79-E84</f>
        <v>12069.75</v>
      </c>
      <c r="F89" s="33">
        <f>+F74+F79-F84</f>
        <v>13915</v>
      </c>
      <c r="G89" s="33">
        <f>+G74+G79-G84</f>
        <v>14217.5</v>
      </c>
      <c r="H89" s="33">
        <f>+H74+H79-H84</f>
        <v>14520</v>
      </c>
      <c r="I89" s="15"/>
    </row>
    <row r="90" spans="2:9" ht="15.75" thickBot="1">
      <c r="B90" s="18"/>
      <c r="C90" s="19"/>
      <c r="D90" s="19"/>
      <c r="E90" s="19"/>
      <c r="F90" s="19"/>
      <c r="G90" s="19"/>
      <c r="H90" s="19"/>
      <c r="I90" s="20"/>
    </row>
    <row r="92" spans="3:5" ht="15">
      <c r="C92">
        <v>5040</v>
      </c>
      <c r="D92">
        <v>5040</v>
      </c>
      <c r="E92">
        <v>5040</v>
      </c>
    </row>
    <row r="93" spans="3:5" ht="15">
      <c r="C93">
        <v>24000</v>
      </c>
      <c r="D93">
        <v>24000</v>
      </c>
      <c r="E93">
        <v>24000</v>
      </c>
    </row>
    <row r="95" spans="3:5" ht="15">
      <c r="C95">
        <v>4840</v>
      </c>
      <c r="D95">
        <v>4840</v>
      </c>
      <c r="E95">
        <v>4840</v>
      </c>
    </row>
    <row r="96" spans="3:5" ht="15">
      <c r="C96">
        <v>24200</v>
      </c>
      <c r="D96">
        <v>24200</v>
      </c>
      <c r="E96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39</v>
      </c>
      <c r="D3" s="13" t="str">
        <f>+Input!E61</f>
        <v>Anno 1</v>
      </c>
      <c r="E3" s="13" t="str">
        <f>+Input!F61</f>
        <v>Anno 2</v>
      </c>
      <c r="F3" s="13" t="str">
        <f>+Input!G61</f>
        <v>Anno 3</v>
      </c>
      <c r="G3" s="13" t="str">
        <f>+Input!H61</f>
        <v>Anno 4</v>
      </c>
      <c r="H3" s="13" t="str">
        <f>+Input!I61</f>
        <v>Anno 5</v>
      </c>
      <c r="I3" s="44"/>
      <c r="K3" s="16"/>
      <c r="L3" s="12" t="s">
        <v>57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+Input!C62</f>
        <v>Investimenti Materiali</v>
      </c>
      <c r="D4" s="33">
        <f>+Input!E62</f>
        <v>80000</v>
      </c>
      <c r="E4" s="33">
        <f>+Input!F62</f>
        <v>0</v>
      </c>
      <c r="F4" s="33">
        <f>+Input!G62</f>
        <v>0</v>
      </c>
      <c r="G4" s="33">
        <f>+Input!H62</f>
        <v>0</v>
      </c>
      <c r="H4" s="33">
        <f>+Input!I62</f>
        <v>0</v>
      </c>
      <c r="I4" s="44"/>
      <c r="K4" s="16"/>
      <c r="L4" s="17" t="str">
        <f>+C4</f>
        <v>Investimenti Materiali</v>
      </c>
      <c r="M4" s="33">
        <f>+Input!E62*Input!$E$65</f>
        <v>16800</v>
      </c>
      <c r="N4" s="33">
        <f>+Input!F62*Input!$E$65</f>
        <v>0</v>
      </c>
      <c r="O4" s="33">
        <f>+Input!G62*Input!$E$65</f>
        <v>0</v>
      </c>
      <c r="P4" s="33">
        <f>+Input!H62*Input!$E$65</f>
        <v>0</v>
      </c>
      <c r="Q4" s="33">
        <f>+Input!I62*Input!$E$65</f>
        <v>0</v>
      </c>
      <c r="R4" s="15"/>
    </row>
    <row r="5" spans="2:18" ht="15">
      <c r="B5" s="43"/>
      <c r="C5" s="17" t="str">
        <f>+Input!C63</f>
        <v>Investimenti Immateriali</v>
      </c>
      <c r="D5" s="33">
        <f>+Input!E63</f>
        <v>0</v>
      </c>
      <c r="E5" s="33">
        <f>+Input!F63</f>
        <v>0</v>
      </c>
      <c r="F5" s="33">
        <f>+Input!G63</f>
        <v>0</v>
      </c>
      <c r="G5" s="33">
        <f>+Input!H63</f>
        <v>0</v>
      </c>
      <c r="H5" s="33">
        <f>+Input!I63</f>
        <v>0</v>
      </c>
      <c r="I5" s="44"/>
      <c r="K5" s="16"/>
      <c r="L5" s="17" t="str">
        <f>+C5</f>
        <v>Investimenti Immateriali</v>
      </c>
      <c r="M5" s="33">
        <f>+Input!E63*Input!$E$65</f>
        <v>0</v>
      </c>
      <c r="N5" s="33">
        <f>+Input!F63*Input!$E$65</f>
        <v>0</v>
      </c>
      <c r="O5" s="33">
        <f>+Input!G63*Input!$E$65</f>
        <v>0</v>
      </c>
      <c r="P5" s="33">
        <f>+Input!H63*Input!$E$65</f>
        <v>0</v>
      </c>
      <c r="Q5" s="33">
        <f>+Input!I63*Input!$E$65</f>
        <v>0</v>
      </c>
      <c r="R5" s="15"/>
    </row>
    <row r="6" spans="2:18" ht="15">
      <c r="B6" s="43"/>
      <c r="C6" s="17"/>
      <c r="D6" s="33"/>
      <c r="E6" s="33"/>
      <c r="F6" s="33"/>
      <c r="G6" s="33"/>
      <c r="H6" s="33"/>
      <c r="I6" s="44"/>
      <c r="K6" s="16"/>
      <c r="L6" s="17" t="s">
        <v>417</v>
      </c>
      <c r="M6" s="33">
        <f>+Input!$D$21*Input!E21</f>
        <v>3150</v>
      </c>
      <c r="N6" s="33">
        <v>0</v>
      </c>
      <c r="O6" s="33">
        <v>0</v>
      </c>
      <c r="P6" s="33">
        <v>0</v>
      </c>
      <c r="Q6" s="33">
        <v>0</v>
      </c>
      <c r="R6" s="15"/>
    </row>
    <row r="7" spans="2:18" ht="15">
      <c r="B7" s="43"/>
      <c r="C7" s="17"/>
      <c r="D7" s="17"/>
      <c r="E7" s="17"/>
      <c r="F7" s="17"/>
      <c r="G7" s="17"/>
      <c r="H7" s="17"/>
      <c r="I7" s="44"/>
      <c r="K7" s="16"/>
      <c r="L7" s="12" t="s">
        <v>58</v>
      </c>
      <c r="M7" s="34">
        <f>SUM(M4:M6)</f>
        <v>19950</v>
      </c>
      <c r="N7" s="34">
        <f>SUM(N4:N6)</f>
        <v>0</v>
      </c>
      <c r="O7" s="34">
        <f>SUM(O4:O6)</f>
        <v>0</v>
      </c>
      <c r="P7" s="34">
        <f>SUM(P4:P6)</f>
        <v>0</v>
      </c>
      <c r="Q7" s="34">
        <f>SUM(Q4:Q6)</f>
        <v>0</v>
      </c>
      <c r="R7" s="15"/>
    </row>
    <row r="8" spans="2:18" ht="15.75" thickBot="1">
      <c r="B8" s="43"/>
      <c r="C8" s="17"/>
      <c r="D8" s="17"/>
      <c r="E8" s="17"/>
      <c r="F8" s="17"/>
      <c r="G8" s="17"/>
      <c r="H8" s="17"/>
      <c r="I8" s="44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9" t="s">
        <v>3</v>
      </c>
      <c r="C9" s="12" t="s">
        <v>48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44"/>
    </row>
    <row r="10" spans="2:18" ht="15">
      <c r="B10" s="43"/>
      <c r="C10" s="17" t="str">
        <f>+C4</f>
        <v>Investimenti Materiali</v>
      </c>
      <c r="D10" s="33">
        <f>+Input!E62*Input!$E$70</f>
        <v>16000</v>
      </c>
      <c r="E10" s="33">
        <f>+IF(D16&gt;=$D$4,0,$D4*Input!$E$70)</f>
        <v>16000</v>
      </c>
      <c r="F10" s="33">
        <f>+IF(E16&gt;=$D$4,0,$D4*Input!$E$70)</f>
        <v>16000</v>
      </c>
      <c r="G10" s="33">
        <f>+IF(F16&gt;=$D$4,0,$D4*Input!$E$70)</f>
        <v>16000</v>
      </c>
      <c r="H10" s="33">
        <f>+IF(G16&gt;=$D$4,0,$D4*Input!$E$70)</f>
        <v>16000</v>
      </c>
      <c r="I10" s="44"/>
      <c r="K10" s="8"/>
      <c r="L10" s="9"/>
      <c r="M10" s="9"/>
      <c r="N10" s="9"/>
      <c r="O10" s="9"/>
      <c r="P10" s="9"/>
      <c r="Q10" s="9"/>
      <c r="R10" s="10"/>
    </row>
    <row r="11" spans="2:18" ht="15">
      <c r="B11" s="43"/>
      <c r="C11" s="17" t="str">
        <f>+C5</f>
        <v>Investimenti Immateriali</v>
      </c>
      <c r="D11" s="33">
        <f>+Input!E63*Input!$E$71</f>
        <v>0</v>
      </c>
      <c r="E11" s="33">
        <f>+IF(D17&gt;=$D$5,0,$D5*Input!$E$71)</f>
        <v>0</v>
      </c>
      <c r="F11" s="33">
        <f>+IF(E17&gt;=$D$5,0,$D5*Input!$E$71)</f>
        <v>0</v>
      </c>
      <c r="G11" s="33">
        <f>+IF(F17&gt;=$D$5,0,$D5*Input!$E$71)</f>
        <v>0</v>
      </c>
      <c r="H11" s="33">
        <f>+IF(G17&gt;=$D$5,0,$D5*Input!$E$71)</f>
        <v>0</v>
      </c>
      <c r="I11" s="44"/>
      <c r="K11" s="16"/>
      <c r="L11" s="12" t="s">
        <v>59</v>
      </c>
      <c r="M11" s="12" t="str">
        <f>+M3</f>
        <v>Anno 1</v>
      </c>
      <c r="N11" s="12" t="str">
        <f>+N3</f>
        <v>Anno 2</v>
      </c>
      <c r="O11" s="12" t="str">
        <f>+O3</f>
        <v>Anno 3</v>
      </c>
      <c r="P11" s="12" t="str">
        <f>+P3</f>
        <v>Anno 4</v>
      </c>
      <c r="Q11" s="12" t="str">
        <f>+Q3</f>
        <v>Anno 5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+L4</f>
        <v>Investimenti Materiali</v>
      </c>
      <c r="M12" s="33">
        <f>+Input!E62+(Input!E62*Input!$E$65)-Input!E67</f>
        <v>0</v>
      </c>
      <c r="N12" s="33">
        <f>+Input!F62+(Input!F62*Input!$E$65)-Input!F67</f>
        <v>0</v>
      </c>
      <c r="O12" s="33">
        <f>+Input!G62+(Input!G62*Input!$E$65)-Input!G67</f>
        <v>0</v>
      </c>
      <c r="P12" s="33">
        <f>+Input!H62+(Input!H62*Input!$E$65)-Input!H67</f>
        <v>0</v>
      </c>
      <c r="Q12" s="33">
        <f>+Input!I62+(Input!I62*Input!$E$65)-Input!I67</f>
        <v>0</v>
      </c>
      <c r="R12" s="15"/>
    </row>
    <row r="13" spans="2:18" ht="15">
      <c r="B13" s="43"/>
      <c r="C13" s="17"/>
      <c r="D13" s="17"/>
      <c r="E13" s="17"/>
      <c r="F13" s="17"/>
      <c r="G13" s="17"/>
      <c r="H13" s="17"/>
      <c r="I13" s="44"/>
      <c r="K13" s="16"/>
      <c r="L13" s="17" t="str">
        <f>+L5</f>
        <v>Investimenti Immateriali</v>
      </c>
      <c r="M13" s="33">
        <f>+Input!E63+(Input!E63*Input!$E$65)-Input!E68</f>
        <v>0</v>
      </c>
      <c r="N13" s="33">
        <f>+Input!F63+(Input!F63*Input!$E$65)-Input!F68</f>
        <v>0</v>
      </c>
      <c r="O13" s="33">
        <f>+Input!G63+(Input!G63*Input!$E$65)-Input!G68</f>
        <v>0</v>
      </c>
      <c r="P13" s="33">
        <f>+Input!H63+(Input!H63*Input!$E$65)-Input!H68</f>
        <v>0</v>
      </c>
      <c r="Q13" s="33">
        <f>+Input!I63+(Input!I63*Input!$E$65)-Input!I68</f>
        <v>0</v>
      </c>
      <c r="R13" s="15"/>
    </row>
    <row r="14" spans="2:18" ht="15">
      <c r="B14" s="43"/>
      <c r="C14" s="17"/>
      <c r="D14" s="17"/>
      <c r="E14" s="17"/>
      <c r="F14" s="17"/>
      <c r="G14" s="17"/>
      <c r="H14" s="17"/>
      <c r="I14" s="44"/>
      <c r="K14" s="16"/>
      <c r="L14" s="17" t="str">
        <f>+L6</f>
        <v>Fee d'ingresso</v>
      </c>
      <c r="M14" s="33">
        <f>+(Input!$D$21+(Input!$D$21*Input!$E$21))-Input!D23</f>
        <v>8470</v>
      </c>
      <c r="N14" s="33">
        <f>-Input!E23</f>
        <v>0</v>
      </c>
      <c r="O14" s="33">
        <f>-Input!F23</f>
        <v>0</v>
      </c>
      <c r="P14" s="33">
        <f>-Input!G23</f>
        <v>0</v>
      </c>
      <c r="Q14" s="33">
        <f>-Input!H23</f>
        <v>0</v>
      </c>
      <c r="R14" s="15"/>
    </row>
    <row r="15" spans="2:18" ht="15">
      <c r="B15" s="43"/>
      <c r="C15" s="12" t="s">
        <v>49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44"/>
      <c r="K15" s="16"/>
      <c r="L15" s="12" t="s">
        <v>60</v>
      </c>
      <c r="M15" s="34">
        <f>SUM(M12:M14)</f>
        <v>8470</v>
      </c>
      <c r="N15" s="34">
        <f>SUM(N12:N14)</f>
        <v>0</v>
      </c>
      <c r="O15" s="34">
        <f>SUM(O12:O14)</f>
        <v>0</v>
      </c>
      <c r="P15" s="34">
        <f>SUM(P12:P14)</f>
        <v>0</v>
      </c>
      <c r="Q15" s="34">
        <f>SUM(Q12:Q14)</f>
        <v>0</v>
      </c>
      <c r="R15" s="15"/>
    </row>
    <row r="16" spans="2:18" ht="15.75" thickBot="1">
      <c r="B16" s="43"/>
      <c r="C16" s="17" t="str">
        <f>+C10</f>
        <v>Investimenti Materiali</v>
      </c>
      <c r="D16" s="33">
        <f>+D10</f>
        <v>16000</v>
      </c>
      <c r="E16" s="33">
        <f aca="true" t="shared" si="0" ref="E16:H17">+D16+E10</f>
        <v>32000</v>
      </c>
      <c r="F16" s="33">
        <f t="shared" si="0"/>
        <v>48000</v>
      </c>
      <c r="G16" s="33">
        <f t="shared" si="0"/>
        <v>64000</v>
      </c>
      <c r="H16" s="33">
        <f t="shared" si="0"/>
        <v>80000</v>
      </c>
      <c r="I16" s="44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43"/>
      <c r="C17" s="17" t="str">
        <f>+C11</f>
        <v>Investimenti Immateriali</v>
      </c>
      <c r="D17" s="33">
        <f>+D11</f>
        <v>0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44"/>
    </row>
    <row r="18" spans="2:18" ht="15">
      <c r="B18" s="43"/>
      <c r="C18" s="17"/>
      <c r="D18" s="17"/>
      <c r="E18" s="17"/>
      <c r="F18" s="17"/>
      <c r="G18" s="17"/>
      <c r="H18" s="17"/>
      <c r="I18" s="44"/>
      <c r="K18" s="8"/>
      <c r="L18" s="9"/>
      <c r="M18" s="9"/>
      <c r="N18" s="9"/>
      <c r="O18" s="9"/>
      <c r="P18" s="9"/>
      <c r="Q18" s="9"/>
      <c r="R18" s="10"/>
    </row>
    <row r="19" spans="2:18" ht="15">
      <c r="B19" s="49" t="s">
        <v>4</v>
      </c>
      <c r="C19" s="12" t="s">
        <v>48</v>
      </c>
      <c r="D19" s="13" t="s">
        <v>3</v>
      </c>
      <c r="E19" s="13" t="s">
        <v>4</v>
      </c>
      <c r="F19" s="13" t="s">
        <v>5</v>
      </c>
      <c r="G19" s="13" t="s">
        <v>6</v>
      </c>
      <c r="H19" s="13" t="s">
        <v>7</v>
      </c>
      <c r="I19" s="44"/>
      <c r="K19" s="16"/>
      <c r="L19" s="12" t="s">
        <v>37</v>
      </c>
      <c r="M19" s="13" t="str">
        <f>+M11</f>
        <v>Anno 1</v>
      </c>
      <c r="N19" s="13" t="str">
        <f>+N11</f>
        <v>Anno 2</v>
      </c>
      <c r="O19" s="13" t="str">
        <f>+O11</f>
        <v>Anno 3</v>
      </c>
      <c r="P19" s="13" t="str">
        <f>+P11</f>
        <v>Anno 4</v>
      </c>
      <c r="Q19" s="13" t="str">
        <f>+Q11</f>
        <v>Anno 5</v>
      </c>
      <c r="R19" s="15"/>
    </row>
    <row r="20" spans="2:18" ht="15">
      <c r="B20" s="43"/>
      <c r="C20" s="17" t="str">
        <f>+C10</f>
        <v>Investimenti Materiali</v>
      </c>
      <c r="D20" s="33"/>
      <c r="E20" s="33">
        <f>+E4*Input!E70</f>
        <v>0</v>
      </c>
      <c r="F20" s="33">
        <f>+IF(E26&gt;=$E$4,0,$E4*Input!$E$70)</f>
        <v>0</v>
      </c>
      <c r="G20" s="33">
        <f>+IF(F26&gt;=$E$4,0,$E4*Input!$E$70)</f>
        <v>0</v>
      </c>
      <c r="H20" s="33">
        <f>+IF(G26&gt;=$E$4,0,$E4*Input!$E$70)</f>
        <v>0</v>
      </c>
      <c r="I20" s="44"/>
      <c r="K20" s="16"/>
      <c r="L20" s="17" t="str">
        <f>+L12</f>
        <v>Investimenti Materiali</v>
      </c>
      <c r="M20" s="33">
        <f>+Input!E67</f>
        <v>96800</v>
      </c>
      <c r="N20" s="33">
        <f>+Input!F67</f>
        <v>0</v>
      </c>
      <c r="O20" s="33">
        <f>+Input!G67</f>
        <v>0</v>
      </c>
      <c r="P20" s="33">
        <f>+Input!H67</f>
        <v>0</v>
      </c>
      <c r="Q20" s="33">
        <f>+Input!I67</f>
        <v>0</v>
      </c>
      <c r="R20" s="15"/>
    </row>
    <row r="21" spans="2:18" ht="15">
      <c r="B21" s="43"/>
      <c r="C21" s="17" t="str">
        <f>+C11</f>
        <v>Investimenti Immateriali</v>
      </c>
      <c r="D21" s="33"/>
      <c r="E21" s="33">
        <f>+E5*Input!E71</f>
        <v>0</v>
      </c>
      <c r="F21" s="33">
        <f>+IF(E27&gt;=$E$5,0,$E5*Input!$E$71)</f>
        <v>0</v>
      </c>
      <c r="G21" s="33">
        <f>+IF(F27&gt;=$E$5,0,$E5*Input!$E$71)</f>
        <v>0</v>
      </c>
      <c r="H21" s="33">
        <f>+IF(G27&gt;=$E$5,0,$E5*Input!$E$71)</f>
        <v>0</v>
      </c>
      <c r="I21" s="44"/>
      <c r="K21" s="16"/>
      <c r="L21" s="17" t="str">
        <f>+L13</f>
        <v>Investimenti Immateriali</v>
      </c>
      <c r="M21" s="33">
        <f>+Input!E68</f>
        <v>0</v>
      </c>
      <c r="N21" s="33">
        <f>+Input!F68</f>
        <v>0</v>
      </c>
      <c r="O21" s="33">
        <f>+Input!G68</f>
        <v>0</v>
      </c>
      <c r="P21" s="33">
        <f>+Input!H68</f>
        <v>0</v>
      </c>
      <c r="Q21" s="33">
        <f>+Input!I68</f>
        <v>0</v>
      </c>
      <c r="R21" s="15"/>
    </row>
    <row r="22" spans="2:18" ht="15">
      <c r="B22" s="43"/>
      <c r="C22" s="17"/>
      <c r="D22" s="33"/>
      <c r="E22" s="33"/>
      <c r="F22" s="33"/>
      <c r="G22" s="33"/>
      <c r="H22" s="33"/>
      <c r="I22" s="44"/>
      <c r="K22" s="16"/>
      <c r="L22" s="17" t="s">
        <v>417</v>
      </c>
      <c r="M22" s="33">
        <f>+Input!D23</f>
        <v>9680</v>
      </c>
      <c r="N22" s="33">
        <f>+Input!E23</f>
        <v>0</v>
      </c>
      <c r="O22" s="33">
        <f>+Input!F23</f>
        <v>0</v>
      </c>
      <c r="P22" s="33">
        <f>+Input!G23</f>
        <v>0</v>
      </c>
      <c r="Q22" s="33">
        <f>+Input!H23</f>
        <v>0</v>
      </c>
      <c r="R22" s="15"/>
    </row>
    <row r="23" spans="2:18" ht="15">
      <c r="B23" s="43"/>
      <c r="C23" s="17"/>
      <c r="D23" s="17"/>
      <c r="E23" s="17"/>
      <c r="F23" s="17"/>
      <c r="G23" s="17"/>
      <c r="H23" s="17"/>
      <c r="I23" s="44"/>
      <c r="K23" s="16"/>
      <c r="L23" s="12" t="s">
        <v>61</v>
      </c>
      <c r="M23" s="34">
        <f>SUM(M20:M22)</f>
        <v>106480</v>
      </c>
      <c r="N23" s="34">
        <f>SUM(N20:N22)</f>
        <v>0</v>
      </c>
      <c r="O23" s="34">
        <f>SUM(O20:O22)</f>
        <v>0</v>
      </c>
      <c r="P23" s="34">
        <f>SUM(P20:P22)</f>
        <v>0</v>
      </c>
      <c r="Q23" s="34">
        <f>SUM(Q20:Q22)</f>
        <v>0</v>
      </c>
      <c r="R23" s="15"/>
    </row>
    <row r="24" spans="2:18" ht="15.75" thickBot="1">
      <c r="B24" s="43"/>
      <c r="C24" s="17"/>
      <c r="D24" s="17"/>
      <c r="E24" s="17"/>
      <c r="F24" s="17"/>
      <c r="G24" s="17"/>
      <c r="H24" s="17"/>
      <c r="I24" s="44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43"/>
      <c r="C25" s="12" t="s">
        <v>49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44"/>
    </row>
    <row r="26" spans="2:9" ht="15">
      <c r="B26" s="43"/>
      <c r="C26" s="17" t="str">
        <f>+C20</f>
        <v>Investimenti Materiali</v>
      </c>
      <c r="D26" s="33"/>
      <c r="E26" s="33">
        <f aca="true" t="shared" si="1" ref="E26:H27">+D26+E20</f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44"/>
    </row>
    <row r="27" spans="2:9" ht="15">
      <c r="B27" s="43"/>
      <c r="C27" s="17" t="str">
        <f>+C21</f>
        <v>Investimenti Immateriali</v>
      </c>
      <c r="D27" s="33"/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44"/>
    </row>
    <row r="28" spans="2:9" ht="15">
      <c r="B28" s="43"/>
      <c r="C28" s="17"/>
      <c r="D28" s="17"/>
      <c r="E28" s="17"/>
      <c r="F28" s="17"/>
      <c r="G28" s="17"/>
      <c r="H28" s="17"/>
      <c r="I28" s="44"/>
    </row>
    <row r="29" spans="2:9" ht="15">
      <c r="B29" s="49" t="s">
        <v>5</v>
      </c>
      <c r="C29" s="12" t="s">
        <v>48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7</v>
      </c>
      <c r="I29" s="44"/>
    </row>
    <row r="30" spans="2:9" ht="15">
      <c r="B30" s="43"/>
      <c r="C30" s="17" t="str">
        <f>+C20</f>
        <v>Investimenti Materiali</v>
      </c>
      <c r="D30" s="33"/>
      <c r="E30" s="33"/>
      <c r="F30" s="33">
        <f>+F4*Input!$E$70</f>
        <v>0</v>
      </c>
      <c r="G30" s="33">
        <f>+IF(F35&gt;=$F$4,0,$F4*Input!$E$70)</f>
        <v>0</v>
      </c>
      <c r="H30" s="33">
        <f>+IF(G35&gt;=$F$4,0,$F4*Input!$E$70)</f>
        <v>0</v>
      </c>
      <c r="I30" s="44"/>
    </row>
    <row r="31" spans="2:9" ht="15">
      <c r="B31" s="43"/>
      <c r="C31" s="17" t="str">
        <f>+C21</f>
        <v>Investimenti Immateriali</v>
      </c>
      <c r="D31" s="33"/>
      <c r="E31" s="33"/>
      <c r="F31" s="33">
        <f>+F5*Input!E71</f>
        <v>0</v>
      </c>
      <c r="G31" s="33">
        <f>+IF(F36&gt;=$F$4,0,$F5*Input!$E$70)</f>
        <v>0</v>
      </c>
      <c r="H31" s="33">
        <f>+IF(G36&gt;=$F$4,0,$F5*Input!$E$70)</f>
        <v>0</v>
      </c>
      <c r="I31" s="44"/>
    </row>
    <row r="32" spans="2:9" ht="15">
      <c r="B32" s="43"/>
      <c r="C32" s="17"/>
      <c r="D32" s="17"/>
      <c r="E32" s="17"/>
      <c r="F32" s="17"/>
      <c r="G32" s="17"/>
      <c r="H32" s="17"/>
      <c r="I32" s="44"/>
    </row>
    <row r="33" spans="2:9" ht="15">
      <c r="B33" s="43"/>
      <c r="C33" s="17"/>
      <c r="D33" s="17"/>
      <c r="E33" s="17"/>
      <c r="F33" s="17"/>
      <c r="G33" s="17"/>
      <c r="H33" s="17"/>
      <c r="I33" s="44"/>
    </row>
    <row r="34" spans="2:9" ht="15">
      <c r="B34" s="43"/>
      <c r="C34" s="12" t="s">
        <v>49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44"/>
    </row>
    <row r="35" spans="2:9" ht="15">
      <c r="B35" s="43"/>
      <c r="C35" s="17" t="str">
        <f>+C30</f>
        <v>Investimenti Materiali</v>
      </c>
      <c r="D35" s="33"/>
      <c r="E35" s="33"/>
      <c r="F35" s="33">
        <f aca="true" t="shared" si="2" ref="F35:H36">+E35+F30</f>
        <v>0</v>
      </c>
      <c r="G35" s="33">
        <f t="shared" si="2"/>
        <v>0</v>
      </c>
      <c r="H35" s="33">
        <f t="shared" si="2"/>
        <v>0</v>
      </c>
      <c r="I35" s="44"/>
    </row>
    <row r="36" spans="2:9" ht="15">
      <c r="B36" s="43"/>
      <c r="C36" s="17" t="str">
        <f>+C31</f>
        <v>Investimenti Immateriali</v>
      </c>
      <c r="D36" s="33"/>
      <c r="E36" s="33"/>
      <c r="F36" s="33">
        <f t="shared" si="2"/>
        <v>0</v>
      </c>
      <c r="G36" s="33">
        <f t="shared" si="2"/>
        <v>0</v>
      </c>
      <c r="H36" s="33">
        <f t="shared" si="2"/>
        <v>0</v>
      </c>
      <c r="I36" s="44"/>
    </row>
    <row r="37" spans="2:9" ht="15">
      <c r="B37" s="43"/>
      <c r="C37" s="12"/>
      <c r="D37" s="17"/>
      <c r="E37" s="17"/>
      <c r="F37" s="17"/>
      <c r="G37" s="17"/>
      <c r="H37" s="17"/>
      <c r="I37" s="44"/>
    </row>
    <row r="38" spans="2:9" ht="15">
      <c r="B38" s="49" t="s">
        <v>6</v>
      </c>
      <c r="C38" s="12" t="s">
        <v>48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44"/>
    </row>
    <row r="39" spans="2:9" ht="15">
      <c r="B39" s="43"/>
      <c r="C39" s="17" t="str">
        <f>+C30</f>
        <v>Investimenti Materiali</v>
      </c>
      <c r="D39" s="33"/>
      <c r="E39" s="33"/>
      <c r="F39" s="33"/>
      <c r="G39" s="33">
        <f>+G4*Input!E70</f>
        <v>0</v>
      </c>
      <c r="H39" s="33">
        <f>+IF(G44&gt;=$G$4,0,$G4*Input!$E$70)</f>
        <v>0</v>
      </c>
      <c r="I39" s="44"/>
    </row>
    <row r="40" spans="2:9" ht="15">
      <c r="B40" s="43"/>
      <c r="C40" s="17" t="str">
        <f>+C31</f>
        <v>Investimenti Immateriali</v>
      </c>
      <c r="D40" s="33"/>
      <c r="E40" s="33"/>
      <c r="F40" s="33"/>
      <c r="G40" s="33">
        <f>+G5*Input!E71</f>
        <v>0</v>
      </c>
      <c r="H40" s="33">
        <f>+IF(G45&gt;=$G$4,0,$G5*Input!$E$70)</f>
        <v>0</v>
      </c>
      <c r="I40" s="44"/>
    </row>
    <row r="41" spans="2:9" ht="15">
      <c r="B41" s="43"/>
      <c r="C41" s="17"/>
      <c r="D41" s="17"/>
      <c r="E41" s="17"/>
      <c r="F41" s="17"/>
      <c r="G41" s="17"/>
      <c r="H41" s="17"/>
      <c r="I41" s="44"/>
    </row>
    <row r="42" spans="2:9" ht="15">
      <c r="B42" s="43"/>
      <c r="C42" s="17"/>
      <c r="D42" s="17"/>
      <c r="E42" s="17"/>
      <c r="F42" s="17"/>
      <c r="G42" s="17"/>
      <c r="H42" s="17"/>
      <c r="I42" s="44"/>
    </row>
    <row r="43" spans="2:9" ht="15">
      <c r="B43" s="43"/>
      <c r="C43" s="12" t="s">
        <v>49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44"/>
    </row>
    <row r="44" spans="2:9" ht="15">
      <c r="B44" s="43"/>
      <c r="C44" s="17" t="str">
        <f>+C39</f>
        <v>Investimenti Materiali</v>
      </c>
      <c r="D44" s="33"/>
      <c r="E44" s="33"/>
      <c r="F44" s="33">
        <f aca="true" t="shared" si="3" ref="F44:H45">+E44+F39</f>
        <v>0</v>
      </c>
      <c r="G44" s="33">
        <f t="shared" si="3"/>
        <v>0</v>
      </c>
      <c r="H44" s="33">
        <f t="shared" si="3"/>
        <v>0</v>
      </c>
      <c r="I44" s="44"/>
    </row>
    <row r="45" spans="2:9" ht="15">
      <c r="B45" s="43"/>
      <c r="C45" s="17" t="str">
        <f>+C40</f>
        <v>Investimenti Immateriali</v>
      </c>
      <c r="D45" s="33"/>
      <c r="E45" s="33"/>
      <c r="F45" s="33">
        <f t="shared" si="3"/>
        <v>0</v>
      </c>
      <c r="G45" s="33">
        <f t="shared" si="3"/>
        <v>0</v>
      </c>
      <c r="H45" s="33">
        <f t="shared" si="3"/>
        <v>0</v>
      </c>
      <c r="I45" s="44"/>
    </row>
    <row r="46" spans="2:9" ht="15">
      <c r="B46" s="43"/>
      <c r="C46" s="17"/>
      <c r="D46" s="17"/>
      <c r="E46" s="17"/>
      <c r="F46" s="17"/>
      <c r="G46" s="17"/>
      <c r="H46" s="17"/>
      <c r="I46" s="44"/>
    </row>
    <row r="47" spans="2:9" ht="15">
      <c r="B47" s="49" t="s">
        <v>7</v>
      </c>
      <c r="C47" s="12" t="s">
        <v>48</v>
      </c>
      <c r="D47" s="13" t="s">
        <v>3</v>
      </c>
      <c r="E47" s="13" t="s">
        <v>4</v>
      </c>
      <c r="F47" s="13" t="s">
        <v>5</v>
      </c>
      <c r="G47" s="13" t="s">
        <v>6</v>
      </c>
      <c r="H47" s="13" t="s">
        <v>7</v>
      </c>
      <c r="I47" s="44"/>
    </row>
    <row r="48" spans="2:9" ht="15">
      <c r="B48" s="43"/>
      <c r="C48" s="17" t="str">
        <f>+C39</f>
        <v>Investimenti Materiali</v>
      </c>
      <c r="D48" s="33"/>
      <c r="E48" s="33"/>
      <c r="F48" s="33"/>
      <c r="G48" s="33"/>
      <c r="H48" s="33">
        <f>+H4*Input!E70</f>
        <v>0</v>
      </c>
      <c r="I48" s="44"/>
    </row>
    <row r="49" spans="2:9" ht="15">
      <c r="B49" s="43"/>
      <c r="C49" s="17" t="str">
        <f>+C40</f>
        <v>Investimenti Immateriali</v>
      </c>
      <c r="D49" s="33"/>
      <c r="E49" s="33"/>
      <c r="F49" s="33"/>
      <c r="G49" s="33"/>
      <c r="H49" s="33">
        <f>+H5*Input!E71</f>
        <v>0</v>
      </c>
      <c r="I49" s="44"/>
    </row>
    <row r="50" spans="2:9" ht="15">
      <c r="B50" s="43"/>
      <c r="C50" s="17"/>
      <c r="D50" s="17"/>
      <c r="E50" s="17"/>
      <c r="F50" s="17"/>
      <c r="G50" s="17"/>
      <c r="H50" s="17"/>
      <c r="I50" s="44"/>
    </row>
    <row r="51" spans="2:9" ht="15">
      <c r="B51" s="43"/>
      <c r="C51" s="17"/>
      <c r="D51" s="17"/>
      <c r="E51" s="17"/>
      <c r="F51" s="17"/>
      <c r="G51" s="17"/>
      <c r="H51" s="17"/>
      <c r="I51" s="44"/>
    </row>
    <row r="52" spans="2:9" ht="15">
      <c r="B52" s="43"/>
      <c r="C52" s="12" t="s">
        <v>49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44"/>
    </row>
    <row r="53" spans="2:9" ht="15">
      <c r="B53" s="43"/>
      <c r="C53" s="17" t="str">
        <f>+C48</f>
        <v>Investimenti Materiali</v>
      </c>
      <c r="D53" s="33"/>
      <c r="E53" s="33"/>
      <c r="F53" s="33"/>
      <c r="G53" s="33"/>
      <c r="H53" s="33">
        <f>+G53+H48</f>
        <v>0</v>
      </c>
      <c r="I53" s="44"/>
    </row>
    <row r="54" spans="2:9" ht="15">
      <c r="B54" s="43"/>
      <c r="C54" s="17" t="str">
        <f>+C49</f>
        <v>Investimenti Immateriali</v>
      </c>
      <c r="D54" s="33"/>
      <c r="E54" s="33"/>
      <c r="F54" s="33"/>
      <c r="G54" s="33"/>
      <c r="H54" s="33">
        <f>+G54+H49</f>
        <v>0</v>
      </c>
      <c r="I54" s="44"/>
    </row>
    <row r="55" spans="2:9" ht="15">
      <c r="B55" s="43"/>
      <c r="C55" s="17"/>
      <c r="D55" s="17"/>
      <c r="E55" s="17"/>
      <c r="F55" s="17"/>
      <c r="G55" s="17"/>
      <c r="H55" s="17"/>
      <c r="I55" s="44"/>
    </row>
    <row r="56" spans="2:9" ht="15">
      <c r="B56" s="49" t="s">
        <v>50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44"/>
    </row>
    <row r="57" spans="2:9" ht="15">
      <c r="B57" s="43"/>
      <c r="C57" s="17" t="str">
        <f aca="true" t="shared" si="4" ref="C57:C63">+C48</f>
        <v>Investimenti Materiali</v>
      </c>
      <c r="D57" s="33">
        <f aca="true" t="shared" si="5" ref="D57:H58">+D10+D20+D30+D39+E48</f>
        <v>16000</v>
      </c>
      <c r="E57" s="33">
        <f t="shared" si="5"/>
        <v>16000</v>
      </c>
      <c r="F57" s="33">
        <f t="shared" si="5"/>
        <v>16000</v>
      </c>
      <c r="G57" s="33">
        <f t="shared" si="5"/>
        <v>16000</v>
      </c>
      <c r="H57" s="33">
        <f t="shared" si="5"/>
        <v>16000</v>
      </c>
      <c r="I57" s="44"/>
    </row>
    <row r="58" spans="2:9" ht="15">
      <c r="B58" s="43"/>
      <c r="C58" s="17" t="str">
        <f t="shared" si="4"/>
        <v>Investimenti Immateriali</v>
      </c>
      <c r="D58" s="33">
        <f t="shared" si="5"/>
        <v>0</v>
      </c>
      <c r="E58" s="33">
        <f t="shared" si="5"/>
        <v>0</v>
      </c>
      <c r="F58" s="33">
        <f t="shared" si="5"/>
        <v>0</v>
      </c>
      <c r="G58" s="33">
        <f t="shared" si="5"/>
        <v>0</v>
      </c>
      <c r="H58" s="33">
        <f t="shared" si="5"/>
        <v>0</v>
      </c>
      <c r="I58" s="44"/>
    </row>
    <row r="59" spans="2:9" ht="15">
      <c r="B59" s="43"/>
      <c r="C59" s="17"/>
      <c r="D59" s="17"/>
      <c r="E59" s="17"/>
      <c r="F59" s="17"/>
      <c r="G59" s="17"/>
      <c r="H59" s="17"/>
      <c r="I59" s="44"/>
    </row>
    <row r="60" spans="2:9" ht="15">
      <c r="B60" s="43"/>
      <c r="C60" s="17"/>
      <c r="D60" s="17"/>
      <c r="E60" s="17"/>
      <c r="F60" s="17"/>
      <c r="G60" s="17"/>
      <c r="H60" s="17"/>
      <c r="I60" s="44"/>
    </row>
    <row r="61" spans="2:9" ht="15">
      <c r="B61" s="43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44"/>
    </row>
    <row r="62" spans="2:9" ht="15">
      <c r="B62" s="43"/>
      <c r="C62" s="17" t="str">
        <f t="shared" si="4"/>
        <v>Investimenti Materiali</v>
      </c>
      <c r="D62" s="33">
        <f>+D16+D26+D35+D44+E53</f>
        <v>16000</v>
      </c>
      <c r="E62" s="45">
        <f aca="true" t="shared" si="6" ref="E62:H63">+E57+D62</f>
        <v>32000</v>
      </c>
      <c r="F62" s="45">
        <f t="shared" si="6"/>
        <v>48000</v>
      </c>
      <c r="G62" s="45">
        <f t="shared" si="6"/>
        <v>64000</v>
      </c>
      <c r="H62" s="45">
        <f t="shared" si="6"/>
        <v>80000</v>
      </c>
      <c r="I62" s="44"/>
    </row>
    <row r="63" spans="2:9" ht="15">
      <c r="B63" s="43"/>
      <c r="C63" s="17" t="str">
        <f t="shared" si="4"/>
        <v>Investimenti Immateriali</v>
      </c>
      <c r="D63" s="33">
        <f>+D17+D27+D36+D45+E54</f>
        <v>0</v>
      </c>
      <c r="E63" s="45">
        <f t="shared" si="6"/>
        <v>0</v>
      </c>
      <c r="F63" s="45">
        <f t="shared" si="6"/>
        <v>0</v>
      </c>
      <c r="G63" s="45">
        <f t="shared" si="6"/>
        <v>0</v>
      </c>
      <c r="H63" s="45">
        <f t="shared" si="6"/>
        <v>0</v>
      </c>
      <c r="I63" s="44"/>
    </row>
    <row r="64" spans="2:9" ht="15.75" thickBot="1">
      <c r="B64" s="46"/>
      <c r="C64" s="47"/>
      <c r="D64" s="47"/>
      <c r="E64" s="47"/>
      <c r="F64" s="47"/>
      <c r="G64" s="47"/>
      <c r="H64" s="47"/>
      <c r="I64" s="48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417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417</v>
      </c>
      <c r="D71" s="33">
        <f>+Input!$D$21</f>
        <v>15000</v>
      </c>
      <c r="E71" s="33">
        <f>+Input!$D$21</f>
        <v>15000</v>
      </c>
      <c r="F71" s="33">
        <f>+Input!$D$21</f>
        <v>15000</v>
      </c>
      <c r="G71" s="33">
        <f>+Input!$D$21</f>
        <v>15000</v>
      </c>
      <c r="H71" s="33">
        <f>+Input!$D$21</f>
        <v>15000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420</v>
      </c>
      <c r="D73" s="33">
        <f>+Input!D21/Input!F21</f>
        <v>2142.8571428571427</v>
      </c>
      <c r="E73" s="33">
        <f>+IF(D75&gt;=Input!$D$21,0,Input!$D$21/Input!$F$21)</f>
        <v>2142.8571428571427</v>
      </c>
      <c r="F73" s="33">
        <f>+IF(E75&gt;=Input!$D$21,0,Input!$D$21/Input!$F$21)</f>
        <v>2142.8571428571427</v>
      </c>
      <c r="G73" s="33">
        <f>+IF(F75&gt;=Input!$D$21,0,Input!$D$21/Input!$F$21)</f>
        <v>2142.8571428571427</v>
      </c>
      <c r="H73" s="33">
        <f>+IF(G75&gt;=Input!$D$21,0,Input!$D$21/Input!$F$21)</f>
        <v>2142.8571428571427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419</v>
      </c>
      <c r="D75" s="33">
        <f>+D73</f>
        <v>2142.8571428571427</v>
      </c>
      <c r="E75" s="33">
        <f>+E73+D75</f>
        <v>4285.714285714285</v>
      </c>
      <c r="F75" s="33">
        <f>+F73+E75</f>
        <v>6428.5714285714275</v>
      </c>
      <c r="G75" s="33">
        <f>+G73+F75</f>
        <v>8571.42857142857</v>
      </c>
      <c r="H75" s="33">
        <f>+H73+G75</f>
        <v>10714.285714285714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72</v>
      </c>
      <c r="D3" s="13" t="str">
        <f>+Input!E76</f>
        <v>Anno 1</v>
      </c>
      <c r="E3" s="13" t="str">
        <f>+Input!F76</f>
        <v>Anno 2</v>
      </c>
      <c r="F3" s="13" t="str">
        <f>+Input!G76</f>
        <v>Anno 3</v>
      </c>
      <c r="G3" s="13" t="str">
        <f>+Input!H76</f>
        <v>Anno 4</v>
      </c>
      <c r="H3" s="13" t="str">
        <f>+Input!I76</f>
        <v>Anno 5</v>
      </c>
      <c r="I3" s="15"/>
    </row>
    <row r="4" spans="2:9" ht="15">
      <c r="B4" s="16"/>
      <c r="C4" s="17" t="s">
        <v>68</v>
      </c>
      <c r="D4" s="33">
        <f>+Input!E79*Input!E77</f>
        <v>30000</v>
      </c>
      <c r="E4" s="33">
        <f>+Input!F79*Input!F77</f>
        <v>31500</v>
      </c>
      <c r="F4" s="33">
        <f>+Input!G79*Input!G77</f>
        <v>31500</v>
      </c>
      <c r="G4" s="33">
        <f>+Input!H79*Input!H77</f>
        <v>31500</v>
      </c>
      <c r="H4" s="33">
        <f>+Input!I79*Input!I77</f>
        <v>31500</v>
      </c>
      <c r="I4" s="15"/>
    </row>
    <row r="5" spans="2:9" ht="15">
      <c r="B5" s="16"/>
      <c r="C5" s="17" t="s">
        <v>69</v>
      </c>
      <c r="D5" s="33">
        <f>+D4*Input!$E$81</f>
        <v>9000</v>
      </c>
      <c r="E5" s="33">
        <f>+E4*Input!$E$81</f>
        <v>9450</v>
      </c>
      <c r="F5" s="33">
        <f>+F4*Input!$E$81</f>
        <v>9450</v>
      </c>
      <c r="G5" s="33">
        <f>+G4*Input!$E$81</f>
        <v>9450</v>
      </c>
      <c r="H5" s="33">
        <f>+H4*Input!$E$81</f>
        <v>9450</v>
      </c>
      <c r="I5" s="15"/>
    </row>
    <row r="6" spans="2:9" ht="15">
      <c r="B6" s="16"/>
      <c r="C6" s="17" t="s">
        <v>70</v>
      </c>
      <c r="D6" s="33">
        <f>+D4*Input!$E$82</f>
        <v>1200</v>
      </c>
      <c r="E6" s="33">
        <f>+E4*Input!$E$82</f>
        <v>1260</v>
      </c>
      <c r="F6" s="33">
        <f>+F4*Input!$E$82</f>
        <v>1260</v>
      </c>
      <c r="G6" s="33">
        <f>+G4*Input!$E$82</f>
        <v>1260</v>
      </c>
      <c r="H6" s="33">
        <f>+H4*Input!$E$82</f>
        <v>1260</v>
      </c>
      <c r="I6" s="15"/>
    </row>
    <row r="7" spans="2:9" ht="15">
      <c r="B7" s="16"/>
      <c r="C7" s="17" t="s">
        <v>71</v>
      </c>
      <c r="D7" s="33">
        <f>+D4*Input!$E$83</f>
        <v>2400</v>
      </c>
      <c r="E7" s="33">
        <f>+E4*Input!$E$83</f>
        <v>2520</v>
      </c>
      <c r="F7" s="33">
        <f>+F4*Input!$E$83</f>
        <v>2520</v>
      </c>
      <c r="G7" s="33">
        <f>+G4*Input!$E$83</f>
        <v>2520</v>
      </c>
      <c r="H7" s="33">
        <f>+H4*Input!$E$83</f>
        <v>2520</v>
      </c>
      <c r="I7" s="15"/>
    </row>
    <row r="8" spans="2:9" ht="15">
      <c r="B8" s="16"/>
      <c r="C8" s="12" t="s">
        <v>74</v>
      </c>
      <c r="D8" s="50">
        <f>SUM(D4:D7)</f>
        <v>42600</v>
      </c>
      <c r="E8" s="50">
        <f>SUM(E4:E7)</f>
        <v>44730</v>
      </c>
      <c r="F8" s="50">
        <f>SUM(F4:F7)</f>
        <v>44730</v>
      </c>
      <c r="G8" s="50">
        <f>SUM(G4:G7)</f>
        <v>44730</v>
      </c>
      <c r="H8" s="50">
        <f>SUM(H4:H7)</f>
        <v>44730</v>
      </c>
      <c r="I8" s="15"/>
    </row>
    <row r="9" spans="2:9" ht="15.75" thickBot="1">
      <c r="B9" s="18"/>
      <c r="C9" s="51"/>
      <c r="D9" s="53"/>
      <c r="E9" s="53"/>
      <c r="F9" s="53"/>
      <c r="G9" s="53"/>
      <c r="H9" s="53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37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30000</v>
      </c>
      <c r="E14" s="45">
        <f t="shared" si="0"/>
        <v>31500</v>
      </c>
      <c r="F14" s="45">
        <f t="shared" si="0"/>
        <v>31500</v>
      </c>
      <c r="G14" s="45">
        <f t="shared" si="0"/>
        <v>31500</v>
      </c>
      <c r="H14" s="45">
        <f t="shared" si="0"/>
        <v>31500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9000</v>
      </c>
      <c r="E15" s="45">
        <f t="shared" si="0"/>
        <v>9450</v>
      </c>
      <c r="F15" s="45">
        <f t="shared" si="0"/>
        <v>9450</v>
      </c>
      <c r="G15" s="45">
        <f t="shared" si="0"/>
        <v>9450</v>
      </c>
      <c r="H15" s="45">
        <f t="shared" si="0"/>
        <v>9450</v>
      </c>
      <c r="I15" s="15"/>
    </row>
    <row r="16" spans="2:9" ht="15">
      <c r="B16" s="16"/>
      <c r="C16" s="17" t="str">
        <f t="shared" si="1"/>
        <v>INAIL</v>
      </c>
      <c r="D16" s="45">
        <f t="shared" si="1"/>
        <v>1200</v>
      </c>
      <c r="E16" s="45">
        <f aca="true" t="shared" si="2" ref="E16:H17">+E6</f>
        <v>1260</v>
      </c>
      <c r="F16" s="45">
        <f t="shared" si="2"/>
        <v>1260</v>
      </c>
      <c r="G16" s="45">
        <f t="shared" si="2"/>
        <v>1260</v>
      </c>
      <c r="H16" s="45">
        <f t="shared" si="2"/>
        <v>1260</v>
      </c>
      <c r="I16" s="15"/>
    </row>
    <row r="17" spans="2:9" ht="15">
      <c r="B17" s="16"/>
      <c r="C17" s="17" t="str">
        <f t="shared" si="1"/>
        <v>TFR</v>
      </c>
      <c r="D17" s="45">
        <f t="shared" si="1"/>
        <v>2400</v>
      </c>
      <c r="E17" s="45">
        <f t="shared" si="2"/>
        <v>2520</v>
      </c>
      <c r="F17" s="45">
        <f t="shared" si="2"/>
        <v>2520</v>
      </c>
      <c r="G17" s="45">
        <f t="shared" si="2"/>
        <v>2520</v>
      </c>
      <c r="H17" s="45">
        <f t="shared" si="2"/>
        <v>2520</v>
      </c>
      <c r="I17" s="15"/>
    </row>
    <row r="18" spans="2:9" ht="15">
      <c r="B18" s="16"/>
      <c r="C18" s="12" t="s">
        <v>74</v>
      </c>
      <c r="D18" s="50">
        <f>SUM(D14:D17)</f>
        <v>42600</v>
      </c>
      <c r="E18" s="50">
        <f>SUM(E14:E17)</f>
        <v>44730</v>
      </c>
      <c r="F18" s="50">
        <f>SUM(F14:F17)</f>
        <v>44730</v>
      </c>
      <c r="G18" s="50">
        <f>SUM(G14:G17)</f>
        <v>44730</v>
      </c>
      <c r="H18" s="50">
        <f>SUM(H14:H17)</f>
        <v>44730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328</v>
      </c>
      <c r="D22" s="25">
        <f>+D17</f>
        <v>2400</v>
      </c>
      <c r="E22" s="25">
        <f>+E17</f>
        <v>2520</v>
      </c>
      <c r="F22" s="25">
        <f>+F17</f>
        <v>2520</v>
      </c>
      <c r="G22" s="25">
        <f>+G17</f>
        <v>2520</v>
      </c>
      <c r="H22" s="25">
        <f>+H17</f>
        <v>2520</v>
      </c>
    </row>
    <row r="23" spans="3:8" ht="15">
      <c r="C23" t="s">
        <v>37</v>
      </c>
      <c r="D23" s="25">
        <f>+D18-D22</f>
        <v>40200</v>
      </c>
      <c r="E23" s="25">
        <f>+E18-E22</f>
        <v>42210</v>
      </c>
      <c r="F23" s="25">
        <f>+F18-F22</f>
        <v>42210</v>
      </c>
      <c r="G23" s="25">
        <f>+G18-G22</f>
        <v>42210</v>
      </c>
      <c r="H23" s="25">
        <f>+H18-H22</f>
        <v>42210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2013-01-12T13:11:03Z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