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<sst xmlns="http://schemas.openxmlformats.org/spreadsheetml/2006/main" count="802" uniqueCount="430">
  <si>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</si>
  <si>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</si>
  <si>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</si>
  <si>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</si>
  <si>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</si>
  <si>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</si>
  <si>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</si>
  <si>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</si>
  <si>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</si>
  <si>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</si>
  <si>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</si>
  <si>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</si>
  <si>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</si>
  <si>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</si>
  <si>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</si>
  <si>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</si>
  <si>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</si>
  <si>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</si>
  <si>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</si>
  <si>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</si>
  <si>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</si>
  <si>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</si>
  <si>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</si>
  <si>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</si>
  <si>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</si>
  <si>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</si>
  <si>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</si>
  <si>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</si>
  <si>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</si>
  <si>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</si>
  <si>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</si>
  <si>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</si>
  <si>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</si>
  <si>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</si>
  <si>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</si>
  <si>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</si>
  <si>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</si>
  <si>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</si>
  <si>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</si>
  <si>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</si>
  <si>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</si>
  <si>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</si>
  <si>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</si>
  <si>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</si>
  <si>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</si>
  <si>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</si>
  <si>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</si>
  <si>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</si>
  <si>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</si>
  <si>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</si>
  <si>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</si>
  <si>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</si>
  <si>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</si>
  <si>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</si>
  <si>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</si>
  <si>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</si>
  <si>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</si>
  <si>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</si>
  <si>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</si>
  <si>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</si>
  <si>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</si>
  <si>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</si>
  <si>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</si>
  <si>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</si>
  <si>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</si>
  <si>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</si>
  <si>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</si>
  <si>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</si>
  <si>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</si>
  <si>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</si>
  <si>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</si>
  <si>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</si>
  <si>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</si>
  <si>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</si>
  <si>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</si>
  <si>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</si>
  <si>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</si>
  <si>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</si>
  <si>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</si>
  <si>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</si>
  <si>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</si>
  <si>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</si>
  <si>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</si>
  <si>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</si>
  <si>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</si>
  <si>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</si>
  <si>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</si>
  <si>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</si>
  <si>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</si>
  <si>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</si>
  <si>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</si>
  <si>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</si>
  <si>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</si>
  <si>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</si>
  <si>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</si>
  <si>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</si>
  <si>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</si>
  <si>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</si>
  <si>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</si>
  <si>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</si>
  <si>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</si>
  <si>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</si>
  <si>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</si>
  <si>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</si>
  <si>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</si>
  <si>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</si>
  <si>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</si>
  <si>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</si>
  <si>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</si>
  <si>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</si>
  <si>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</si>
  <si>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</si>
  <si>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</si>
  <si>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</si>
  <si>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</si>
  <si>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</si>
  <si>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</si>
  <si>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</si>
  <si>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</si>
  <si>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</si>
  <si>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</si>
  <si>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</si>
  <si>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</si>
  <si>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</si>
  <si>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</si>
  <si>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</si>
  <si>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</si>
  <si>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</si>
  <si>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</si>
  <si>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</si>
  <si>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</si>
  <si>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</si>
  <si>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</si>
  <si>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</si>
  <si>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</si>
  <si>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</si>
  <si>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</si>
  <si>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</si>
  <si>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</si>
  <si>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</si>
  <si>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</si>
  <si>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</si>
  <si>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</si>
  <si>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</si>
  <si>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</si>
  <si>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</si>
  <si>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</si>
  <si>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</si>
  <si>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</si>
  <si>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</si>
  <si>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</si>
  <si>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</si>
  <si>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</si>
  <si>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</si>
  <si>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</si>
  <si>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</si>
  <si>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</si>
  <si>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</si>
  <si>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</si>
  <si>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</si>
  <si>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</si>
  <si>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</si>
  <si>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</si>
  <si>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</si>
  <si>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</si>
  <si>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</si>
  <si>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</si>
  <si>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</si>
  <si>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</si>
  <si>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</si>
  <si>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</si>
  <si>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</si>
  <si>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</si>
  <si>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</si>
  <si>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</si>
  <si>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</si>
  <si>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</si>
  <si>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</si>
  <si>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</si>
  <si>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</si>
  <si>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</si>
  <si>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</si>
  <si>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</si>
  <si>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</si>
  <si>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</si>
  <si>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</si>
  <si>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</si>
  <si>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</si>
  <si>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</si>
  <si>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</si>
  <si>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</si>
  <si>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</si>
  <si>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</si>
  <si>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</si>
  <si>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</si>
  <si>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</si>
  <si>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</si>
  <si>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</si>
  <si>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</si>
  <si>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</si>
  <si>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</si>
  <si>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</si>
  <si>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</si>
  <si>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</si>
  <si>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</si>
  <si>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</si>
  <si>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</si>
  <si>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</si>
  <si>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</si>
  <si>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</si>
  <si>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</si>
  <si>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</si>
  <si>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</si>
  <si>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</si>
  <si>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</si>
  <si>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</si>
  <si>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</si>
  <si>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</si>
  <si>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</si>
  <si>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</si>
  <si>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</si>
  <si>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</si>
  <si>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</si>
  <si>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</si>
  <si>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</si>
  <si>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</si>
  <si>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</si>
  <si>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</si>
  <si>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</si>
  <si>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</si>
  <si>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</si>
  <si>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</si>
  <si>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</si>
  <si>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</si>
  <si>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</si>
  <si>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</si>
  <si>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</si>
  <si>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</si>
  <si>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</si>
  <si>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</si>
  <si>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</si>
  <si>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</si>
  <si>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</si>
  <si>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</si>
  <si>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</si>
  <si>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</si>
  <si>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</si>
  <si>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</si>
  <si>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</si>
  <si>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</si>
  <si>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</si>
  <si>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</si>
  <si>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</si>
  <si>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</si>
  <si>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</si>
  <si>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</si>
  <si>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</si>
  <si>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</si>
  <si>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</si>
  <si>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</si>
  <si>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</si>
  <si>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</si>
  <si>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</si>
  <si>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</si>
  <si>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</si>
  <si>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</si>
  <si>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</si>
  <si>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</si>
  <si>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</si>
  <si>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</si>
  <si>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</si>
  <si>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</si>
  <si>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</si>
  <si>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</si>
  <si>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</si>
  <si>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</si>
  <si>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</si>
  <si>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</si>
  <si>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</si>
  <si>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</si>
  <si>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</si>
  <si>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</si>
  <si>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</si>
  <si>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</si>
  <si>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</si>
  <si>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</si>
  <si>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</si>
  <si>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</si>
  <si>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</si>
  <si>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</si>
  <si>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</si>
  <si>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</si>
  <si>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</si>
  <si>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</si>
  <si>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</si>
  <si>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</si>
  <si>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</si>
  <si>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</si>
  <si>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</si>
  <si>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</si>
  <si>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</si>
  <si>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</si>
  <si>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</si>
  <si>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</si>
  <si>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</si>
  <si>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</si>
  <si>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</si>
  <si>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</si>
  <si>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</si>
  <si>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</si>
  <si>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</si>
  <si>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</si>
  <si>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</si>
  <si>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</si>
  <si>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</si>
  <si>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</si>
  <si>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</si>
  <si>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</si>
  <si>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</si>
  <si>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</si>
  <si>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</si>
  <si>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</si>
  <si>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</si>
  <si>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</si>
  <si>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</si>
  <si>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</si>
  <si>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</si>
  <si>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</si>
  <si>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</si>
  <si>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</si>
  <si>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</si>
  <si>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</si>
  <si>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</si>
  <si>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</si>
  <si>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</si>
  <si>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</si>
  <si>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</si>
  <si>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</si>
  <si>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</si>
  <si>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</si>
  <si>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</si>
  <si>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</si>
  <si>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</si>
  <si>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</si>
  <si>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</si>
  <si>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</si>
  <si>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</si>
  <si>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</si>
  <si>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</si>
  <si>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</si>
  <si>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</si>
  <si>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</si>
  <si>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</si>
  <si>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</si>
  <si>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</si>
  <si>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</si>
  <si>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</si>
  <si>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</si>
  <si>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</si>
  <si>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</si>
  <si>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</si>
  <si>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</si>
  <si>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</si>
  <si>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</si>
  <si>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</si>
  <si>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</si>
  <si>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</si>
  <si>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</si>
  <si>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</si>
  <si>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</si>
  <si>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</si>
  <si>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</si>
  <si>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</si>
  <si>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</si>
  <si>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</si>
  <si>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</si>
  <si>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</si>
  <si>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</si>
  <si>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</si>
  <si>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</si>
  <si>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</si>
  <si>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</si>
  <si>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</si>
  <si>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</si>
  <si>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Royalties franchising</t>
  </si>
  <si>
    <t>Acquisti</t>
  </si>
  <si>
    <t>Debito v/Franchisor</t>
  </si>
  <si>
    <t>Uscite Franchisor</t>
  </si>
  <si>
    <t>www.bpexcel.it</t>
  </si>
  <si>
    <t>MARCHIO:</t>
  </si>
  <si>
    <t>Margine contribuzione</t>
  </si>
  <si>
    <t>Importo Fidejussione</t>
  </si>
  <si>
    <t>SEZIONE FINANZIAMENTO INVITALIA</t>
  </si>
  <si>
    <t>Fidejussione</t>
  </si>
  <si>
    <t xml:space="preserve">      -Fidejussione</t>
  </si>
  <si>
    <t>Investimenti Finanziabili</t>
  </si>
  <si>
    <t>Costi di conto gestione finanziabili</t>
  </si>
  <si>
    <t>Contributo a fondo Perduto</t>
  </si>
  <si>
    <t>Totale Contributo</t>
  </si>
  <si>
    <t>tasso interesse mutuo</t>
  </si>
  <si>
    <t>Mutuo invitalia</t>
  </si>
  <si>
    <t xml:space="preserve">     - Mutuo Invitalia</t>
  </si>
  <si>
    <t>Erogazione</t>
  </si>
  <si>
    <t>Conto Gestione</t>
  </si>
  <si>
    <t>a3</t>
  </si>
  <si>
    <t>Contributo f/perduto</t>
  </si>
  <si>
    <t>Costo annuale fidejussione</t>
  </si>
  <si>
    <t xml:space="preserve">     - Contributo fondo Perduto</t>
  </si>
  <si>
    <t>Consumi MP</t>
  </si>
  <si>
    <t>Giacenza magazzino</t>
  </si>
  <si>
    <t>Quantità</t>
  </si>
  <si>
    <t>Mp iniziali</t>
  </si>
  <si>
    <t>Mp Finali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</si>
  <si>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</si>
  <si>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</si>
  <si>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</si>
  <si>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</si>
  <si>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</si>
  <si>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</si>
  <si>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</si>
  <si>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</si>
  <si>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</si>
  <si>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>Format:</t>
  </si>
  <si>
    <t>K2 Chocolate</t>
  </si>
  <si>
    <t>Servizi</t>
  </si>
  <si>
    <t>90 mq</t>
  </si>
  <si>
    <t>Servizi agli Istituti di Bellezza</t>
  </si>
  <si>
    <t>quota annua fissa</t>
  </si>
  <si>
    <t>Prezzo medio Servizio</t>
  </si>
  <si>
    <t xml:space="preserve">          2) Fee d'ingresso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</si>
</sst>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7" fillId="16" borderId="0" xfId="53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3" fillId="0" borderId="18" xfId="0" applyFont="1" applyBorder="1" applyAlignment="1">
      <alignment/>
    </xf>
    <xf numFmtId="165" fontId="43" fillId="0" borderId="15" xfId="0" applyNumberFormat="1" applyFont="1" applyBorder="1" applyAlignment="1">
      <alignment/>
    </xf>
    <xf numFmtId="0" fontId="0" fillId="7" borderId="0" xfId="0" applyFill="1" applyBorder="1" applyAlignment="1">
      <alignment/>
    </xf>
    <xf numFmtId="9" fontId="0" fillId="7" borderId="34" xfId="59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6" fontId="43" fillId="0" borderId="15" xfId="0" applyNumberFormat="1" applyFont="1" applyBorder="1" applyAlignment="1">
      <alignment/>
    </xf>
    <xf numFmtId="164" fontId="43" fillId="8" borderId="10" xfId="59" applyNumberFormat="1" applyFont="1" applyFill="1" applyBorder="1" applyAlignment="1">
      <alignment horizontal="center"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48"/>
  <sheetViews>
    <sheetView showGridLines="0" tabSelected="1" zoomScale="110" zoomScaleNormal="11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0" sqref="C20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6.7109375" style="0" bestFit="1" customWidth="1"/>
    <col min="5" max="5" width="15.140625" style="0" customWidth="1"/>
    <col min="6" max="6" width="12.00390625" style="0" customWidth="1"/>
    <col min="7" max="7" width="11.421875" style="0" customWidth="1"/>
    <col min="8" max="8" width="19.421875" style="0" bestFit="1" customWidth="1"/>
    <col min="9" max="9" width="19.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17" max="18" width="9.7109375" style="0" bestFit="1" customWidth="1"/>
    <col min="29" max="29" width="11.00390625" style="0" bestFit="1" customWidth="1"/>
    <col min="30" max="30" width="15.57421875" style="0" bestFit="1" customWidth="1"/>
  </cols>
  <sheetData>
    <row r="2" spans="5:9" ht="15">
      <c r="E2" s="6" t="s">
        <v>389</v>
      </c>
      <c r="F2" s="137" t="s">
        <v>423</v>
      </c>
      <c r="H2" s="6" t="s">
        <v>422</v>
      </c>
      <c r="I2" s="137" t="s">
        <v>425</v>
      </c>
    </row>
    <row r="3" spans="3:13" ht="46.5">
      <c r="C3" s="136" t="s">
        <v>388</v>
      </c>
      <c r="E3" s="6" t="s">
        <v>348</v>
      </c>
      <c r="F3" t="s">
        <v>424</v>
      </c>
      <c r="H3" t="s">
        <v>371</v>
      </c>
      <c r="I3" s="126" t="s">
        <v>426</v>
      </c>
      <c r="J3" s="6" t="s">
        <v>349</v>
      </c>
      <c r="K3" s="126" t="s">
        <v>351</v>
      </c>
      <c r="M3" s="2" t="s">
        <v>366</v>
      </c>
    </row>
    <row r="4" ht="15.75" thickBot="1"/>
    <row r="5" spans="2:11" ht="15">
      <c r="B5" s="8"/>
      <c r="C5" s="21" t="s">
        <v>251</v>
      </c>
      <c r="D5" s="9"/>
      <c r="E5" s="9"/>
      <c r="F5" s="9"/>
      <c r="G5" s="9"/>
      <c r="H5" s="9"/>
      <c r="I5" s="10"/>
      <c r="K5" s="6" t="s">
        <v>347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5" t="s">
        <v>344</v>
      </c>
    </row>
    <row r="7" spans="2:11" ht="15">
      <c r="B7" s="16"/>
      <c r="C7" s="17" t="s">
        <v>350</v>
      </c>
      <c r="D7" s="50">
        <f>+'CE'!D55</f>
        <v>-60318.562699900795</v>
      </c>
      <c r="E7" s="50">
        <f>+'CE'!E55</f>
        <v>-37989.43790695452</v>
      </c>
      <c r="F7" s="50">
        <f>+'CE'!F55</f>
        <v>-5143.0757168113705</v>
      </c>
      <c r="G7" s="50">
        <f>+'CE'!G55</f>
        <v>1553.8511503433829</v>
      </c>
      <c r="H7" s="50">
        <f>+'CE'!H55</f>
        <v>2346.3658747562904</v>
      </c>
      <c r="I7" s="15"/>
      <c r="K7" s="105" t="s">
        <v>345</v>
      </c>
    </row>
    <row r="8" spans="2:11" ht="15">
      <c r="B8" s="16"/>
      <c r="C8" s="17" t="s">
        <v>365</v>
      </c>
      <c r="D8" s="50">
        <f>+'CE'!D63</f>
        <v>-63511.452699900794</v>
      </c>
      <c r="E8" s="50">
        <f>+'CE'!E63</f>
        <v>-41182.32790695452</v>
      </c>
      <c r="F8" s="50">
        <f>+'CE'!F63</f>
        <v>-8335.96571681137</v>
      </c>
      <c r="G8" s="50">
        <f>+'CE'!G63</f>
        <v>-2706.780019874076</v>
      </c>
      <c r="H8" s="50">
        <f>+'CE'!H63</f>
        <v>-2103.9410359554126</v>
      </c>
      <c r="I8" s="15"/>
      <c r="K8" s="105" t="s">
        <v>299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283</v>
      </c>
      <c r="D10" s="50">
        <f>+IF(SP!C4&gt;0,SP!C4,-SP!C27)</f>
        <v>-69182.29791666666</v>
      </c>
      <c r="E10" s="50">
        <f>+IF(SP!D4&gt;0,SP!D4,-SP!D27)</f>
        <v>-52959.918183680566</v>
      </c>
      <c r="F10" s="50">
        <f>+IF(SP!E4&gt;0,SP!E4,-SP!E27)</f>
        <v>-38500.2236181444</v>
      </c>
      <c r="G10" s="50">
        <f>+IF(SP!F4&gt;0,SP!F4,-SP!F27)</f>
        <v>-20516.90544217825</v>
      </c>
      <c r="H10" s="50">
        <f>+IF(SP!G4&gt;0,SP!G4,-SP!G27)</f>
        <v>-2243.5517320204526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268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256</v>
      </c>
      <c r="D15" s="104" t="s">
        <v>266</v>
      </c>
      <c r="E15" s="17"/>
      <c r="F15" s="17"/>
      <c r="G15" s="17"/>
      <c r="H15" s="17"/>
      <c r="I15" s="15"/>
      <c r="AH15" t="s">
        <v>266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267</v>
      </c>
    </row>
    <row r="17" spans="2:9" ht="15">
      <c r="B17" s="16"/>
      <c r="C17" s="17"/>
      <c r="D17" s="13" t="s">
        <v>427</v>
      </c>
      <c r="E17" s="127"/>
      <c r="F17" s="127" t="s">
        <v>226</v>
      </c>
      <c r="G17" s="17"/>
      <c r="H17" s="17"/>
      <c r="I17" s="15"/>
    </row>
    <row r="18" spans="2:9" ht="15">
      <c r="B18" s="16"/>
      <c r="C18" s="17" t="s">
        <v>383</v>
      </c>
      <c r="D18" s="154">
        <v>3000</v>
      </c>
      <c r="E18" s="17"/>
      <c r="F18" s="23">
        <v>0.21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30">
      <c r="B20" s="16"/>
      <c r="C20" s="17"/>
      <c r="D20" s="17"/>
      <c r="E20" s="127" t="s">
        <v>226</v>
      </c>
      <c r="F20" s="127" t="s">
        <v>414</v>
      </c>
      <c r="G20" s="17"/>
      <c r="H20" s="17"/>
      <c r="I20" s="15"/>
    </row>
    <row r="21" spans="2:9" ht="15">
      <c r="B21" s="16"/>
      <c r="C21" s="17" t="s">
        <v>420</v>
      </c>
      <c r="D21" s="2">
        <v>5000</v>
      </c>
      <c r="E21" s="23">
        <v>0.21</v>
      </c>
      <c r="F21" s="145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47" t="s">
        <v>45</v>
      </c>
      <c r="J22" s="17"/>
    </row>
    <row r="23" spans="2:9" ht="15">
      <c r="B23" s="16"/>
      <c r="C23" s="17" t="s">
        <v>421</v>
      </c>
      <c r="D23" s="2">
        <v>6050</v>
      </c>
      <c r="E23" s="2">
        <v>0</v>
      </c>
      <c r="F23" s="2"/>
      <c r="G23" s="2"/>
      <c r="H23" s="2"/>
      <c r="I23" s="146">
        <f>+($D$21+($D$21*E21))-SUM(D23:H23)</f>
        <v>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/>
      <c r="D25" s="2"/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282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336</v>
      </c>
      <c r="D29" s="2">
        <v>0</v>
      </c>
      <c r="E29" s="2"/>
      <c r="F29" s="2"/>
      <c r="G29" s="2"/>
      <c r="H29" s="2"/>
      <c r="I29" s="15"/>
    </row>
    <row r="30" spans="2:9" ht="15">
      <c r="B30" s="16"/>
      <c r="C30" s="17" t="s">
        <v>337</v>
      </c>
      <c r="E30" s="2"/>
      <c r="F30" s="2"/>
      <c r="G30" s="2"/>
      <c r="H30" s="2"/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428</v>
      </c>
      <c r="J33" s="21"/>
      <c r="K33" s="21"/>
      <c r="L33" s="21"/>
      <c r="M33" s="21"/>
      <c r="N33" s="9"/>
      <c r="O33" s="21" t="s">
        <v>410</v>
      </c>
      <c r="P33" s="21"/>
      <c r="Q33" s="153">
        <f>350000/K35</f>
        <v>7777.777777777777</v>
      </c>
      <c r="R33" s="148"/>
      <c r="S33" s="21"/>
      <c r="T33" s="10"/>
    </row>
    <row r="34" spans="1:30" ht="30">
      <c r="A34" s="6"/>
      <c r="B34" s="11"/>
      <c r="C34" s="12" t="s">
        <v>424</v>
      </c>
      <c r="D34" s="12"/>
      <c r="E34" s="22" t="s">
        <v>390</v>
      </c>
      <c r="F34" s="22" t="s">
        <v>1</v>
      </c>
      <c r="G34" s="22" t="s">
        <v>2</v>
      </c>
      <c r="H34" s="14"/>
      <c r="I34" s="13" t="s">
        <v>3</v>
      </c>
      <c r="J34" s="13" t="s">
        <v>4</v>
      </c>
      <c r="K34" s="13" t="s">
        <v>5</v>
      </c>
      <c r="L34" s="13" t="s">
        <v>6</v>
      </c>
      <c r="M34" s="13" t="s">
        <v>7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27" t="s">
        <v>372</v>
      </c>
      <c r="D35" s="12"/>
      <c r="E35" s="23">
        <v>0.65</v>
      </c>
      <c r="F35" s="23">
        <v>0.21</v>
      </c>
      <c r="G35" s="24">
        <v>0</v>
      </c>
      <c r="H35" s="17"/>
      <c r="I35" s="152">
        <v>40</v>
      </c>
      <c r="J35" s="152">
        <v>40</v>
      </c>
      <c r="K35" s="152">
        <v>45</v>
      </c>
      <c r="L35" s="152">
        <v>45</v>
      </c>
      <c r="M35" s="152">
        <v>45</v>
      </c>
      <c r="N35" s="17"/>
      <c r="O35" s="139">
        <v>2500</v>
      </c>
      <c r="P35" s="140">
        <v>3500</v>
      </c>
      <c r="Q35" s="140">
        <v>4300</v>
      </c>
      <c r="R35" s="140">
        <v>4500</v>
      </c>
      <c r="S35" s="141">
        <v>4500</v>
      </c>
      <c r="T35" s="15"/>
      <c r="AC35" s="1">
        <v>0</v>
      </c>
      <c r="AD35" s="1">
        <v>0</v>
      </c>
    </row>
    <row r="36" spans="2:30" ht="15">
      <c r="B36" s="16"/>
      <c r="C36" s="27" t="s">
        <v>373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/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5"/>
      <c r="AC36" s="1">
        <v>30</v>
      </c>
      <c r="AD36" s="1">
        <v>30</v>
      </c>
    </row>
    <row r="37" spans="2:30" ht="15">
      <c r="B37" s="16"/>
      <c r="C37" s="27" t="s">
        <v>374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/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5"/>
      <c r="AC37" s="1">
        <v>60</v>
      </c>
      <c r="AD37" s="1">
        <v>60</v>
      </c>
    </row>
    <row r="38" spans="2:30" ht="15">
      <c r="B38" s="16"/>
      <c r="C38" s="27" t="s">
        <v>375</v>
      </c>
      <c r="D38" s="12"/>
      <c r="E38" s="23">
        <v>0</v>
      </c>
      <c r="F38" s="23">
        <v>0</v>
      </c>
      <c r="G38" s="24">
        <v>0</v>
      </c>
      <c r="H38" s="17"/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17"/>
      <c r="O38" s="142">
        <v>0</v>
      </c>
      <c r="P38" s="143">
        <v>0</v>
      </c>
      <c r="Q38" s="143">
        <v>0</v>
      </c>
      <c r="R38" s="143">
        <v>0</v>
      </c>
      <c r="S38" s="144">
        <v>0</v>
      </c>
      <c r="T38" s="15"/>
      <c r="AC38" s="1">
        <v>90</v>
      </c>
      <c r="AD38" s="1">
        <v>90</v>
      </c>
    </row>
    <row r="39" spans="2:30" ht="15">
      <c r="B39" s="16"/>
      <c r="C39" s="27" t="s">
        <v>376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42"/>
      <c r="P39" s="143"/>
      <c r="Q39" s="143"/>
      <c r="R39" s="143"/>
      <c r="S39" s="144"/>
      <c r="T39" s="15"/>
      <c r="AC39" s="1">
        <v>120</v>
      </c>
      <c r="AD39" s="1">
        <v>120</v>
      </c>
    </row>
    <row r="40" spans="2:30" ht="15">
      <c r="B40" s="16"/>
      <c r="C40" s="27" t="s">
        <v>377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42"/>
      <c r="P40" s="143"/>
      <c r="Q40" s="143"/>
      <c r="R40" s="143"/>
      <c r="S40" s="144"/>
      <c r="T40" s="15"/>
      <c r="AC40" s="1">
        <v>150</v>
      </c>
      <c r="AD40" s="1">
        <v>150</v>
      </c>
    </row>
    <row r="41" spans="2:30" ht="15">
      <c r="B41" s="16"/>
      <c r="C41" s="27" t="s">
        <v>378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42"/>
      <c r="P41" s="143"/>
      <c r="Q41" s="143"/>
      <c r="R41" s="143"/>
      <c r="S41" s="144"/>
      <c r="T41" s="15"/>
      <c r="AC41" s="1">
        <v>180</v>
      </c>
      <c r="AD41" s="1">
        <v>180</v>
      </c>
    </row>
    <row r="42" spans="2:20" ht="15">
      <c r="B42" s="16"/>
      <c r="C42" s="27" t="s">
        <v>379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42"/>
      <c r="P42" s="143"/>
      <c r="Q42" s="143"/>
      <c r="R42" s="143"/>
      <c r="S42" s="144"/>
      <c r="T42" s="15"/>
    </row>
    <row r="43" spans="2:20" ht="15">
      <c r="B43" s="16"/>
      <c r="C43" s="27" t="s">
        <v>380</v>
      </c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42"/>
      <c r="P43" s="143"/>
      <c r="Q43" s="143"/>
      <c r="R43" s="143"/>
      <c r="S43" s="144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408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11</v>
      </c>
      <c r="F47" s="22" t="s">
        <v>409</v>
      </c>
      <c r="G47" s="22" t="s">
        <v>13</v>
      </c>
      <c r="H47" s="15"/>
      <c r="O47" s="129"/>
    </row>
    <row r="48" spans="2:8" ht="15">
      <c r="B48" s="16"/>
      <c r="C48" s="27" t="str">
        <f>+"Mp x"&amp;C35</f>
        <v>Mp xTipologia 1</v>
      </c>
      <c r="D48" s="17"/>
      <c r="E48" s="38">
        <v>0.21</v>
      </c>
      <c r="F48" s="24">
        <v>30</v>
      </c>
      <c r="G48" s="24">
        <v>30</v>
      </c>
      <c r="H48" s="15"/>
    </row>
    <row r="49" spans="2:8" ht="15">
      <c r="B49" s="16"/>
      <c r="C49" s="27" t="str">
        <f aca="true" t="shared" si="0" ref="C49:C56">+"Mp x"&amp;C36</f>
        <v>Mp xTipologia 2</v>
      </c>
      <c r="D49" s="17"/>
      <c r="E49" s="38">
        <v>0</v>
      </c>
      <c r="F49" s="24">
        <v>30</v>
      </c>
      <c r="G49" s="24">
        <v>30</v>
      </c>
      <c r="H49" s="15"/>
    </row>
    <row r="50" spans="2:8" ht="15">
      <c r="B50" s="16"/>
      <c r="C50" s="27" t="str">
        <f t="shared" si="0"/>
        <v>Mp xTipologia 3</v>
      </c>
      <c r="D50" s="17"/>
      <c r="E50" s="38">
        <v>0</v>
      </c>
      <c r="F50" s="24">
        <v>30</v>
      </c>
      <c r="G50" s="24">
        <v>30</v>
      </c>
      <c r="H50" s="15"/>
    </row>
    <row r="51" spans="2:8" ht="15">
      <c r="B51" s="16"/>
      <c r="C51" s="27" t="str">
        <f t="shared" si="0"/>
        <v>Mp xTipologia 4</v>
      </c>
      <c r="D51" s="17"/>
      <c r="E51" s="38">
        <v>0</v>
      </c>
      <c r="F51" s="24">
        <v>30</v>
      </c>
      <c r="G51" s="24">
        <v>30</v>
      </c>
      <c r="H51" s="15"/>
    </row>
    <row r="52" spans="2:8" ht="15">
      <c r="B52" s="16"/>
      <c r="C52" s="27" t="str">
        <f t="shared" si="0"/>
        <v>Mp xTipologia 5</v>
      </c>
      <c r="D52" s="17"/>
      <c r="E52" s="38">
        <v>0</v>
      </c>
      <c r="F52" s="24">
        <v>30</v>
      </c>
      <c r="G52" s="24">
        <v>30</v>
      </c>
      <c r="H52" s="15"/>
    </row>
    <row r="53" spans="2:8" ht="15">
      <c r="B53" s="16"/>
      <c r="C53" s="27" t="str">
        <f t="shared" si="0"/>
        <v>Mp xTipologia 6</v>
      </c>
      <c r="D53" s="17"/>
      <c r="E53" s="38">
        <v>0</v>
      </c>
      <c r="F53" s="24">
        <v>30</v>
      </c>
      <c r="G53" s="24">
        <v>30</v>
      </c>
      <c r="H53" s="15"/>
    </row>
    <row r="54" spans="2:8" ht="15">
      <c r="B54" s="16"/>
      <c r="C54" s="27" t="str">
        <f t="shared" si="0"/>
        <v>Mp xTipologia 7</v>
      </c>
      <c r="D54" s="17"/>
      <c r="E54" s="38">
        <v>0</v>
      </c>
      <c r="F54" s="24">
        <v>30</v>
      </c>
      <c r="G54" s="24">
        <v>30</v>
      </c>
      <c r="H54" s="15"/>
    </row>
    <row r="55" spans="2:8" ht="15">
      <c r="B55" s="16"/>
      <c r="C55" s="27" t="str">
        <f>+"Mp x"&amp;C42</f>
        <v>Mp xTipologia 8</v>
      </c>
      <c r="D55" s="17"/>
      <c r="E55" s="38">
        <v>0</v>
      </c>
      <c r="F55" s="24">
        <v>30</v>
      </c>
      <c r="G55" s="24">
        <v>30</v>
      </c>
      <c r="H55" s="15"/>
    </row>
    <row r="56" spans="2:8" ht="15">
      <c r="B56" s="16"/>
      <c r="C56" s="27" t="str">
        <f t="shared" si="0"/>
        <v>Mp xTipologia 9</v>
      </c>
      <c r="D56" s="17"/>
      <c r="E56" s="38">
        <v>0</v>
      </c>
      <c r="F56" s="24">
        <v>30</v>
      </c>
      <c r="G56" s="24">
        <v>30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f>108882-5000</f>
        <v>103882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42</v>
      </c>
      <c r="D63" s="17"/>
      <c r="E63" s="2">
        <v>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v>125697</v>
      </c>
      <c r="F67" s="2">
        <v>0</v>
      </c>
      <c r="G67" s="2"/>
      <c r="H67" s="2"/>
      <c r="I67" s="2"/>
      <c r="J67" s="17"/>
      <c r="K67" s="39">
        <f>+(SUM(E62:I62)+(SUM(E62:I62)*E65))-SUM(E67:I67)</f>
        <v>0.22000000000116415</v>
      </c>
      <c r="L67" s="15"/>
    </row>
    <row r="68" spans="2:12" ht="15">
      <c r="B68" s="16"/>
      <c r="C68" s="17" t="s">
        <v>44</v>
      </c>
      <c r="D68" s="17"/>
      <c r="E68" s="2"/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0.2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0.2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64</v>
      </c>
      <c r="D77" s="17"/>
      <c r="E77" s="135">
        <v>2.5</v>
      </c>
      <c r="F77" s="135">
        <v>2.5</v>
      </c>
      <c r="G77" s="135">
        <v>2.5</v>
      </c>
      <c r="H77" s="135">
        <v>2.5</v>
      </c>
      <c r="I77" s="135">
        <v>2.5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f>1500*14</f>
        <v>21000</v>
      </c>
      <c r="G79" s="2">
        <f>1500*14</f>
        <v>21000</v>
      </c>
      <c r="H79" s="2">
        <f>1500*14</f>
        <v>21000</v>
      </c>
      <c r="I79" s="2">
        <f>1500*14</f>
        <v>21000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9" t="s">
        <v>93</v>
      </c>
      <c r="F89" s="15"/>
      <c r="AN89" t="s">
        <v>91</v>
      </c>
    </row>
    <row r="90" spans="2:40" ht="15">
      <c r="B90" s="16"/>
      <c r="C90" s="17" t="s">
        <v>78</v>
      </c>
      <c r="D90" s="17"/>
      <c r="E90" s="108">
        <v>0.01</v>
      </c>
      <c r="F90" s="15"/>
      <c r="AN90" t="s">
        <v>92</v>
      </c>
    </row>
    <row r="91" spans="2:40" ht="15">
      <c r="B91" s="16"/>
      <c r="C91" s="17"/>
      <c r="D91" s="17"/>
      <c r="E91" s="17"/>
      <c r="F91" s="15"/>
      <c r="AN91" t="s">
        <v>93</v>
      </c>
    </row>
    <row r="92" spans="2:40" ht="15">
      <c r="B92" s="16"/>
      <c r="C92" s="17" t="s">
        <v>79</v>
      </c>
      <c r="D92" s="17"/>
      <c r="E92" s="110">
        <v>0</v>
      </c>
      <c r="F92" s="15"/>
      <c r="AN92" t="s">
        <v>94</v>
      </c>
    </row>
    <row r="93" spans="2:40" ht="15">
      <c r="B93" s="16"/>
      <c r="C93" s="17" t="s">
        <v>80</v>
      </c>
      <c r="D93" s="17"/>
      <c r="E93" s="111">
        <v>1</v>
      </c>
      <c r="F93" s="15"/>
      <c r="AN93" t="s">
        <v>95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225</v>
      </c>
      <c r="D97" s="83" t="s">
        <v>226</v>
      </c>
      <c r="E97" s="12" t="s">
        <v>227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228</v>
      </c>
      <c r="D99" s="107">
        <v>0.21</v>
      </c>
      <c r="E99" s="17"/>
      <c r="F99" s="2">
        <f>250*12</f>
        <v>3000</v>
      </c>
      <c r="G99" s="2">
        <f>250*12</f>
        <v>3000</v>
      </c>
      <c r="H99" s="2">
        <f>250*12</f>
        <v>3000</v>
      </c>
      <c r="I99" s="2">
        <f>250*12</f>
        <v>3000</v>
      </c>
      <c r="J99" s="2">
        <f>250*12</f>
        <v>3000</v>
      </c>
      <c r="K99" s="15"/>
    </row>
    <row r="100" spans="2:11" ht="15">
      <c r="B100" s="16"/>
      <c r="C100" s="17" t="s">
        <v>229</v>
      </c>
      <c r="D100" s="107">
        <v>0.21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7" t="s">
        <v>230</v>
      </c>
      <c r="D101" s="107">
        <v>0.21</v>
      </c>
      <c r="E101" s="17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17" t="s">
        <v>231</v>
      </c>
      <c r="D102" s="107">
        <v>0.21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7" t="s">
        <v>232</v>
      </c>
      <c r="D103" s="107">
        <v>0.21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7" t="s">
        <v>233</v>
      </c>
      <c r="D104" s="107">
        <v>0.21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7" t="s">
        <v>234</v>
      </c>
      <c r="D105" s="107">
        <v>0.21</v>
      </c>
      <c r="E105" s="17"/>
      <c r="F105" s="2">
        <v>600</v>
      </c>
      <c r="G105" s="2">
        <v>600</v>
      </c>
      <c r="H105" s="2">
        <v>600</v>
      </c>
      <c r="I105" s="2">
        <v>600</v>
      </c>
      <c r="J105" s="2">
        <v>600</v>
      </c>
      <c r="K105" s="15"/>
    </row>
    <row r="106" spans="2:11" ht="15">
      <c r="B106" s="16"/>
      <c r="C106" s="17" t="s">
        <v>235</v>
      </c>
      <c r="D106" s="107">
        <v>0.21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7" t="s">
        <v>239</v>
      </c>
      <c r="D107" s="107">
        <v>0</v>
      </c>
      <c r="E107" s="17"/>
      <c r="F107" s="2">
        <f>1500*12</f>
        <v>18000</v>
      </c>
      <c r="G107" s="2">
        <f>1500*12</f>
        <v>18000</v>
      </c>
      <c r="H107" s="2">
        <f>1500*12</f>
        <v>18000</v>
      </c>
      <c r="I107" s="2">
        <f>1500*12</f>
        <v>18000</v>
      </c>
      <c r="J107" s="2">
        <f>1500*12</f>
        <v>18000</v>
      </c>
      <c r="K107" s="15"/>
    </row>
    <row r="108" spans="2:11" ht="15">
      <c r="B108" s="16"/>
      <c r="C108" s="17" t="s">
        <v>236</v>
      </c>
      <c r="D108" s="107">
        <v>0.21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7" t="s">
        <v>237</v>
      </c>
      <c r="D109" s="107">
        <v>0.21</v>
      </c>
      <c r="E109" s="17"/>
      <c r="F109" s="2">
        <v>1000</v>
      </c>
      <c r="G109" s="2">
        <v>1000</v>
      </c>
      <c r="H109" s="2">
        <v>1000</v>
      </c>
      <c r="I109" s="2">
        <v>1000</v>
      </c>
      <c r="J109" s="2">
        <v>1000</v>
      </c>
      <c r="K109" s="15"/>
    </row>
    <row r="110" spans="2:11" ht="15">
      <c r="B110" s="16"/>
      <c r="C110" s="17" t="s">
        <v>238</v>
      </c>
      <c r="D110" s="107">
        <v>0</v>
      </c>
      <c r="E110" s="17"/>
      <c r="F110" s="2">
        <v>500</v>
      </c>
      <c r="G110" s="2">
        <v>500</v>
      </c>
      <c r="H110" s="2">
        <v>500</v>
      </c>
      <c r="I110" s="2">
        <v>500</v>
      </c>
      <c r="J110" s="2">
        <v>500</v>
      </c>
      <c r="K110" s="15"/>
    </row>
    <row r="111" spans="2:11" ht="15">
      <c r="B111" s="16"/>
      <c r="C111" s="52" t="s">
        <v>406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149" t="str">
        <f>+C18</f>
        <v>Royalties Franchising</v>
      </c>
      <c r="D112" s="150">
        <f>+F18</f>
        <v>0.21</v>
      </c>
      <c r="E112" s="17"/>
      <c r="F112" s="151">
        <f>+$D$18</f>
        <v>3000</v>
      </c>
      <c r="G112" s="151">
        <f>+$D$18</f>
        <v>3000</v>
      </c>
      <c r="H112" s="151">
        <f>+$D$18</f>
        <v>3000</v>
      </c>
      <c r="I112" s="151">
        <f>+$D$18</f>
        <v>3000</v>
      </c>
      <c r="J112" s="151">
        <f>+$D$18</f>
        <v>3000</v>
      </c>
      <c r="K112" s="15"/>
    </row>
    <row r="113" spans="2:11" ht="15">
      <c r="B113" s="16"/>
      <c r="C113" s="52" t="s">
        <v>240</v>
      </c>
      <c r="D113" s="10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52" t="s">
        <v>241</v>
      </c>
      <c r="D114" s="10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52" t="s">
        <v>242</v>
      </c>
      <c r="D115" s="10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52" t="s">
        <v>243</v>
      </c>
      <c r="D116" s="10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52" t="s">
        <v>244</v>
      </c>
      <c r="D117" s="10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52" t="s">
        <v>245</v>
      </c>
      <c r="D118" s="10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52" t="s">
        <v>246</v>
      </c>
      <c r="D119" s="10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250</v>
      </c>
      <c r="D123" s="107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334</v>
      </c>
      <c r="D125" s="107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 t="str">
        <f>+F97</f>
        <v>Anno 1</v>
      </c>
      <c r="E129" s="13" t="str">
        <f>+G97</f>
        <v>Anno 2</v>
      </c>
      <c r="F129" s="13" t="str">
        <f>+H97</f>
        <v>Anno 3</v>
      </c>
      <c r="G129" s="13" t="str">
        <f>+I97</f>
        <v>Anno 4</v>
      </c>
      <c r="H129" s="13" t="str">
        <f>+J97</f>
        <v>Anno 5</v>
      </c>
      <c r="I129" s="36"/>
    </row>
    <row r="130" spans="2:9" ht="15">
      <c r="B130" s="16"/>
      <c r="C130" s="131" t="s">
        <v>391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  <row r="133" ht="15.75" thickBot="1"/>
    <row r="134" spans="2:9" ht="15">
      <c r="B134" s="8"/>
      <c r="C134" s="9"/>
      <c r="D134" s="9"/>
      <c r="E134" s="9"/>
      <c r="F134" s="9"/>
      <c r="G134" s="9"/>
      <c r="H134" s="9"/>
      <c r="I134" s="10"/>
    </row>
    <row r="135" spans="2:9" ht="15">
      <c r="B135" s="16"/>
      <c r="C135" s="12" t="s">
        <v>392</v>
      </c>
      <c r="D135" s="17"/>
      <c r="E135" s="17"/>
      <c r="F135" s="17"/>
      <c r="G135" s="17"/>
      <c r="H135" s="17"/>
      <c r="I135" s="15"/>
    </row>
    <row r="136" spans="2:9" ht="15">
      <c r="B136" s="16"/>
      <c r="C136" s="17"/>
      <c r="D136" s="17"/>
      <c r="E136" s="17"/>
      <c r="F136" s="17"/>
      <c r="G136" s="17"/>
      <c r="H136" s="17"/>
      <c r="I136" s="15"/>
    </row>
    <row r="137" spans="2:9" ht="15">
      <c r="B137" s="16"/>
      <c r="C137" s="17" t="s">
        <v>395</v>
      </c>
      <c r="D137" s="4">
        <v>108882</v>
      </c>
      <c r="E137" s="17"/>
      <c r="F137" s="17"/>
      <c r="G137" s="17"/>
      <c r="H137" s="17"/>
      <c r="I137" s="15"/>
    </row>
    <row r="138" spans="2:9" ht="15">
      <c r="B138" s="16"/>
      <c r="C138" s="17" t="s">
        <v>396</v>
      </c>
      <c r="D138" s="4">
        <v>30800</v>
      </c>
      <c r="E138" s="17"/>
      <c r="F138" s="17"/>
      <c r="G138" s="17"/>
      <c r="H138" s="17"/>
      <c r="I138" s="15"/>
    </row>
    <row r="139" spans="2:9" ht="15">
      <c r="B139" s="16"/>
      <c r="C139" s="17"/>
      <c r="D139" s="34">
        <f>SUM(D137:D138)</f>
        <v>139682</v>
      </c>
      <c r="E139" s="17"/>
      <c r="F139" s="17"/>
      <c r="G139" s="17"/>
      <c r="H139" s="17"/>
      <c r="I139" s="15"/>
    </row>
    <row r="140" spans="2:9" ht="15">
      <c r="B140" s="16"/>
      <c r="C140" s="17"/>
      <c r="D140" s="17"/>
      <c r="E140" s="17"/>
      <c r="F140" s="17"/>
      <c r="G140" s="17"/>
      <c r="H140" s="17"/>
      <c r="I140" s="15"/>
    </row>
    <row r="141" spans="2:9" ht="15">
      <c r="B141" s="16"/>
      <c r="C141" s="17" t="s">
        <v>90</v>
      </c>
      <c r="D141" s="39">
        <f>+IF(((D137+D138)/2)&gt;D137,D137,((D137+D138)/2))</f>
        <v>69841</v>
      </c>
      <c r="E141" s="134"/>
      <c r="F141" s="17" t="s">
        <v>399</v>
      </c>
      <c r="G141" s="17"/>
      <c r="H141" s="107">
        <v>0.02</v>
      </c>
      <c r="I141" s="15"/>
    </row>
    <row r="142" spans="2:9" ht="15">
      <c r="B142" s="16"/>
      <c r="C142" s="17" t="s">
        <v>397</v>
      </c>
      <c r="D142" s="39">
        <f>+D141</f>
        <v>69841</v>
      </c>
      <c r="E142" s="17"/>
      <c r="F142" s="17"/>
      <c r="G142" s="17"/>
      <c r="H142" s="17"/>
      <c r="I142" s="15"/>
    </row>
    <row r="143" spans="2:9" ht="15">
      <c r="B143" s="16"/>
      <c r="C143" s="12" t="s">
        <v>398</v>
      </c>
      <c r="D143" s="34">
        <f>SUM(D141:D142)</f>
        <v>139682</v>
      </c>
      <c r="E143" s="17"/>
      <c r="F143" s="17"/>
      <c r="G143" s="17"/>
      <c r="H143" s="17"/>
      <c r="I143" s="15"/>
    </row>
    <row r="144" spans="2:9" ht="15">
      <c r="B144" s="16"/>
      <c r="C144" s="12"/>
      <c r="D144" s="34"/>
      <c r="E144" s="17"/>
      <c r="F144" s="17"/>
      <c r="G144" s="17"/>
      <c r="H144" s="17"/>
      <c r="I144" s="15"/>
    </row>
    <row r="145" spans="2:9" ht="15">
      <c r="B145" s="16"/>
      <c r="C145" s="12" t="s">
        <v>402</v>
      </c>
      <c r="D145" s="34" t="s">
        <v>260</v>
      </c>
      <c r="E145" s="34" t="s">
        <v>261</v>
      </c>
      <c r="F145" s="17"/>
      <c r="G145" s="17"/>
      <c r="H145" s="17"/>
      <c r="I145" s="15"/>
    </row>
    <row r="146" spans="2:9" ht="15">
      <c r="B146" s="16"/>
      <c r="C146" s="17" t="s">
        <v>39</v>
      </c>
      <c r="D146" s="39">
        <f>+D137</f>
        <v>108882</v>
      </c>
      <c r="E146" s="17"/>
      <c r="F146" s="17"/>
      <c r="G146" s="17"/>
      <c r="H146" s="17"/>
      <c r="I146" s="15"/>
    </row>
    <row r="147" spans="2:9" ht="15">
      <c r="B147" s="16"/>
      <c r="C147" s="17" t="s">
        <v>403</v>
      </c>
      <c r="D147" s="4">
        <v>15400</v>
      </c>
      <c r="E147" s="4">
        <v>15400</v>
      </c>
      <c r="F147" s="17"/>
      <c r="G147" s="17"/>
      <c r="H147" s="17"/>
      <c r="I147" s="15"/>
    </row>
    <row r="148" spans="2:9" ht="15.75" thickBot="1">
      <c r="B148" s="18"/>
      <c r="C148" s="19"/>
      <c r="D148" s="19"/>
      <c r="E148" s="19"/>
      <c r="F148" s="19"/>
      <c r="G148" s="19"/>
      <c r="H148" s="19"/>
      <c r="I148" s="20"/>
    </row>
  </sheetData>
  <sheetProtection/>
  <dataValidations count="4">
    <dataValidation type="list" allowBlank="1" showInputMessage="1" showErrorMessage="1" sqref="G48:G56 E24:E25 G35:G43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22" sqref="E22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">
        <v>404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+Input!H141</f>
        <v>0.02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">
        <v>404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+Input!D141</f>
        <v>69841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133">
        <f>((1+C5)^(1/C8))-1</f>
        <v>0.020000000000000018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10791.269526196593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10791.269526196593</v>
      </c>
      <c r="H18" s="69">
        <f t="shared" si="4"/>
        <v>10791.269526196593</v>
      </c>
      <c r="I18" s="69">
        <f t="shared" si="4"/>
        <v>10791.269526196593</v>
      </c>
      <c r="J18" s="69">
        <f t="shared" si="4"/>
        <v>10791.269526196593</v>
      </c>
      <c r="K18" s="69">
        <f t="shared" si="4"/>
        <v>10791.269526196593</v>
      </c>
      <c r="L18" s="69">
        <f t="shared" si="4"/>
        <v>10791.269526196593</v>
      </c>
      <c r="M18" s="69">
        <f t="shared" si="4"/>
        <v>10791.269526196593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9394.449526196591</v>
      </c>
      <c r="H19" s="69">
        <f t="shared" si="5"/>
        <v>9582.338516720523</v>
      </c>
      <c r="I19" s="69">
        <f t="shared" si="5"/>
        <v>9773.985287054935</v>
      </c>
      <c r="J19" s="69">
        <f>J18-J21</f>
        <v>9969.464992796033</v>
      </c>
      <c r="K19" s="69">
        <f aca="true" t="shared" si="6" ref="K19:AM19">K18-K21</f>
        <v>10168.854292651953</v>
      </c>
      <c r="L19" s="69">
        <f t="shared" si="6"/>
        <v>10372.231378504994</v>
      </c>
      <c r="M19" s="69">
        <f t="shared" si="6"/>
        <v>10579.676006075093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9394.449526196591</v>
      </c>
      <c r="H20" s="69">
        <f t="shared" si="7"/>
        <v>18976.788042917113</v>
      </c>
      <c r="I20" s="69">
        <f t="shared" si="7"/>
        <v>28750.77332997205</v>
      </c>
      <c r="J20" s="69">
        <f t="shared" si="7"/>
        <v>38720.238322768084</v>
      </c>
      <c r="K20" s="69">
        <f t="shared" si="7"/>
        <v>48889.092615420035</v>
      </c>
      <c r="L20" s="69">
        <f t="shared" si="7"/>
        <v>59261.32399392503</v>
      </c>
      <c r="M20" s="69">
        <f t="shared" si="7"/>
        <v>69841.00000000012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1396.8200000000013</v>
      </c>
      <c r="H21" s="69">
        <f t="shared" si="8"/>
        <v>1208.9310094760692</v>
      </c>
      <c r="I21" s="69">
        <f t="shared" si="8"/>
        <v>1017.2842391416586</v>
      </c>
      <c r="J21" s="69">
        <f t="shared" si="8"/>
        <v>821.8045334005598</v>
      </c>
      <c r="K21" s="69">
        <f t="shared" si="8"/>
        <v>622.4152335446389</v>
      </c>
      <c r="L21" s="69">
        <f t="shared" si="8"/>
        <v>419.03814769159965</v>
      </c>
      <c r="M21" s="69">
        <f t="shared" si="8"/>
        <v>211.59352012149964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>+Input!D141</f>
        <v>69841</v>
      </c>
      <c r="F22" s="69">
        <f t="shared" si="9"/>
        <v>69841</v>
      </c>
      <c r="G22" s="69">
        <f t="shared" si="9"/>
        <v>60446.55047380341</v>
      </c>
      <c r="H22" s="69">
        <f t="shared" si="9"/>
        <v>50864.21195708289</v>
      </c>
      <c r="I22" s="69">
        <f t="shared" si="9"/>
        <v>41090.22667002795</v>
      </c>
      <c r="J22" s="69">
        <f t="shared" si="9"/>
        <v>31120.761677231916</v>
      </c>
      <c r="K22" s="69">
        <f t="shared" si="9"/>
        <v>20951.907384579965</v>
      </c>
      <c r="L22" s="69">
        <f t="shared" si="9"/>
        <v>10579.676006074973</v>
      </c>
      <c r="M22" s="69">
        <f t="shared" si="9"/>
        <v>-1.1641532182693481E-10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69841</v>
      </c>
      <c r="F26" s="69">
        <f>+F22-F28</f>
        <v>69841</v>
      </c>
      <c r="G26" s="69">
        <f t="shared" si="11"/>
        <v>59049.73047380341</v>
      </c>
      <c r="H26" s="69">
        <f t="shared" si="11"/>
        <v>49655.28094760682</v>
      </c>
      <c r="I26" s="69">
        <f t="shared" si="11"/>
        <v>40072.942430886294</v>
      </c>
      <c r="J26" s="69">
        <f>+J22-SUM($I$28:J28)</f>
        <v>29281.672904689698</v>
      </c>
      <c r="K26" s="69">
        <f>+K22-SUM($I$28:K28)</f>
        <v>18490.40337849311</v>
      </c>
      <c r="L26" s="69">
        <f>+L22-SUM($I$28:L28)</f>
        <v>7699.133852296516</v>
      </c>
      <c r="M26" s="69">
        <f>+M22-SUM($I$28:M28)</f>
        <v>-3092.135673900073</v>
      </c>
      <c r="N26" s="69">
        <f>+N22-SUM($I$28:N28)</f>
        <v>-3092.1356738999566</v>
      </c>
      <c r="O26" s="69">
        <f>+O22-SUM($I$28:O28)</f>
        <v>-3092.1356738999566</v>
      </c>
      <c r="P26" s="69">
        <f>+P22-SUM($I$28:P28)</f>
        <v>-3092.1356738999566</v>
      </c>
      <c r="Q26" s="69">
        <f>+Q22-SUM($I$28:Q28)</f>
        <v>-3092.1356738999566</v>
      </c>
      <c r="R26" s="69">
        <f>+R22-SUM($I$28:R28)</f>
        <v>-3092.1356738999566</v>
      </c>
      <c r="S26" s="69">
        <f>+S22-SUM($I$28:S28)</f>
        <v>-3092.1356738999566</v>
      </c>
      <c r="T26" s="69">
        <f>+T22-SUM($I$28:T28)</f>
        <v>-3092.1356738999566</v>
      </c>
      <c r="U26" s="69">
        <f>+U22-SUM($I$28:U28)</f>
        <v>-3092.1356738999566</v>
      </c>
      <c r="V26" s="69">
        <f>+V22-SUM($I$28:V28)</f>
        <v>-3092.1356738999566</v>
      </c>
      <c r="W26" s="69">
        <f>+W22-SUM($I$28:W28)</f>
        <v>-3092.1356738999566</v>
      </c>
      <c r="X26" s="69">
        <f>+X22-SUM($I$28:X28)</f>
        <v>-3092.1356738999566</v>
      </c>
      <c r="Y26" s="69">
        <f>+Y22-SUM($I$28:Y28)</f>
        <v>-3092.1356738999566</v>
      </c>
      <c r="Z26" s="69">
        <f>+Z22-SUM($I$28:Z28)</f>
        <v>-3092.1356738999566</v>
      </c>
      <c r="AA26" s="69">
        <f>+AA22-SUM($I$28:AA28)</f>
        <v>-3092.1356738999566</v>
      </c>
      <c r="AB26" s="69">
        <f>+AB22-SUM($I$28:AB28)</f>
        <v>-3092.1356738999566</v>
      </c>
      <c r="AC26" s="69">
        <f>+AC22-SUM($I$28:AC28)</f>
        <v>-3092.1356738999566</v>
      </c>
      <c r="AD26" s="69">
        <f>+AD22-SUM($I$28:AD28)</f>
        <v>-3092.1356738999566</v>
      </c>
      <c r="AE26" s="69">
        <f>+AE22-SUM($I$28:AE28)</f>
        <v>-3092.1356738999566</v>
      </c>
      <c r="AF26" s="69">
        <f>+AF22-SUM($I$28:AF28)</f>
        <v>-3092.1356738999566</v>
      </c>
      <c r="AG26" s="69">
        <f>+AG22-SUM($I$28:AG28)</f>
        <v>-3092.1356738999566</v>
      </c>
      <c r="AH26" s="69">
        <f>+AH22-SUM($I$28:AH28)</f>
        <v>-3092.1356738999566</v>
      </c>
      <c r="AI26" s="69">
        <f>+AI22-SUM($I$28:AI28)</f>
        <v>-3092.1356738999566</v>
      </c>
      <c r="AJ26" s="69">
        <f>+AJ22-SUM($I$28:AJ28)</f>
        <v>-3092.1356738999566</v>
      </c>
      <c r="AK26" s="69">
        <f>+AK22-SUM($I$28:AK28)</f>
        <v>-3092.1356738999566</v>
      </c>
      <c r="AL26" s="69">
        <f>+AL22-SUM($I$28:AL28)</f>
        <v>-3092.1356738999566</v>
      </c>
      <c r="AM26" s="69">
        <f>+AM22-SUM($I$28:AM28)</f>
        <v>-3092.1356738999566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1396.8200000000013</v>
      </c>
      <c r="H28" s="69">
        <f t="shared" si="12"/>
        <v>1208.9310094760692</v>
      </c>
      <c r="I28" s="69">
        <f t="shared" si="12"/>
        <v>1017.2842391416586</v>
      </c>
      <c r="J28" s="69">
        <f t="shared" si="12"/>
        <v>821.8045334005598</v>
      </c>
      <c r="K28" s="69">
        <f t="shared" si="12"/>
        <v>622.4152335446389</v>
      </c>
      <c r="L28" s="69">
        <f t="shared" si="12"/>
        <v>419.03814769159965</v>
      </c>
      <c r="M28" s="69">
        <f t="shared" si="12"/>
        <v>211.59352012149964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+Input!D141</f>
        <v>69841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3" ref="G34:L34">+IF(G22-G21-F22&lt;0,-(G22-G21-F22),0)</f>
        <v>10791.269526196593</v>
      </c>
      <c r="H34" s="82">
        <f t="shared" si="13"/>
        <v>10791.269526196586</v>
      </c>
      <c r="I34" s="82">
        <f t="shared" si="13"/>
        <v>10791.269526196593</v>
      </c>
      <c r="J34" s="82">
        <f t="shared" si="13"/>
        <v>10791.269526196593</v>
      </c>
      <c r="K34" s="82">
        <f t="shared" si="13"/>
        <v>10791.26952619659</v>
      </c>
      <c r="L34" s="82">
        <f t="shared" si="13"/>
        <v>10791.269526196591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4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5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4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5"/>
        <v>39</v>
      </c>
      <c r="GK69" s="75">
        <f aca="true" t="shared" si="16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4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5"/>
        <v>40</v>
      </c>
      <c r="GK70" s="75">
        <f t="shared" si="16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4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5"/>
        <v>41</v>
      </c>
      <c r="GK71" s="75">
        <f t="shared" si="16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4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5"/>
        <v>42</v>
      </c>
      <c r="GK72" s="75">
        <f t="shared" si="16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4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5"/>
        <v>43</v>
      </c>
      <c r="GK73" s="75">
        <f t="shared" si="16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4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5"/>
        <v>44</v>
      </c>
      <c r="GK74" s="75">
        <f t="shared" si="16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4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5"/>
        <v>45</v>
      </c>
      <c r="GK75" s="75">
        <f t="shared" si="16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4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5"/>
        <v>46</v>
      </c>
      <c r="GK76" s="75">
        <f t="shared" si="16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4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5"/>
        <v>47</v>
      </c>
      <c r="GK77" s="75">
        <f t="shared" si="16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4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5"/>
        <v>48</v>
      </c>
      <c r="GK78" s="75">
        <f t="shared" si="16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4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5"/>
        <v>49</v>
      </c>
      <c r="GK79" s="75">
        <f t="shared" si="16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4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5"/>
        <v>50</v>
      </c>
      <c r="GK80" s="75">
        <f t="shared" si="16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4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5"/>
        <v>51</v>
      </c>
      <c r="GK81" s="75">
        <f t="shared" si="16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4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5"/>
        <v>52</v>
      </c>
      <c r="GK82" s="75">
        <f t="shared" si="16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4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5"/>
        <v>53</v>
      </c>
      <c r="GK83" s="75">
        <f t="shared" si="16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4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5"/>
        <v>54</v>
      </c>
      <c r="GK84" s="75">
        <f t="shared" si="16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4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5"/>
        <v>55</v>
      </c>
      <c r="GK85" s="75">
        <f t="shared" si="16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4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5"/>
        <v>56</v>
      </c>
      <c r="GK86" s="75">
        <f t="shared" si="16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4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5"/>
        <v>57</v>
      </c>
      <c r="GK87" s="75">
        <f t="shared" si="16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4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5"/>
        <v>58</v>
      </c>
      <c r="GK88" s="75">
        <f t="shared" si="16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4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5"/>
        <v>59</v>
      </c>
      <c r="GK89" s="75">
        <f t="shared" si="16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4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5"/>
        <v>60</v>
      </c>
      <c r="GK90" s="75">
        <f t="shared" si="16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4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5"/>
        <v>61</v>
      </c>
      <c r="GK91" s="75">
        <f t="shared" si="16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4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5"/>
        <v>62</v>
      </c>
      <c r="GK92" s="75">
        <f t="shared" si="16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4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5"/>
        <v>63</v>
      </c>
      <c r="GK93" s="75">
        <f t="shared" si="16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4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5"/>
        <v>64</v>
      </c>
      <c r="GK94" s="75">
        <f t="shared" si="16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4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5"/>
        <v>65</v>
      </c>
      <c r="GK95" s="75">
        <f t="shared" si="16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4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5"/>
        <v>66</v>
      </c>
      <c r="GK96" s="75">
        <f t="shared" si="16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4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5"/>
        <v>67</v>
      </c>
      <c r="GK97" s="75">
        <f t="shared" si="16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4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5"/>
        <v>68</v>
      </c>
      <c r="GK98" s="75">
        <f t="shared" si="16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4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5"/>
        <v>69</v>
      </c>
      <c r="GK99" s="75">
        <f t="shared" si="16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4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5"/>
        <v>70</v>
      </c>
      <c r="GK100" s="75">
        <f t="shared" si="16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4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5"/>
        <v>71</v>
      </c>
      <c r="GK101" s="75">
        <f t="shared" si="16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4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5"/>
        <v>72</v>
      </c>
      <c r="GK102" s="75">
        <f t="shared" si="16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4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5"/>
        <v>73</v>
      </c>
      <c r="GK103" s="75">
        <f t="shared" si="16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4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5"/>
        <v>74</v>
      </c>
      <c r="GK104" s="75">
        <f t="shared" si="16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4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5"/>
        <v>75</v>
      </c>
      <c r="GK105" s="75">
        <f t="shared" si="16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4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5"/>
        <v>76</v>
      </c>
      <c r="GK106" s="75">
        <f t="shared" si="16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4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5"/>
        <v>77</v>
      </c>
      <c r="GK107" s="75">
        <f t="shared" si="16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4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5"/>
        <v>78</v>
      </c>
      <c r="GK108" s="75">
        <f t="shared" si="16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4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5"/>
        <v>79</v>
      </c>
      <c r="GK109" s="75">
        <f t="shared" si="16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4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5"/>
        <v>80</v>
      </c>
      <c r="GK110" s="75">
        <f t="shared" si="16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4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5"/>
        <v>81</v>
      </c>
      <c r="GK111" s="75">
        <f t="shared" si="16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4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5"/>
        <v>82</v>
      </c>
      <c r="GK112" s="75">
        <f t="shared" si="16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4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5"/>
        <v>83</v>
      </c>
      <c r="GK113" s="75">
        <f t="shared" si="16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4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5"/>
        <v>84</v>
      </c>
      <c r="GK114" s="75">
        <f t="shared" si="16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4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5"/>
        <v>85</v>
      </c>
      <c r="GK115" s="75">
        <f t="shared" si="16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4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5"/>
        <v>86</v>
      </c>
      <c r="GK116" s="75">
        <f t="shared" si="16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4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5"/>
        <v>87</v>
      </c>
      <c r="GK117" s="75">
        <f t="shared" si="16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4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5"/>
        <v>88</v>
      </c>
      <c r="GK118" s="75">
        <f t="shared" si="16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4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5"/>
        <v>89</v>
      </c>
      <c r="GK119" s="75">
        <f t="shared" si="16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4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5"/>
        <v>90</v>
      </c>
      <c r="GK120" s="75">
        <f t="shared" si="16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4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5"/>
        <v>91</v>
      </c>
      <c r="GK121" s="75">
        <f t="shared" si="16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5"/>
        <v>92</v>
      </c>
      <c r="GK122" s="75">
        <f t="shared" si="16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5"/>
        <v>93</v>
      </c>
      <c r="GK123" s="75">
        <f t="shared" si="16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5"/>
        <v>94</v>
      </c>
      <c r="GK124" s="75">
        <f t="shared" si="16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5"/>
        <v>95</v>
      </c>
      <c r="GK125" s="75">
        <f t="shared" si="16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5"/>
        <v>96</v>
      </c>
      <c r="GK126" s="75">
        <f t="shared" si="16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5"/>
        <v>97</v>
      </c>
      <c r="GK127" s="75">
        <f t="shared" si="16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5"/>
        <v>98</v>
      </c>
      <c r="GK128" s="75">
        <f t="shared" si="16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5"/>
        <v>99</v>
      </c>
      <c r="GK129" s="75">
        <f t="shared" si="16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5"/>
        <v>100</v>
      </c>
      <c r="GK130" s="75">
        <f t="shared" si="16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5"/>
        <v>101</v>
      </c>
      <c r="GK131" s="75">
        <f t="shared" si="16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7" ref="GJ132:GJ173">+GJ131+1</f>
        <v>102</v>
      </c>
      <c r="GK132" s="75">
        <f t="shared" si="16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7"/>
        <v>103</v>
      </c>
      <c r="GK133" s="75">
        <f aca="true" t="shared" si="18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7"/>
        <v>104</v>
      </c>
      <c r="GK134" s="75">
        <f t="shared" si="18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7"/>
        <v>105</v>
      </c>
      <c r="GK135" s="75">
        <f t="shared" si="18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7"/>
        <v>106</v>
      </c>
      <c r="GK136" s="75">
        <f t="shared" si="18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7"/>
        <v>107</v>
      </c>
      <c r="GK137" s="75">
        <f t="shared" si="18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7"/>
        <v>108</v>
      </c>
      <c r="GK138" s="75">
        <f t="shared" si="18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7"/>
        <v>109</v>
      </c>
      <c r="GK139" s="75">
        <f t="shared" si="18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7"/>
        <v>110</v>
      </c>
      <c r="GK140" s="75">
        <f t="shared" si="18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7"/>
        <v>111</v>
      </c>
      <c r="GK141" s="75">
        <f t="shared" si="18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7"/>
        <v>112</v>
      </c>
      <c r="GK142" s="75">
        <f t="shared" si="18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7"/>
        <v>113</v>
      </c>
      <c r="GK143" s="75">
        <f t="shared" si="18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7"/>
        <v>114</v>
      </c>
      <c r="GK144" s="75">
        <f t="shared" si="18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7"/>
        <v>115</v>
      </c>
      <c r="GK145" s="75">
        <f t="shared" si="18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7"/>
        <v>116</v>
      </c>
      <c r="GK146" s="75">
        <f t="shared" si="18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7"/>
        <v>117</v>
      </c>
      <c r="GK147" s="75">
        <f t="shared" si="18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7"/>
        <v>118</v>
      </c>
      <c r="GK148" s="75">
        <f t="shared" si="18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7"/>
        <v>119</v>
      </c>
      <c r="GK149" s="75">
        <f t="shared" si="18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7"/>
        <v>120</v>
      </c>
      <c r="GK150" s="75">
        <f t="shared" si="18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7"/>
        <v>121</v>
      </c>
      <c r="GK151" s="75">
        <f t="shared" si="18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7"/>
        <v>122</v>
      </c>
      <c r="GK152" s="75">
        <f t="shared" si="18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7"/>
        <v>123</v>
      </c>
      <c r="GK153" s="75">
        <f t="shared" si="18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7"/>
        <v>124</v>
      </c>
      <c r="GK154" s="75">
        <f t="shared" si="18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7"/>
        <v>125</v>
      </c>
      <c r="GK155" s="75">
        <f t="shared" si="18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7"/>
        <v>126</v>
      </c>
      <c r="GK156" s="75">
        <f t="shared" si="18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7"/>
        <v>127</v>
      </c>
      <c r="GK157" s="75">
        <f t="shared" si="18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7"/>
        <v>128</v>
      </c>
      <c r="GK158" s="75">
        <f t="shared" si="18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7"/>
        <v>129</v>
      </c>
      <c r="GK159" s="75">
        <f t="shared" si="18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7"/>
        <v>130</v>
      </c>
      <c r="GK160" s="75">
        <f t="shared" si="18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7"/>
        <v>131</v>
      </c>
      <c r="GK161" s="75">
        <f t="shared" si="18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7"/>
        <v>132</v>
      </c>
      <c r="GK162" s="75">
        <f t="shared" si="18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7"/>
        <v>133</v>
      </c>
      <c r="GK163" s="75">
        <f t="shared" si="18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7"/>
        <v>134</v>
      </c>
      <c r="GK164" s="75">
        <f t="shared" si="18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7"/>
        <v>135</v>
      </c>
      <c r="GK165" s="75">
        <f t="shared" si="18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7"/>
        <v>136</v>
      </c>
      <c r="GK166" s="75">
        <f t="shared" si="18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7"/>
        <v>137</v>
      </c>
      <c r="GK167" s="75">
        <f t="shared" si="18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7"/>
        <v>138</v>
      </c>
      <c r="GK168" s="75">
        <f t="shared" si="18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7"/>
        <v>139</v>
      </c>
      <c r="GK169" s="75">
        <f t="shared" si="18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7"/>
        <v>140</v>
      </c>
      <c r="GK170" s="75">
        <f t="shared" si="18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7"/>
        <v>141</v>
      </c>
      <c r="GK171" s="75">
        <f t="shared" si="18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7"/>
        <v>142</v>
      </c>
      <c r="GK172" s="75">
        <f t="shared" si="18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7"/>
        <v>143</v>
      </c>
      <c r="GK173" s="75">
        <f t="shared" si="18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tr">
        <f>+Input!E89</f>
        <v>A3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+Input!E90</f>
        <v>0.01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tr">
        <f>+C4</f>
        <v>A3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+Input!E92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f>+Input!E93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68">
        <f>((1+C5)^(1/C8))-1</f>
        <v>0.010000000000000009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0</v>
      </c>
      <c r="H19" s="69">
        <f t="shared" si="5"/>
        <v>0</v>
      </c>
      <c r="I19" s="69">
        <f t="shared" si="5"/>
        <v>0</v>
      </c>
      <c r="J19" s="69">
        <f>J18-J21</f>
        <v>0</v>
      </c>
      <c r="K19" s="69">
        <f aca="true" t="shared" si="6" ref="K19:AM19">K18-K21</f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0</v>
      </c>
      <c r="H21" s="69">
        <f t="shared" si="8"/>
        <v>0</v>
      </c>
      <c r="I21" s="69">
        <f t="shared" si="8"/>
        <v>0</v>
      </c>
      <c r="J21" s="69">
        <f t="shared" si="8"/>
        <v>0</v>
      </c>
      <c r="K21" s="69">
        <f t="shared" si="8"/>
        <v>0</v>
      </c>
      <c r="L21" s="69">
        <f t="shared" si="8"/>
        <v>0</v>
      </c>
      <c r="M21" s="69">
        <f t="shared" si="8"/>
        <v>0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 t="shared" si="9"/>
        <v>0</v>
      </c>
      <c r="F22" s="69">
        <f t="shared" si="9"/>
        <v>0</v>
      </c>
      <c r="G22" s="69">
        <f t="shared" si="9"/>
        <v>0</v>
      </c>
      <c r="H22" s="69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0</v>
      </c>
      <c r="F26" s="69">
        <f>+F22-F28</f>
        <v>0</v>
      </c>
      <c r="G26" s="69">
        <f t="shared" si="11"/>
        <v>0</v>
      </c>
      <c r="H26" s="69">
        <f t="shared" si="11"/>
        <v>0</v>
      </c>
      <c r="I26" s="69">
        <f t="shared" si="11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69">
        <f t="shared" si="12"/>
        <v>0</v>
      </c>
      <c r="L28" s="69">
        <f t="shared" si="12"/>
        <v>0</v>
      </c>
      <c r="M28" s="69">
        <f t="shared" si="12"/>
        <v>0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+IF(E22-E21&gt;0,E22-E21,0)</f>
        <v>0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4" ref="G34:L34">+IF(G22-G21-F22&lt;0,-(G22-G21-F22),0)</f>
        <v>0</v>
      </c>
      <c r="H34" s="82">
        <f t="shared" si="14"/>
        <v>0</v>
      </c>
      <c r="I34" s="82">
        <f t="shared" si="14"/>
        <v>0</v>
      </c>
      <c r="J34" s="82">
        <f t="shared" si="14"/>
        <v>0</v>
      </c>
      <c r="K34" s="82">
        <f t="shared" si="14"/>
        <v>0</v>
      </c>
      <c r="L34" s="82">
        <f t="shared" si="14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57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630</v>
      </c>
      <c r="E4" s="33">
        <f>+Input!G99*Input!$D99</f>
        <v>630</v>
      </c>
      <c r="F4" s="33">
        <f>+Input!H99*Input!$D99</f>
        <v>630</v>
      </c>
      <c r="G4" s="33">
        <f>+Input!I99*Input!$D99</f>
        <v>630</v>
      </c>
      <c r="H4" s="33">
        <f>+Input!J99*Input!$D99</f>
        <v>630</v>
      </c>
      <c r="I4" s="15"/>
    </row>
    <row r="5" spans="2:9" ht="15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0</v>
      </c>
      <c r="E6" s="33">
        <f>+Input!G101*Input!$D101</f>
        <v>0</v>
      </c>
      <c r="F6" s="33">
        <f>+Input!H101*Input!$D101</f>
        <v>0</v>
      </c>
      <c r="G6" s="33">
        <f>+Input!I101*Input!$D101</f>
        <v>0</v>
      </c>
      <c r="H6" s="33">
        <f>+Input!J101*Input!$D101</f>
        <v>0</v>
      </c>
      <c r="I6" s="15"/>
    </row>
    <row r="7" spans="2:9" ht="15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126</v>
      </c>
      <c r="E10" s="33">
        <f>+Input!G105*Input!$D105</f>
        <v>126</v>
      </c>
      <c r="F10" s="33">
        <f>+Input!H105*Input!$D105</f>
        <v>126</v>
      </c>
      <c r="G10" s="33">
        <f>+Input!I105*Input!$D105</f>
        <v>126</v>
      </c>
      <c r="H10" s="33">
        <f>+Input!J105*Input!$D105</f>
        <v>126</v>
      </c>
      <c r="I10" s="15"/>
    </row>
    <row r="11" spans="2:9" ht="15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210</v>
      </c>
      <c r="E14" s="33">
        <f>+Input!G109*Input!$D109</f>
        <v>210</v>
      </c>
      <c r="F14" s="33">
        <f>+Input!H109*Input!$D109</f>
        <v>210</v>
      </c>
      <c r="G14" s="33">
        <f>+Input!I109*Input!$D109</f>
        <v>210</v>
      </c>
      <c r="H14" s="33">
        <f>+Input!J109*Input!$D109</f>
        <v>210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Costo annuale fidejussione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Royalties Franchising</v>
      </c>
      <c r="D17" s="33">
        <f>+Input!F112*Input!$D112</f>
        <v>630</v>
      </c>
      <c r="E17" s="33">
        <f>+Input!G112*Input!$D112</f>
        <v>630</v>
      </c>
      <c r="F17" s="33">
        <f>+Input!H112*Input!$D112</f>
        <v>630</v>
      </c>
      <c r="G17" s="33">
        <f>+Input!I112*Input!$D112</f>
        <v>630</v>
      </c>
      <c r="H17" s="33">
        <f>+Input!J112*Input!$D112</f>
        <v>630</v>
      </c>
      <c r="I17" s="15"/>
    </row>
    <row r="18" spans="2:9" ht="15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248</v>
      </c>
      <c r="D25" s="34">
        <f>SUM(D4:D24)</f>
        <v>1596</v>
      </c>
      <c r="E25" s="34">
        <f>SUM(E4:E24)</f>
        <v>1596</v>
      </c>
      <c r="F25" s="34">
        <f>SUM(F4:F24)</f>
        <v>1596</v>
      </c>
      <c r="G25" s="34">
        <f>SUM(G4:G24)</f>
        <v>1596</v>
      </c>
      <c r="H25" s="34">
        <f>SUM(H4:H24)</f>
        <v>1596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3630</v>
      </c>
      <c r="E30" s="45">
        <f>+Input!G99+'Altri costi'!E4</f>
        <v>3630</v>
      </c>
      <c r="F30" s="45">
        <f>+Input!H99+'Altri costi'!F4</f>
        <v>3630</v>
      </c>
      <c r="G30" s="45">
        <f>+Input!I99+'Altri costi'!G4</f>
        <v>3630</v>
      </c>
      <c r="H30" s="45">
        <f>+Input!J99+'Altri costi'!H4</f>
        <v>3630</v>
      </c>
      <c r="I30" s="15"/>
    </row>
    <row r="31" spans="2:9" ht="15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0</v>
      </c>
      <c r="E32" s="45">
        <f>+Input!G101+'Altri costi'!E6</f>
        <v>0</v>
      </c>
      <c r="F32" s="45">
        <f>+Input!H101+'Altri costi'!F6</f>
        <v>0</v>
      </c>
      <c r="G32" s="45">
        <f>+Input!I101+'Altri costi'!G6</f>
        <v>0</v>
      </c>
      <c r="H32" s="45">
        <f>+Input!J101+'Altri costi'!H6</f>
        <v>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726</v>
      </c>
      <c r="E36" s="45">
        <f>+Input!G105+'Altri costi'!E10</f>
        <v>726</v>
      </c>
      <c r="F36" s="45">
        <f>+Input!H105+'Altri costi'!F10</f>
        <v>726</v>
      </c>
      <c r="G36" s="45">
        <f>+Input!I105+'Altri costi'!G10</f>
        <v>726</v>
      </c>
      <c r="H36" s="45">
        <f>+Input!J105+'Altri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18000</v>
      </c>
      <c r="E38" s="45">
        <f>+Input!G107+'Altri costi'!E12</f>
        <v>18000</v>
      </c>
      <c r="F38" s="45">
        <f>+Input!H107+'Altri costi'!F12</f>
        <v>18000</v>
      </c>
      <c r="G38" s="45">
        <f>+Input!I107+'Altri costi'!G12</f>
        <v>18000</v>
      </c>
      <c r="H38" s="45">
        <f>+Input!J107+'Altri costi'!H12</f>
        <v>18000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1210</v>
      </c>
      <c r="E40" s="45">
        <f>+Input!G109+'Altri costi'!E14</f>
        <v>1210</v>
      </c>
      <c r="F40" s="45">
        <f>+Input!H109+'Altri costi'!F14</f>
        <v>1210</v>
      </c>
      <c r="G40" s="45">
        <f>+Input!I109+'Altri costi'!G14</f>
        <v>1210</v>
      </c>
      <c r="H40" s="45">
        <f>+Input!J109+'Altri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500</v>
      </c>
      <c r="E41" s="45">
        <f>+Input!G110+'Altri costi'!E15</f>
        <v>500</v>
      </c>
      <c r="F41" s="45">
        <f>+Input!H110+'Altri costi'!F15</f>
        <v>500</v>
      </c>
      <c r="G41" s="45">
        <f>+Input!I110+'Altri costi'!G15</f>
        <v>500</v>
      </c>
      <c r="H41" s="45">
        <f>+Input!J110+'Altri costi'!H15</f>
        <v>500</v>
      </c>
      <c r="I41" s="15"/>
    </row>
    <row r="42" spans="2:9" ht="15">
      <c r="B42" s="16"/>
      <c r="C42" s="17" t="str">
        <f t="shared" si="0"/>
        <v>Costo annuale fidejussione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Royalties Franchising</v>
      </c>
      <c r="D43" s="45">
        <f>+Input!F112+'Altri costi'!D17</f>
        <v>3630</v>
      </c>
      <c r="E43" s="45">
        <f>+Input!G112+'Altri costi'!E17</f>
        <v>3630</v>
      </c>
      <c r="F43" s="45">
        <f>+Input!H112+'Altri costi'!F17</f>
        <v>3630</v>
      </c>
      <c r="G43" s="45">
        <f>+Input!I112+'Altri costi'!G17</f>
        <v>3630</v>
      </c>
      <c r="H43" s="45">
        <f>+Input!J112+'Altri costi'!H17</f>
        <v>3630</v>
      </c>
      <c r="I43" s="15"/>
    </row>
    <row r="44" spans="2:9" ht="15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27696</v>
      </c>
      <c r="E51" s="50">
        <f>SUM(E30:E50)</f>
        <v>27696</v>
      </c>
      <c r="F51" s="50">
        <f>SUM(F30:F50)</f>
        <v>27696</v>
      </c>
      <c r="G51" s="50">
        <f>SUM(G30:G50)</f>
        <v>27696</v>
      </c>
      <c r="H51" s="50">
        <f>SUM(H30:H50)</f>
        <v>27696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269</v>
      </c>
      <c r="C2" t="str">
        <f>+Input!D15</f>
        <v>mensile</v>
      </c>
    </row>
    <row r="4" spans="2:7" ht="15">
      <c r="B4" s="86" t="s">
        <v>252</v>
      </c>
      <c r="C4" s="7" t="s">
        <v>260</v>
      </c>
      <c r="D4" s="7" t="s">
        <v>261</v>
      </c>
      <c r="E4" s="7" t="s">
        <v>262</v>
      </c>
      <c r="F4" s="7" t="s">
        <v>263</v>
      </c>
      <c r="G4" s="7" t="s">
        <v>264</v>
      </c>
    </row>
    <row r="5" spans="2:8" ht="15">
      <c r="B5" s="17" t="s">
        <v>18</v>
      </c>
      <c r="C5" s="26">
        <f>+MCL!M41+MCL!D84</f>
        <v>21000</v>
      </c>
      <c r="D5" s="26">
        <f>+MCL!N41+MCL!E84</f>
        <v>29400</v>
      </c>
      <c r="E5" s="26">
        <f>+MCL!O41+MCL!F84</f>
        <v>40635</v>
      </c>
      <c r="F5" s="26">
        <f>+MCL!P41+MCL!G84</f>
        <v>42525</v>
      </c>
      <c r="G5" s="26">
        <f>+MCL!Q41+MCL!H84</f>
        <v>42525</v>
      </c>
      <c r="H5" s="85"/>
    </row>
    <row r="6" spans="2:8" ht="15">
      <c r="B6" s="17" t="s">
        <v>23</v>
      </c>
      <c r="C6" s="26">
        <f>+MCL!M55+Inve!M7+'Altri costi'!D25+MCL!D79</f>
        <v>33053.72</v>
      </c>
      <c r="D6" s="26">
        <f>+MCL!N55+Inve!N7+'Altri costi'!E25+MCL!E79</f>
        <v>12761</v>
      </c>
      <c r="E6" s="26">
        <f>+MCL!O55+Inve!O7+'Altri costi'!F25+MCL!F79</f>
        <v>16775.9375</v>
      </c>
      <c r="F6" s="26">
        <f>+MCL!P55+Inve!P7+'Altri costi'!G25+MCL!G79</f>
        <v>17164.875</v>
      </c>
      <c r="G6" s="26">
        <f>+MCL!Q55+Inve!Q7+'Altri costi'!H25+MCL!H79</f>
        <v>17109.75</v>
      </c>
      <c r="H6" s="85"/>
    </row>
    <row r="7" spans="2:8" ht="15">
      <c r="B7" s="87"/>
      <c r="C7" s="35">
        <f>+C6-C5</f>
        <v>12053.720000000001</v>
      </c>
      <c r="D7" s="35">
        <f>+D6-D5</f>
        <v>-16639</v>
      </c>
      <c r="E7" s="35">
        <f>+E6-E5</f>
        <v>-23859.0625</v>
      </c>
      <c r="F7" s="35">
        <f>+F6-F5</f>
        <v>-25360.125</v>
      </c>
      <c r="G7" s="35">
        <f>+G6-G5</f>
        <v>-25415.25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253</v>
      </c>
      <c r="C9" s="87"/>
      <c r="D9" s="87"/>
      <c r="E9" s="87"/>
      <c r="F9" s="87"/>
      <c r="G9" s="87"/>
      <c r="H9" s="87"/>
    </row>
    <row r="10" spans="2:8" ht="15">
      <c r="B10" s="86" t="s">
        <v>254</v>
      </c>
      <c r="C10" s="26">
        <f>+C7</f>
        <v>12053.720000000001</v>
      </c>
      <c r="D10" s="26">
        <f>+D7</f>
        <v>-16639</v>
      </c>
      <c r="E10" s="26">
        <f>+E7</f>
        <v>-23859.0625</v>
      </c>
      <c r="F10" s="26">
        <f>+F7</f>
        <v>-25360.125</v>
      </c>
      <c r="G10" s="26">
        <f>+G7</f>
        <v>-25415.25</v>
      </c>
      <c r="H10" s="87"/>
    </row>
    <row r="11" spans="2:8" ht="15">
      <c r="B11" s="86" t="s">
        <v>255</v>
      </c>
      <c r="C11" s="26">
        <v>0</v>
      </c>
      <c r="D11" s="26">
        <f>+IF(D10&gt;0,0,IF(C13&gt;-D10,-D10,C13))</f>
        <v>12053.720000000001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256</v>
      </c>
      <c r="C12" s="26">
        <f>+IF((C10+C11)&gt;0,0,(C10+C11))</f>
        <v>0</v>
      </c>
      <c r="D12" s="26">
        <f>+IF((D10+D11)&gt;0,0,(D10+D11))</f>
        <v>-4585.279999999999</v>
      </c>
      <c r="E12" s="26">
        <f>+IF((E10+E11)&gt;0,0,(E10+E11))</f>
        <v>-23859.0625</v>
      </c>
      <c r="F12" s="26">
        <f>+IF((F10+F11)&gt;0,0,(F10+F11))</f>
        <v>-25360.125</v>
      </c>
      <c r="G12" s="26">
        <f>+IF((G10+G11)&gt;0,0,(G10+G11))</f>
        <v>-25415.25</v>
      </c>
      <c r="H12" s="87"/>
    </row>
    <row r="13" spans="2:8" ht="15">
      <c r="B13" s="86" t="s">
        <v>257</v>
      </c>
      <c r="C13" s="26">
        <f>+IF(C6&gt;C5,C6-C5,0)</f>
        <v>12053.720000000001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258</v>
      </c>
      <c r="C14" s="26">
        <f>+C12*(11/12)</f>
        <v>0</v>
      </c>
      <c r="D14" s="26">
        <f>+(D12*(11/12))+(C12-C14)</f>
        <v>-4203.173333333332</v>
      </c>
      <c r="E14" s="26">
        <f>+(E12*(11/12))+(D12-D14)+(C12-C14)</f>
        <v>-22252.91395833333</v>
      </c>
      <c r="F14" s="26">
        <f>+(F12*(11/12))+(E12-E14)+(D12-D14)+(C12-C14)</f>
        <v>-25235.036458333336</v>
      </c>
      <c r="G14" s="26">
        <f>+(G12*(11/12))+(F12-F14)+(E12-E14)+(D12-D14)+(C12-C14)</f>
        <v>-25410.65625</v>
      </c>
      <c r="H14" s="87"/>
    </row>
    <row r="15" spans="2:8" ht="15">
      <c r="B15" s="87"/>
      <c r="C15" s="89">
        <f>+C12-C14</f>
        <v>0</v>
      </c>
      <c r="D15" s="89">
        <f>+D12-D14</f>
        <v>-382.10666666666657</v>
      </c>
      <c r="E15" s="89">
        <f>+E12-E14</f>
        <v>-1606.1485416666692</v>
      </c>
      <c r="F15" s="89">
        <f>+F12-F14</f>
        <v>-125.08854166666424</v>
      </c>
      <c r="G15" s="89">
        <f>+G12-G14</f>
        <v>-4.59375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259</v>
      </c>
      <c r="C17" s="87"/>
      <c r="D17" s="87"/>
      <c r="E17" s="87"/>
      <c r="F17" s="87"/>
      <c r="G17" s="87"/>
      <c r="H17" s="87"/>
    </row>
    <row r="18" spans="2:8" ht="15">
      <c r="B18" s="86" t="s">
        <v>265</v>
      </c>
      <c r="C18" s="26">
        <f>+C7</f>
        <v>12053.720000000001</v>
      </c>
      <c r="D18" s="26">
        <f>+D7</f>
        <v>-16639</v>
      </c>
      <c r="E18" s="26">
        <f>+E7</f>
        <v>-23859.0625</v>
      </c>
      <c r="F18" s="26">
        <f>+F7</f>
        <v>-25360.125</v>
      </c>
      <c r="G18" s="26">
        <f>+G7</f>
        <v>-25415.25</v>
      </c>
      <c r="H18" s="87"/>
    </row>
    <row r="19" spans="2:8" ht="15">
      <c r="B19" s="86" t="s">
        <v>255</v>
      </c>
      <c r="C19" s="26">
        <v>0</v>
      </c>
      <c r="D19" s="26">
        <f>+IF(D18&gt;0,0,IF(C21&gt;-D18,-D18,C21))</f>
        <v>12053.720000000001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256</v>
      </c>
      <c r="C20" s="26">
        <f>+IF((C18+C19)&gt;0,0,(C18+C19))</f>
        <v>0</v>
      </c>
      <c r="D20" s="26">
        <f>+IF((D18+D19)&gt;0,0,(D18+D19))</f>
        <v>-4585.279999999999</v>
      </c>
      <c r="E20" s="26">
        <f>+IF((E18+E19)&gt;0,0,(E18+E19))</f>
        <v>-23859.0625</v>
      </c>
      <c r="F20" s="26">
        <f>+IF((F18+F19)&gt;0,0,(F18+F19))</f>
        <v>-25360.125</v>
      </c>
      <c r="G20" s="26">
        <f>+IF((G18+G19)&gt;0,0,(G18+G19))</f>
        <v>-25415.25</v>
      </c>
      <c r="H20" s="87"/>
    </row>
    <row r="21" spans="2:8" ht="15">
      <c r="B21" s="86" t="s">
        <v>257</v>
      </c>
      <c r="C21" s="26">
        <f>+IF(C6&gt;C5,C6-C5,0)</f>
        <v>12053.720000000001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258</v>
      </c>
      <c r="C22" s="26">
        <f>+C20*(9/12)</f>
        <v>0</v>
      </c>
      <c r="D22" s="26">
        <f>+(D20*(9/12))+(C20-C22)</f>
        <v>-3438.959999999999</v>
      </c>
      <c r="E22" s="26">
        <f>+(E20*(9/12)*(9/12))+(D20-D22)+(C20-C22)</f>
        <v>-14567.04265625</v>
      </c>
      <c r="F22" s="26">
        <f>+(F20*(9/12))+(E20-E22)+(D20-D22)+(C20-C22)</f>
        <v>-29458.43359375</v>
      </c>
      <c r="G22" s="26">
        <f>+(G20*(9/12))+(F20-F22)+(E20-E22)+(D20-D22)+(C20-C22)</f>
        <v>-25401.46875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23</v>
      </c>
      <c r="C25" s="26">
        <f>+IF($C$2="mensile",C13,C21)</f>
        <v>12053.720000000001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18</v>
      </c>
      <c r="C26" s="26">
        <f>+IF($C$2="mensile",-(C12-C14),-(C20-C22))</f>
        <v>0</v>
      </c>
      <c r="D26" s="26">
        <f>+IF($C$2="mensile",-(D12-D14),-(D20-D22))+C26</f>
        <v>382.10666666666657</v>
      </c>
      <c r="E26" s="26">
        <f>+IF($C$2="mensile",-(E12-E14),-(E20-E22))+D26</f>
        <v>1988.2552083333358</v>
      </c>
      <c r="F26" s="26">
        <f>+IF($C$2="mensile",-(F12-F14),-(F20-F22))+E26</f>
        <v>2113.34375</v>
      </c>
      <c r="G26" s="26">
        <f>+IF($C$2="mensile",-(G12-G14),-(G20-G22))+F26</f>
        <v>2117.9375</v>
      </c>
      <c r="H26" s="87"/>
    </row>
    <row r="27" spans="2:8" ht="15">
      <c r="B27" s="86" t="s">
        <v>258</v>
      </c>
      <c r="C27" s="26">
        <f>IF($C$2="mensile",-C14,-C22)</f>
        <v>0</v>
      </c>
      <c r="D27" s="26">
        <f>IF($C$2="mensile",-D14,-D22)</f>
        <v>4203.173333333332</v>
      </c>
      <c r="E27" s="26">
        <f>IF($C$2="mensile",-E14,-E22)</f>
        <v>22252.91395833333</v>
      </c>
      <c r="F27" s="26">
        <f>IF($C$2="mensile",-F14,-F22)</f>
        <v>25235.036458333336</v>
      </c>
      <c r="G27" s="26">
        <f>IF($C$2="mensile",-G14,-G22)</f>
        <v>25410.65625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270</v>
      </c>
    </row>
    <row r="32" ht="15">
      <c r="B3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291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285</v>
      </c>
      <c r="E6" s="34">
        <f>+'CE'!D51</f>
        <v>-59885.08085317461</v>
      </c>
      <c r="F6" s="34">
        <f>+'CE'!E51</f>
        <v>-36505.71062118056</v>
      </c>
      <c r="G6" s="34">
        <f>+'CE'!F51</f>
        <v>-2326.3535034457545</v>
      </c>
      <c r="H6" s="34">
        <f>+'CE'!G51</f>
        <v>4642.352913988952</v>
      </c>
      <c r="I6" s="34">
        <f>+'CE'!H51</f>
        <v>5467.030046572622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287</v>
      </c>
      <c r="E9" s="33">
        <f>+'CE'!D43</f>
        <v>71000</v>
      </c>
      <c r="F9" s="33">
        <f>+'CE'!E43</f>
        <v>74550</v>
      </c>
      <c r="G9" s="33">
        <f>+'CE'!F43</f>
        <v>74550</v>
      </c>
      <c r="H9" s="33">
        <f>+'CE'!G43</f>
        <v>74550</v>
      </c>
      <c r="I9" s="33">
        <f>+'CE'!H43</f>
        <v>74550</v>
      </c>
      <c r="J9" s="15"/>
    </row>
    <row r="10" spans="2:10" ht="15">
      <c r="B10" s="16"/>
      <c r="C10" s="17"/>
      <c r="D10" s="17" t="s">
        <v>224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288</v>
      </c>
      <c r="E11" s="34">
        <f>SUM(E9:E10)</f>
        <v>71000</v>
      </c>
      <c r="F11" s="34">
        <f>SUM(F9:F10)</f>
        <v>74550</v>
      </c>
      <c r="G11" s="34">
        <f>SUM(G9:G10)</f>
        <v>74550</v>
      </c>
      <c r="H11" s="34">
        <f>SUM(H9:H10)</f>
        <v>74550</v>
      </c>
      <c r="I11" s="34">
        <f>SUM(I9:I10)</f>
        <v>74550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289</v>
      </c>
      <c r="E14" s="45">
        <f>+E6+E11</f>
        <v>11114.919146825392</v>
      </c>
      <c r="F14" s="45">
        <f>+F6+F11</f>
        <v>38044.28937881944</v>
      </c>
      <c r="G14" s="45">
        <f>+G6+G11</f>
        <v>72223.64649655424</v>
      </c>
      <c r="H14" s="45">
        <f>+H6+H11</f>
        <v>79192.35291398896</v>
      </c>
      <c r="I14" s="45">
        <f>+I6+I11</f>
        <v>80017.03004657262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292</v>
      </c>
      <c r="E16" s="45">
        <f>+E14*$D$3</f>
        <v>433.48184672619027</v>
      </c>
      <c r="F16" s="45">
        <f>+F14*$D$3</f>
        <v>1483.7272857739583</v>
      </c>
      <c r="G16" s="45">
        <f>+G14*$D$3</f>
        <v>2816.7222133656155</v>
      </c>
      <c r="H16" s="45">
        <f>+H14*$D$3</f>
        <v>3088.5017636455696</v>
      </c>
      <c r="I16" s="45">
        <f>+I14*$D$3</f>
        <v>3120.664171816332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293</v>
      </c>
      <c r="E18" s="17">
        <v>0</v>
      </c>
      <c r="F18" s="45">
        <f>+E16*2</f>
        <v>866.9636934523805</v>
      </c>
      <c r="G18" s="45">
        <f>+F16</f>
        <v>1483.7272857739583</v>
      </c>
      <c r="H18" s="45">
        <f>+G16</f>
        <v>2816.7222133656155</v>
      </c>
      <c r="I18" s="45">
        <f>+H16</f>
        <v>3088.5017636455696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294</v>
      </c>
      <c r="E20" s="45">
        <f>+IF($E$16-$E$18&gt;0,$E$16-$E$18,0)</f>
        <v>433.48184672619027</v>
      </c>
      <c r="F20" s="45">
        <f>+IF(SUM(E$16:F16)-SUM($E$18:$F$18)&gt;0,SUM($E$16:$F$16)-SUM($E$18:$F$18),0)</f>
        <v>1050.245439047768</v>
      </c>
      <c r="G20" s="45">
        <f>+IF(SUM($E$16:$G$16)-SUM($E$18:$G$18)&gt;0,SUM($E$16:$G$16)-SUM($E$18:$G$18),0)</f>
        <v>2383.2403666394257</v>
      </c>
      <c r="H20" s="45">
        <f>+IF(SUM($E$16:$H$16)-SUM($E$18:$H$18)&gt;0,SUM($E$16:$H$16)-SUM($E$18:$H$18),0)</f>
        <v>2655.01991691938</v>
      </c>
      <c r="I20" s="45">
        <f>+IF(SUM($E$16:$I$16)-SUM($E$18:$I$18)&gt;0,SUM($E$16:$I$16)-SUM($E$18:$I$18),0)</f>
        <v>2687.1823250901416</v>
      </c>
      <c r="J20" s="15"/>
    </row>
    <row r="21" spans="2:10" ht="15">
      <c r="B21" s="16"/>
      <c r="C21" s="17"/>
      <c r="D21" s="17" t="s">
        <v>295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866.9636934523805</v>
      </c>
      <c r="G23" s="45">
        <f>+G18</f>
        <v>1483.7272857739583</v>
      </c>
      <c r="H23" s="45">
        <f>+H18</f>
        <v>2816.7222133656155</v>
      </c>
      <c r="I23" s="45">
        <f>+I18</f>
        <v>3088.5017636455696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249</v>
      </c>
      <c r="D5" s="88">
        <f>+'CE'!D51</f>
        <v>-59885.08085317461</v>
      </c>
      <c r="E5" s="88">
        <f>+'CE'!E51</f>
        <v>-36505.71062118056</v>
      </c>
      <c r="F5" s="88">
        <f>+'CE'!F51</f>
        <v>-2326.3535034457545</v>
      </c>
      <c r="G5" s="88">
        <f>+'CE'!G51</f>
        <v>4642.352913988952</v>
      </c>
      <c r="H5" s="88">
        <f>+'CE'!H51</f>
        <v>5467.030046572622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273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274</v>
      </c>
      <c r="D11" s="88">
        <f>+D5*D7*D9</f>
        <v>-59885.08085317461</v>
      </c>
      <c r="E11" s="88">
        <f>+E5*E7*E9</f>
        <v>-36505.71062118056</v>
      </c>
      <c r="F11" s="88">
        <f>+F5*F7*F9</f>
        <v>-2326.3535034457545</v>
      </c>
      <c r="G11" s="88">
        <f>+G5*G7*G9</f>
        <v>4642.352913988952</v>
      </c>
      <c r="H11" s="88">
        <f>+H5*H7*H9</f>
        <v>5467.030046572622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275</v>
      </c>
      <c r="D15" s="93">
        <f>+D11</f>
        <v>-59885.08085317461</v>
      </c>
      <c r="E15" s="93">
        <f>+E11</f>
        <v>-36505.71062118056</v>
      </c>
      <c r="F15" s="93">
        <f>+F11</f>
        <v>-2326.3535034457545</v>
      </c>
      <c r="G15" s="93">
        <f>+G11</f>
        <v>4642.352913988952</v>
      </c>
      <c r="H15" s="93">
        <f>+H11</f>
        <v>5467.030046572622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276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0</v>
      </c>
      <c r="G19" s="91"/>
      <c r="H19" s="86">
        <f>+IF(E15&lt;0,0,1)</f>
        <v>0</v>
      </c>
      <c r="I19" s="91"/>
      <c r="J19" s="86">
        <f>+IF(F15&lt;0,0,1)</f>
        <v>0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277</v>
      </c>
      <c r="D20" s="86"/>
      <c r="E20" s="86"/>
      <c r="F20" s="155" t="s">
        <v>260</v>
      </c>
      <c r="G20" s="156"/>
      <c r="H20" s="155" t="s">
        <v>261</v>
      </c>
      <c r="I20" s="156"/>
      <c r="J20" s="155" t="s">
        <v>262</v>
      </c>
      <c r="K20" s="156"/>
      <c r="L20" s="155" t="s">
        <v>263</v>
      </c>
      <c r="M20" s="156"/>
      <c r="N20" s="155" t="s">
        <v>264</v>
      </c>
      <c r="O20" s="156"/>
    </row>
    <row r="21" spans="1:15" ht="15">
      <c r="A21" s="92"/>
      <c r="B21" s="86"/>
      <c r="C21" s="95" t="s">
        <v>278</v>
      </c>
      <c r="D21" s="86" t="s">
        <v>279</v>
      </c>
      <c r="E21" s="86" t="s">
        <v>280</v>
      </c>
      <c r="F21" s="86" t="s">
        <v>281</v>
      </c>
      <c r="G21" s="91" t="s">
        <v>284</v>
      </c>
      <c r="H21" s="86" t="s">
        <v>281</v>
      </c>
      <c r="I21" s="91" t="s">
        <v>284</v>
      </c>
      <c r="J21" s="86" t="s">
        <v>281</v>
      </c>
      <c r="K21" s="91" t="s">
        <v>284</v>
      </c>
      <c r="L21" s="86" t="s">
        <v>281</v>
      </c>
      <c r="M21" s="91" t="s">
        <v>284</v>
      </c>
      <c r="N21" s="86" t="s">
        <v>281</v>
      </c>
      <c r="O21" s="91" t="s">
        <v>284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0</v>
      </c>
      <c r="G22" s="97">
        <f>+$E$22*F22</f>
        <v>0</v>
      </c>
      <c r="H22" s="97">
        <f>+IF(E15&gt;$D$22,$D22,E15)*H19</f>
        <v>0</v>
      </c>
      <c r="I22" s="97">
        <f>+$E$22*H22</f>
        <v>0</v>
      </c>
      <c r="J22" s="97">
        <f>+IF(F15&gt;$D$22,$D22,F15)*J19</f>
        <v>0</v>
      </c>
      <c r="K22" s="97">
        <f>+$E$22*J22</f>
        <v>0</v>
      </c>
      <c r="L22" s="97">
        <f>+IF(G15&gt;$D$22,$D22,G15)*L19</f>
        <v>4642.352913988952</v>
      </c>
      <c r="M22" s="97">
        <f>+$E$22*L22</f>
        <v>1067.741170217459</v>
      </c>
      <c r="N22" s="97">
        <f>+IF(H15&gt;$D$22,$D22,H15)*N19</f>
        <v>5467.030046572622</v>
      </c>
      <c r="O22" s="97">
        <f>+$E$22*N22</f>
        <v>1257.4169107117032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0</v>
      </c>
      <c r="I23" s="97">
        <f>+$E$23*H23</f>
        <v>0</v>
      </c>
      <c r="J23" s="97">
        <f>+IF(J22=F15,0,IF(F15&gt;$D$23,$D$23-$C$23,F15-$C$23))*J19</f>
        <v>0</v>
      </c>
      <c r="K23" s="97">
        <f>+$E$23*J23</f>
        <v>0</v>
      </c>
      <c r="L23" s="97">
        <f>+IF(L22=G15,0,IF(G15&gt;$D$23,$D$23-$C$23,G15-$C$23))*L19</f>
        <v>0</v>
      </c>
      <c r="M23" s="97">
        <f>+$E$23*L23</f>
        <v>0</v>
      </c>
      <c r="N23" s="97">
        <f>+IF(N22=H15,0,IF(H15&gt;$D$23,$D$23-$C$23,H15-$C$23))*N19</f>
        <v>0</v>
      </c>
      <c r="O23" s="97">
        <f>+$E$23*N23</f>
        <v>0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0</v>
      </c>
      <c r="I24" s="97">
        <f>+$E$24*H24</f>
        <v>0</v>
      </c>
      <c r="J24" s="97">
        <f>+IF(J22+J23=F15,0,IF(F15&gt;$D$24,$D$24-$C$24,F15-$C$24))*J19</f>
        <v>0</v>
      </c>
      <c r="K24" s="97">
        <f>+$E$24*J24</f>
        <v>0</v>
      </c>
      <c r="L24" s="97">
        <f>+IF(L22+L23=G15,0,IF(G15&gt;$D$24,$D$24-$C$24,G15-$C$24))*L19</f>
        <v>0</v>
      </c>
      <c r="M24" s="97">
        <f>+$E$24*L24</f>
        <v>0</v>
      </c>
      <c r="N24" s="97">
        <f>+IF(N22+N23=H15,0,IF(H15&gt;$D$24,$D$24-$C$24,H15-$C$24))*N19</f>
        <v>0</v>
      </c>
      <c r="O24" s="97">
        <f>+$E$24*N24</f>
        <v>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0</v>
      </c>
      <c r="K25" s="97">
        <f>+$E$25*J25</f>
        <v>0</v>
      </c>
      <c r="L25" s="97">
        <f>+IF(L23+L24+L22=G15,0,IF(G15&gt;$D$25,$D$25-$C$25,G15-$C$25))*L19</f>
        <v>0</v>
      </c>
      <c r="M25" s="97">
        <f>+$E$25*L25</f>
        <v>0</v>
      </c>
      <c r="N25" s="97">
        <f>+IF(N23+N24+N22=H15,0,IF(H15&gt;$D$25,$D$25-$C$25,H15-$C$25))*N19</f>
        <v>0</v>
      </c>
      <c r="O25" s="97">
        <f>+$E$25*N25</f>
        <v>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0</v>
      </c>
      <c r="K26" s="97">
        <f>+$E$26*J26</f>
        <v>0</v>
      </c>
      <c r="L26" s="97">
        <f>+IF(L24+L25+L23+L22=G15,0,G15-$C$26)*L19</f>
        <v>0</v>
      </c>
      <c r="M26" s="97">
        <f>+$E$26*L26</f>
        <v>0</v>
      </c>
      <c r="N26" s="97">
        <f>+IF(N24+N25+N23+N22=H15,0,H15-$C$26)*N19</f>
        <v>0</v>
      </c>
      <c r="O26" s="97">
        <f>+$E$26*N26</f>
        <v>0</v>
      </c>
    </row>
    <row r="27" spans="1:15" ht="15">
      <c r="A27" s="92"/>
      <c r="B27" s="86"/>
      <c r="C27" s="91"/>
      <c r="D27" s="91"/>
      <c r="E27" s="86"/>
      <c r="F27" s="86" t="s">
        <v>15</v>
      </c>
      <c r="G27" s="98">
        <f>SUM(G22:G26)</f>
        <v>0</v>
      </c>
      <c r="H27" s="86" t="s">
        <v>15</v>
      </c>
      <c r="I27" s="98">
        <f>SUM(I22:I26)</f>
        <v>0</v>
      </c>
      <c r="J27" s="86" t="s">
        <v>15</v>
      </c>
      <c r="K27" s="98">
        <f>SUM(K22:K26)</f>
        <v>0</v>
      </c>
      <c r="L27" s="86" t="s">
        <v>15</v>
      </c>
      <c r="M27" s="98">
        <f>SUM(M22:M26)</f>
        <v>1067.741170217459</v>
      </c>
      <c r="N27" s="86" t="s">
        <v>15</v>
      </c>
      <c r="O27" s="98">
        <f>SUM(O22:O26)</f>
        <v>1257.4169107117032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249</v>
      </c>
      <c r="D5" s="88">
        <f>+'CE'!D51</f>
        <v>-59885.08085317461</v>
      </c>
      <c r="E5" s="88">
        <f>+'CE'!E51</f>
        <v>-36505.71062118056</v>
      </c>
      <c r="F5" s="88">
        <f>+'CE'!F51</f>
        <v>-2326.3535034457545</v>
      </c>
      <c r="G5" s="88">
        <f>+'CE'!G51</f>
        <v>4642.352913988952</v>
      </c>
      <c r="H5" s="88">
        <f>+'CE'!H51</f>
        <v>5467.030046572622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355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274</v>
      </c>
      <c r="D11" s="88">
        <f>+D5*D7*D9</f>
        <v>-59885.08085317461</v>
      </c>
      <c r="E11" s="88">
        <f>+E5*E7*E9</f>
        <v>-36505.71062118056</v>
      </c>
      <c r="F11" s="88">
        <f>+F5*F7*F9</f>
        <v>-2326.3535034457545</v>
      </c>
      <c r="G11" s="88">
        <f>+G5*G7*G9</f>
        <v>4642.352913988952</v>
      </c>
      <c r="H11" s="88">
        <f>+H5*H7*H9</f>
        <v>5467.030046572622</v>
      </c>
    </row>
    <row r="13" spans="3:8" ht="15">
      <c r="C13" t="s">
        <v>358</v>
      </c>
      <c r="D13" s="117">
        <f>+T23</f>
        <v>3192.89</v>
      </c>
      <c r="E13" s="117">
        <f>+U23</f>
        <v>3192.89</v>
      </c>
      <c r="F13" s="117">
        <f>+V23</f>
        <v>3192.89</v>
      </c>
      <c r="G13" s="117">
        <f>+W23</f>
        <v>3192.89</v>
      </c>
      <c r="H13" s="117">
        <f>+X23</f>
        <v>3192.89</v>
      </c>
    </row>
    <row r="15" ht="15">
      <c r="H15" s="125"/>
    </row>
    <row r="18" spans="20:24" ht="15">
      <c r="T18" s="1" t="s">
        <v>260</v>
      </c>
      <c r="U18" s="1" t="s">
        <v>261</v>
      </c>
      <c r="V18" s="1" t="s">
        <v>262</v>
      </c>
      <c r="W18" s="1" t="s">
        <v>263</v>
      </c>
      <c r="X18" s="1" t="s">
        <v>264</v>
      </c>
    </row>
    <row r="19" spans="12:24" ht="25.5">
      <c r="L19" s="157" t="s">
        <v>356</v>
      </c>
      <c r="M19" s="158"/>
      <c r="N19" s="158"/>
      <c r="O19" s="159"/>
      <c r="P19" s="113" t="s">
        <v>361</v>
      </c>
      <c r="Q19" s="113" t="s">
        <v>359</v>
      </c>
      <c r="R19" s="113" t="s">
        <v>360</v>
      </c>
      <c r="S19" s="113" t="s">
        <v>362</v>
      </c>
      <c r="T19" s="119" t="s">
        <v>363</v>
      </c>
      <c r="U19" s="119" t="s">
        <v>363</v>
      </c>
      <c r="V19" s="119" t="s">
        <v>363</v>
      </c>
      <c r="W19" s="119" t="s">
        <v>363</v>
      </c>
      <c r="X19" s="119" t="s">
        <v>363</v>
      </c>
    </row>
    <row r="20" spans="12:24" ht="15">
      <c r="L20" s="157" t="s">
        <v>357</v>
      </c>
      <c r="M20" s="158"/>
      <c r="N20" s="158"/>
      <c r="O20" s="159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57" t="s">
        <v>357</v>
      </c>
      <c r="M21" s="158"/>
      <c r="N21" s="158"/>
      <c r="O21" s="159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0</v>
      </c>
      <c r="V21" s="120">
        <f>+IF(F11&lt;$P$21,0,IF(F11&gt;$Q$21,(($Q$21-$P$21)*$S$21),((F11-$P$21)*$S$21)))</f>
        <v>0</v>
      </c>
      <c r="W21" s="120">
        <f>+IF(G11&lt;$P$21,0,IF(G11&gt;$Q$21,(($Q$21-$P$21)*$S$21),((G11-$P$21)*$S$21)))</f>
        <v>0</v>
      </c>
      <c r="X21" s="120">
        <f>+IF(H11&lt;$P$21,0,IF(H11&gt;$Q$21,(($Q$21-$P$21)*$S$21),((H11-$P$21)*$S$21)))</f>
        <v>0</v>
      </c>
    </row>
    <row r="22" spans="12:24" ht="15">
      <c r="L22" s="157" t="s">
        <v>357</v>
      </c>
      <c r="M22" s="158"/>
      <c r="N22" s="158"/>
      <c r="O22" s="159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0</v>
      </c>
      <c r="W22" s="120">
        <f>+IF(G11&lt;$P$22,0,(G11-$P$22)*$S$22)</f>
        <v>0</v>
      </c>
      <c r="X22" s="120">
        <f>+IF(H11&lt;$P$22,0,(H11-$P$22)*$S$22)</f>
        <v>0</v>
      </c>
    </row>
    <row r="23" spans="4:24" ht="15">
      <c r="D23" s="112"/>
      <c r="S23" s="6" t="s">
        <v>15</v>
      </c>
      <c r="T23" s="118">
        <f>SUM(T20:T22)</f>
        <v>3192.89</v>
      </c>
      <c r="U23" s="118">
        <f>SUM(U20:U22)</f>
        <v>3192.89</v>
      </c>
      <c r="V23" s="118">
        <f>SUM(V20:V22)</f>
        <v>3192.89</v>
      </c>
      <c r="W23" s="118">
        <f>SUM(W20:W22)</f>
        <v>3192.89</v>
      </c>
      <c r="X23" s="118">
        <f>SUM(X20:X22)</f>
        <v>3192.89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H24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36</v>
      </c>
      <c r="C3" s="25">
        <f>+MCL!D69+finanziamento!E33+Input!D29+'Mutuo invitalia'!E33+Input!D147</f>
        <v>206241</v>
      </c>
      <c r="D3" s="25">
        <f>+MCL!E69+finanziamento!F33+Input!E29+C3+'Mutuo invitalia'!F33+Input!E147</f>
        <v>391041</v>
      </c>
      <c r="E3" s="25">
        <f>+MCL!F69+finanziamento!G33+Input!F29+D3+'Mutuo invitalia'!G33+Input!F147</f>
        <v>625176</v>
      </c>
      <c r="F3" s="25">
        <f>+MCL!G69+finanziamento!H33+Input!G29+E3+'Mutuo invitalia'!H33+Input!G147</f>
        <v>870201</v>
      </c>
      <c r="G3" s="25">
        <f>+MCL!H69+finanziamento!I33+Input!H29+F3+'Mutuo invitalia'!I33+Input!H147</f>
        <v>1115226</v>
      </c>
    </row>
    <row r="4" spans="2:8" ht="15">
      <c r="B4" t="s">
        <v>61</v>
      </c>
      <c r="C4" s="25">
        <f>+MCL!M69+Inve!M23+Personale!D23+finanziamento!E34+'Altri costi'!D51+Iva!C27+Irap!E23+Input!D30+MCL!D89+Input!D130+'Mutuo invitalia'!E34</f>
        <v>272128.90277777775</v>
      </c>
      <c r="D4" s="25">
        <f>+MCL!N69+Inve!N23+Personale!E23+finanziamento!F34+'Altri costi'!E51+Iva!D27+Irap!F23+Input!E30+C4+MCL!E89+Input!E130+'Mutuo invitalia'!F34</f>
        <v>438341.4981378968</v>
      </c>
      <c r="E4" s="25">
        <f>+MCL!O69+Inve!O23+Personale!F23+finanziamento!G34+'Altri costi'!F51+Iva!E27+Irap!G23+Input!F30+D4+MCL!F89+Input!F130+'Mutuo invitalia'!G34</f>
        <v>656452.9557832007</v>
      </c>
      <c r="F4" s="25">
        <f>+MCL!P69+Inve!P23+Personale!G23+finanziamento!H34+'Altri costi'!G51+Iva!F27+Irap!H23+Input!G30+E4+MCL!G89+Input!G130+'Mutuo invitalia'!H34</f>
        <v>882861.6072449852</v>
      </c>
      <c r="G4" s="25">
        <f>+MCL!Q69+Inve!Q23+Personale!H23+finanziamento!I34+'Altri costi'!H51+Iva!G27+Irap!I23+Input!H30+F4+MCL!H89+Input!H130+'Mutuo invitalia'!I34</f>
        <v>1109613.2535348274</v>
      </c>
      <c r="H4" s="25"/>
    </row>
    <row r="6" spans="2:7" ht="15">
      <c r="B6" t="s">
        <v>331</v>
      </c>
      <c r="C6" s="85">
        <f>+IF((C3-C4)&gt;0,(C3-C4),0)</f>
        <v>0</v>
      </c>
      <c r="D6" s="85">
        <f>+IF((D3-D4)&gt;0,(D3-D4),0)</f>
        <v>0</v>
      </c>
      <c r="E6" s="85">
        <f>+IF((E3-E4)&gt;0,(E3-E4),0)</f>
        <v>0</v>
      </c>
      <c r="F6" s="85">
        <f>+IF((F3-F4)&gt;0,(F3-F4),0)</f>
        <v>0</v>
      </c>
      <c r="G6" s="85">
        <f>+IF((G3-G4)&gt;0,(G3-G4),0)</f>
        <v>5612.746465172619</v>
      </c>
    </row>
    <row r="7" spans="2:7" ht="15">
      <c r="B7" t="s">
        <v>332</v>
      </c>
      <c r="C7" s="85">
        <f>+IF((C3-C4)&lt;0,-(C3-C4),0)</f>
        <v>65887.90277777775</v>
      </c>
      <c r="D7" s="85">
        <f>+IF((D3-D4)&lt;0,-(D3-D4),0)</f>
        <v>47300.49813789682</v>
      </c>
      <c r="E7" s="85">
        <f>+IF((E3-E4)&lt;0,-(E3-E4),0)</f>
        <v>31276.955783200683</v>
      </c>
      <c r="F7" s="85">
        <f>+IF((F3-F4)&lt;0,-(F3-F4),0)</f>
        <v>12660.607244985178</v>
      </c>
      <c r="G7" s="85">
        <f>+IF((G3-G4)&lt;0,-(G3-G4),0)</f>
        <v>0</v>
      </c>
    </row>
    <row r="9" spans="2:7" ht="15">
      <c r="B9" t="s">
        <v>333</v>
      </c>
      <c r="C9" s="85">
        <f>+C7*Input!$D$123</f>
        <v>3294.3951388888877</v>
      </c>
      <c r="D9" s="85">
        <f>+D7*Input!$D$123</f>
        <v>2365.024906894841</v>
      </c>
      <c r="E9" s="85">
        <f>+E7*Input!$D$123</f>
        <v>1563.8477891600342</v>
      </c>
      <c r="F9" s="85">
        <f>+F7*Input!$D$123</f>
        <v>633.0303622492589</v>
      </c>
      <c r="G9" s="85">
        <f>+G7*Input!$D$123</f>
        <v>0</v>
      </c>
    </row>
    <row r="10" spans="2:7" ht="15">
      <c r="B10" t="s">
        <v>340</v>
      </c>
      <c r="C10" s="85">
        <f>+C6*Input!D125</f>
        <v>0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343</v>
      </c>
    </row>
    <row r="13" spans="2:7" ht="15">
      <c r="B13" t="s">
        <v>333</v>
      </c>
      <c r="C13" s="85">
        <f>+C7*Input!$D$123</f>
        <v>3294.3951388888877</v>
      </c>
      <c r="D13" s="85">
        <f>+D7*Input!$D$123+C13</f>
        <v>5659.420045783729</v>
      </c>
      <c r="E13" s="85">
        <f>+E7*Input!$D$123+D13</f>
        <v>7223.267834943763</v>
      </c>
      <c r="F13" s="85">
        <f>+F7*Input!$D$123+E13</f>
        <v>7856.298197193022</v>
      </c>
      <c r="G13" s="85">
        <f>+G7*Input!$D$123+F13</f>
        <v>7856.298197193022</v>
      </c>
    </row>
    <row r="14" spans="2:7" ht="15">
      <c r="B14" t="s">
        <v>340</v>
      </c>
      <c r="C14" s="85">
        <f>+C6*Input!D125</f>
        <v>0</v>
      </c>
      <c r="D14" s="85">
        <f>+D6*Input!E125+C14</f>
        <v>0</v>
      </c>
      <c r="E14" s="85">
        <f>+E6*Input!F125+D14</f>
        <v>0</v>
      </c>
      <c r="F14" s="85">
        <f>+F6*Input!G125+E14</f>
        <v>0</v>
      </c>
      <c r="G14" s="85">
        <f>+G6*Input!H125+F14</f>
        <v>0</v>
      </c>
    </row>
    <row r="16" spans="2:7" ht="15">
      <c r="B16" t="s">
        <v>335</v>
      </c>
      <c r="C16" s="85">
        <f>+C13</f>
        <v>3294.3951388888877</v>
      </c>
      <c r="D16" s="85">
        <f aca="true" t="shared" si="0" ref="D16:G17">+D13</f>
        <v>5659.420045783729</v>
      </c>
      <c r="E16" s="85">
        <f t="shared" si="0"/>
        <v>7223.267834943763</v>
      </c>
      <c r="F16" s="85">
        <f t="shared" si="0"/>
        <v>7856.298197193022</v>
      </c>
      <c r="G16" s="85">
        <f t="shared" si="0"/>
        <v>7856.298197193022</v>
      </c>
    </row>
    <row r="17" spans="2:7" ht="15">
      <c r="B17" t="s">
        <v>341</v>
      </c>
      <c r="C17" s="85">
        <f>+C14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</row>
    <row r="18" spans="3:7" ht="15">
      <c r="C18" s="85"/>
      <c r="D18" s="85"/>
      <c r="E18" s="85"/>
      <c r="F18" s="85"/>
      <c r="G18" s="85"/>
    </row>
    <row r="19" spans="2:7" ht="15">
      <c r="B19" t="s">
        <v>342</v>
      </c>
      <c r="C19" s="85"/>
      <c r="D19" s="85"/>
      <c r="E19" s="85"/>
      <c r="F19" s="85"/>
      <c r="G19" s="85"/>
    </row>
    <row r="20" spans="2:7" ht="15">
      <c r="B20" t="s">
        <v>36</v>
      </c>
      <c r="C20" s="85">
        <f>+C3+C17</f>
        <v>206241</v>
      </c>
      <c r="D20" s="85">
        <f>+D3+D17</f>
        <v>391041</v>
      </c>
      <c r="E20" s="85">
        <f>+E3+E17</f>
        <v>625176</v>
      </c>
      <c r="F20" s="85">
        <f>+F3+F17</f>
        <v>870201</v>
      </c>
      <c r="G20" s="85">
        <f>+G3+G17</f>
        <v>1115226</v>
      </c>
    </row>
    <row r="21" spans="2:7" ht="15">
      <c r="B21" t="s">
        <v>61</v>
      </c>
      <c r="C21" s="85">
        <f>+C4+C16</f>
        <v>275423.29791666666</v>
      </c>
      <c r="D21" s="85">
        <f>+D4+D16</f>
        <v>444000.91818368057</v>
      </c>
      <c r="E21" s="85">
        <f>+E4+E16</f>
        <v>663676.2236181444</v>
      </c>
      <c r="F21" s="85">
        <f>+F4+F16</f>
        <v>890717.9054421782</v>
      </c>
      <c r="G21" s="85">
        <f>+G4+G16</f>
        <v>1117469.5517320205</v>
      </c>
    </row>
    <row r="23" spans="2:7" ht="15">
      <c r="B23" t="s">
        <v>331</v>
      </c>
      <c r="C23" s="85">
        <f>+IF((C20-C21)&gt;0,(C20-C21),0)</f>
        <v>0</v>
      </c>
      <c r="D23" s="85">
        <f>+IF((D20-D21)&gt;0,(D20-D21),0)</f>
        <v>0</v>
      </c>
      <c r="E23" s="85">
        <f>+IF((E20-E21)&gt;0,(E20-E21),0)</f>
        <v>0</v>
      </c>
      <c r="F23" s="85">
        <f>+IF((F20-F21)&gt;0,(F20-F21),0)</f>
        <v>0</v>
      </c>
      <c r="G23" s="85">
        <f>+IF((G20-G21)&gt;0,(G20-G21),0)</f>
        <v>0</v>
      </c>
    </row>
    <row r="24" spans="2:7" ht="15">
      <c r="B24" t="s">
        <v>332</v>
      </c>
      <c r="C24" s="85">
        <f>+IF((C20-C21)&lt;0,-(C20-C21),0)</f>
        <v>69182.29791666666</v>
      </c>
      <c r="D24" s="85">
        <f>+IF((D20-D21)&lt;0,-(D20-D21),0)</f>
        <v>52959.918183680566</v>
      </c>
      <c r="E24" s="85">
        <f>+IF((E20-E21)&lt;0,-(E20-E21),0)</f>
        <v>38500.2236181444</v>
      </c>
      <c r="F24" s="85">
        <f>+IF((F20-F21)&lt;0,-(F20-F21),0)</f>
        <v>20516.90544217825</v>
      </c>
      <c r="G24" s="85">
        <f>+IF((G20-G21)&lt;0,-(G20-G21),0)</f>
        <v>2243.5517320204526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346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32</v>
      </c>
      <c r="C4" s="35">
        <f>+Banca!C23</f>
        <v>0</v>
      </c>
      <c r="D4" s="35">
        <f>+Banca!D23</f>
        <v>0</v>
      </c>
      <c r="E4" s="35">
        <f>+Banca!E23</f>
        <v>0</v>
      </c>
      <c r="F4" s="35">
        <f>+Banca!F23</f>
        <v>0</v>
      </c>
      <c r="G4" s="35">
        <f>+Banca!G23</f>
        <v>0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326</v>
      </c>
      <c r="C6" s="35">
        <f>SUM(C7:C9)</f>
        <v>12053.720000000001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17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23</v>
      </c>
      <c r="C8" s="26">
        <f>+Iva!C25</f>
        <v>12053.720000000001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297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2916.6666666666665</v>
      </c>
      <c r="D11" s="35">
        <f>+MCL!N27</f>
        <v>4083.333333333333</v>
      </c>
      <c r="E11" s="35">
        <f>+MCL!O27</f>
        <v>5643.75</v>
      </c>
      <c r="F11" s="35">
        <f>+MCL!P27</f>
        <v>5906.25</v>
      </c>
      <c r="G11" s="35">
        <f>+MCL!Q27</f>
        <v>5906.25</v>
      </c>
      <c r="H11" s="25"/>
    </row>
    <row r="13" spans="2:7" ht="15">
      <c r="B13" s="7" t="s">
        <v>39</v>
      </c>
      <c r="C13" s="35">
        <f>+C14+C15+C16-C17-C18-C19</f>
        <v>87391.3142857143</v>
      </c>
      <c r="D13" s="35">
        <f>+D14+D15+D16-D17-D18-D19</f>
        <v>65900.62857142856</v>
      </c>
      <c r="E13" s="35">
        <f>+E14+E15+E16-E17-E18-E19</f>
        <v>44409.94285714285</v>
      </c>
      <c r="F13" s="35">
        <f>+F14+F15+F16-F17-F18-F19</f>
        <v>22919.257142857135</v>
      </c>
      <c r="G13" s="35">
        <f>+G14+G15+G16-G17-G18-G19</f>
        <v>1428.5714285714284</v>
      </c>
    </row>
    <row r="14" spans="2:7" ht="15">
      <c r="B14" t="s">
        <v>53</v>
      </c>
      <c r="C14" s="26">
        <f>+Input!E62</f>
        <v>103882</v>
      </c>
      <c r="D14" s="26">
        <f>+Input!F62+C14</f>
        <v>103882</v>
      </c>
      <c r="E14" s="26">
        <f>+Input!G62+D14</f>
        <v>103882</v>
      </c>
      <c r="F14" s="26">
        <f>+Input!H62+E14</f>
        <v>103882</v>
      </c>
      <c r="G14" s="26">
        <f>+Input!I62+F14</f>
        <v>103882</v>
      </c>
    </row>
    <row r="15" spans="2:7" ht="15">
      <c r="B15" t="s">
        <v>54</v>
      </c>
      <c r="C15" s="26">
        <f>+Input!E63</f>
        <v>0</v>
      </c>
      <c r="D15" s="26">
        <f>+Input!F63+C15</f>
        <v>0</v>
      </c>
      <c r="E15" s="26">
        <f>+Input!G63+D15</f>
        <v>0</v>
      </c>
      <c r="F15" s="26">
        <f>+Input!H63+E15</f>
        <v>0</v>
      </c>
      <c r="G15" s="26">
        <f>+Input!I63+F15</f>
        <v>0</v>
      </c>
    </row>
    <row r="16" spans="2:7" ht="15">
      <c r="B16" t="s">
        <v>415</v>
      </c>
      <c r="C16" s="26">
        <f>+Inve!D71</f>
        <v>5000</v>
      </c>
      <c r="D16" s="26">
        <f>+Inve!E71</f>
        <v>5000</v>
      </c>
      <c r="E16" s="26">
        <f>+Inve!F71</f>
        <v>5000</v>
      </c>
      <c r="F16" s="26">
        <f>+Inve!G71</f>
        <v>5000</v>
      </c>
      <c r="G16" s="26">
        <f>+Inve!H71</f>
        <v>5000</v>
      </c>
    </row>
    <row r="17" spans="2:7" ht="15">
      <c r="B17" t="s">
        <v>55</v>
      </c>
      <c r="C17" s="26">
        <f>+Inve!D62</f>
        <v>20776.4</v>
      </c>
      <c r="D17" s="26">
        <f>+Inve!E62</f>
        <v>41552.8</v>
      </c>
      <c r="E17" s="26">
        <f>+Inve!F62</f>
        <v>62329.200000000004</v>
      </c>
      <c r="F17" s="26">
        <f>+Inve!G62</f>
        <v>83105.6</v>
      </c>
      <c r="G17" s="26">
        <f>+Inve!H62</f>
        <v>103882</v>
      </c>
    </row>
    <row r="18" spans="2:7" ht="15">
      <c r="B18" t="s">
        <v>56</v>
      </c>
      <c r="C18" s="26">
        <f>+Inve!D63</f>
        <v>0</v>
      </c>
      <c r="D18" s="26">
        <f>+Inve!E63</f>
        <v>0</v>
      </c>
      <c r="E18" s="26">
        <f>+Inve!F63</f>
        <v>0</v>
      </c>
      <c r="F18" s="26">
        <f>+Inve!G63</f>
        <v>0</v>
      </c>
      <c r="G18" s="26">
        <f>+Inve!H63</f>
        <v>0</v>
      </c>
    </row>
    <row r="19" spans="2:7" ht="15">
      <c r="B19" t="s">
        <v>416</v>
      </c>
      <c r="C19" s="26">
        <f>+Inve!D75</f>
        <v>714.2857142857143</v>
      </c>
      <c r="D19" s="26">
        <f>+Inve!E75</f>
        <v>1428.5714285714287</v>
      </c>
      <c r="E19" s="26">
        <f>+Inve!F75</f>
        <v>2142.857142857143</v>
      </c>
      <c r="F19" s="26">
        <f>+Inve!G75</f>
        <v>2857.1428571428573</v>
      </c>
      <c r="G19" s="26">
        <f>+Inve!H75</f>
        <v>3571.4285714285716</v>
      </c>
    </row>
    <row r="20" spans="3:7" ht="15">
      <c r="C20" s="26"/>
      <c r="D20" s="26"/>
      <c r="E20" s="26"/>
      <c r="F20" s="26"/>
      <c r="G20" s="26"/>
    </row>
    <row r="21" spans="2:7" ht="15">
      <c r="B21" t="s">
        <v>393</v>
      </c>
      <c r="C21" s="26">
        <f>+Input!D130</f>
        <v>0</v>
      </c>
      <c r="D21" s="26">
        <f>+Input!E130+C21</f>
        <v>0</v>
      </c>
      <c r="E21" s="26">
        <f>+Input!F130+D21</f>
        <v>0</v>
      </c>
      <c r="F21" s="26">
        <f>+Input!G130+E21</f>
        <v>0</v>
      </c>
      <c r="G21" s="26">
        <f>+Input!H130+F21</f>
        <v>0</v>
      </c>
    </row>
    <row r="23" spans="2:12" ht="15">
      <c r="B23" s="6" t="s">
        <v>28</v>
      </c>
      <c r="C23" s="35">
        <f>+C13+C11+C6+C4+C21</f>
        <v>102361.70095238097</v>
      </c>
      <c r="D23" s="35">
        <f>+D13+D11+D6+D4+D21</f>
        <v>69983.96190476189</v>
      </c>
      <c r="E23" s="35">
        <f>+E13+E11+E6+E4+E21</f>
        <v>50053.69285714285</v>
      </c>
      <c r="F23" s="35">
        <f>+F13+F11+F6+F4+F21</f>
        <v>28825.507142857135</v>
      </c>
      <c r="G23" s="35">
        <f>+G13+G11+G6+G4+G21</f>
        <v>7334.821428571428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69182.29791666666</v>
      </c>
      <c r="D27" s="35">
        <f>+Banca!D24</f>
        <v>52959.918183680566</v>
      </c>
      <c r="E27" s="35">
        <f>+Banca!E24</f>
        <v>38500.2236181444</v>
      </c>
      <c r="F27" s="35">
        <f>+Banca!F24</f>
        <v>20516.90544217825</v>
      </c>
      <c r="G27" s="35">
        <f>+Banca!G24</f>
        <v>2243.5517320204526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327</v>
      </c>
      <c r="C29" s="35">
        <f>SUM(C30:C33)</f>
        <v>4256.96573561508</v>
      </c>
      <c r="D29" s="35">
        <f>SUM(D30:D33)</f>
        <v>6491.044327936658</v>
      </c>
      <c r="E29" s="35">
        <f>SUM(E30:E33)</f>
        <v>11357.995088861651</v>
      </c>
      <c r="F29" s="35">
        <f>SUM(F30:F33)</f>
        <v>11941.614916919381</v>
      </c>
      <c r="G29" s="35">
        <f>SUM(G30:G33)</f>
        <v>11951.902325090143</v>
      </c>
      <c r="H29" s="25"/>
    </row>
    <row r="30" spans="2:12" ht="15">
      <c r="B30" t="s">
        <v>22</v>
      </c>
      <c r="C30" s="26">
        <f>+MCL!D55</f>
        <v>3823.2638888888887</v>
      </c>
      <c r="D30" s="26">
        <f>+MCL!E55</f>
        <v>5058.472222222223</v>
      </c>
      <c r="E30" s="26">
        <f>+MCL!F55</f>
        <v>6986.27951388889</v>
      </c>
      <c r="F30" s="26">
        <f>+MCL!G55</f>
        <v>7173.03125</v>
      </c>
      <c r="G30" s="26">
        <f>+MCL!H55</f>
        <v>7146.5625</v>
      </c>
      <c r="L30" s="25"/>
    </row>
    <row r="31" spans="2:12" ht="15">
      <c r="B31" t="s">
        <v>62</v>
      </c>
      <c r="C31" s="26">
        <f>+Inve!M15</f>
        <v>0.22000000000116415</v>
      </c>
      <c r="D31" s="26">
        <f>+Inve!N15+C31</f>
        <v>0.22000000000116415</v>
      </c>
      <c r="E31" s="26">
        <f>+Inve!O15+D31</f>
        <v>0.22000000000116415</v>
      </c>
      <c r="F31" s="26">
        <f>+Inve!P15+E31</f>
        <v>0.22000000000116415</v>
      </c>
      <c r="G31" s="26">
        <f>+Inve!Q15+F31</f>
        <v>0.22000000000116415</v>
      </c>
      <c r="L31" s="25"/>
    </row>
    <row r="32" spans="2:12" ht="15">
      <c r="B32" t="s">
        <v>298</v>
      </c>
      <c r="C32" s="26">
        <f>+Irap!E20</f>
        <v>433.48184672619027</v>
      </c>
      <c r="D32" s="26">
        <f>+Irap!F20</f>
        <v>1050.245439047768</v>
      </c>
      <c r="E32" s="26">
        <f>+Irap!G20</f>
        <v>2383.2403666394257</v>
      </c>
      <c r="F32" s="26">
        <f>+Irap!H20</f>
        <v>2655.01991691938</v>
      </c>
      <c r="G32" s="26">
        <f>+Irap!I20</f>
        <v>2687.1823250901416</v>
      </c>
      <c r="L32" s="25"/>
    </row>
    <row r="33" spans="2:8" ht="15">
      <c r="B33" t="s">
        <v>19</v>
      </c>
      <c r="C33" s="26">
        <f>+Iva!C26</f>
        <v>0</v>
      </c>
      <c r="D33" s="26">
        <f>+Iva!D26</f>
        <v>382.10666666666657</v>
      </c>
      <c r="E33" s="26">
        <f>+Iva!E26</f>
        <v>1988.2552083333358</v>
      </c>
      <c r="F33" s="26">
        <f>+Iva!F26</f>
        <v>2113.34375</v>
      </c>
      <c r="G33" s="26">
        <f>+Iva!G26</f>
        <v>2117.9375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330</v>
      </c>
      <c r="C35" s="35">
        <f>SUM(C36:C40)</f>
        <v>89241</v>
      </c>
      <c r="D35" s="35">
        <f>SUM(D36:D40)</f>
        <v>108841</v>
      </c>
      <c r="E35" s="35">
        <f>SUM(E36:E40)</f>
        <v>103646.5504738034</v>
      </c>
      <c r="F35" s="35">
        <f>SUM(F36:F40)</f>
        <v>98264.21195708288</v>
      </c>
      <c r="G35" s="35">
        <f>SUM(G36:G40)</f>
        <v>92690.22667002794</v>
      </c>
      <c r="H35" s="25"/>
    </row>
    <row r="36" spans="2:8" ht="15">
      <c r="B36" t="s">
        <v>328</v>
      </c>
      <c r="C36" s="26">
        <f>+Personale!D22</f>
        <v>4000</v>
      </c>
      <c r="D36" s="26">
        <f>+Personale!E22+C36</f>
        <v>8200</v>
      </c>
      <c r="E36" s="26">
        <f>+Personale!F22+D36</f>
        <v>12400</v>
      </c>
      <c r="F36" s="26">
        <f>+Personale!G22+E36</f>
        <v>16600</v>
      </c>
      <c r="G36" s="26">
        <f>+Personale!H22+F36</f>
        <v>20800</v>
      </c>
      <c r="H36" s="25"/>
    </row>
    <row r="37" spans="2:8" ht="15">
      <c r="B37" t="s">
        <v>400</v>
      </c>
      <c r="C37" s="26">
        <f>+'Mutuo invitalia'!E22</f>
        <v>69841</v>
      </c>
      <c r="D37" s="26">
        <f>+'Mutuo invitalia'!F22</f>
        <v>69841</v>
      </c>
      <c r="E37" s="26">
        <f>+'Mutuo invitalia'!G22</f>
        <v>60446.55047380341</v>
      </c>
      <c r="F37" s="26">
        <f>+'Mutuo invitalia'!H22</f>
        <v>50864.21195708289</v>
      </c>
      <c r="G37" s="26">
        <f>+'Mutuo invitalia'!I22</f>
        <v>41090.22667002795</v>
      </c>
      <c r="H37" s="25"/>
    </row>
    <row r="38" spans="2:8" ht="15">
      <c r="B38" t="s">
        <v>223</v>
      </c>
      <c r="C38" s="102">
        <f>+finanziamento!E22</f>
        <v>0</v>
      </c>
      <c r="D38" s="102">
        <f>+finanziamento!F22</f>
        <v>0</v>
      </c>
      <c r="E38" s="102">
        <f>+finanziamento!G22</f>
        <v>0</v>
      </c>
      <c r="F38" s="102">
        <f>+finanziamento!H22</f>
        <v>0</v>
      </c>
      <c r="G38" s="102">
        <f>+finanziamento!I22</f>
        <v>0</v>
      </c>
      <c r="H38" s="25"/>
    </row>
    <row r="39" spans="2:8" ht="15">
      <c r="B39" t="s">
        <v>405</v>
      </c>
      <c r="C39" s="102">
        <f>+Input!D147</f>
        <v>15400</v>
      </c>
      <c r="D39" s="102">
        <f>+C39+Input!E147</f>
        <v>30800</v>
      </c>
      <c r="E39" s="102">
        <f>+D39+Input!F147</f>
        <v>30800</v>
      </c>
      <c r="F39" s="102">
        <f>+E39+Input!G147</f>
        <v>30800</v>
      </c>
      <c r="G39" s="102">
        <f>+F39+Input!H147</f>
        <v>30800</v>
      </c>
      <c r="H39" s="25"/>
    </row>
    <row r="40" spans="2:8" ht="15">
      <c r="B40" t="s">
        <v>329</v>
      </c>
      <c r="C40" s="102">
        <f>+Input!D29</f>
        <v>0</v>
      </c>
      <c r="D40" s="102">
        <f>+C40+Input!E29</f>
        <v>0</v>
      </c>
      <c r="E40" s="102">
        <f>+D40+Input!F29</f>
        <v>0</v>
      </c>
      <c r="F40" s="102">
        <f>+E40+Input!G29</f>
        <v>0</v>
      </c>
      <c r="G40" s="102">
        <f>+F40+Input!H29</f>
        <v>0</v>
      </c>
      <c r="H40" s="25"/>
    </row>
    <row r="42" spans="2:7" ht="15">
      <c r="B42" s="6" t="s">
        <v>249</v>
      </c>
      <c r="C42" s="35">
        <f>SUM(C43:C44)</f>
        <v>-60318.562699900795</v>
      </c>
      <c r="D42" s="35">
        <f>SUM(D43:D44)</f>
        <v>-98308.00060685532</v>
      </c>
      <c r="E42" s="35">
        <f>SUM(E43:E44)</f>
        <v>-103451.0763236667</v>
      </c>
      <c r="F42" s="35">
        <f>SUM(F43:F44)</f>
        <v>-101897.22517332331</v>
      </c>
      <c r="G42" s="35">
        <f>SUM(G43:G44)</f>
        <v>-99550.85929856703</v>
      </c>
    </row>
    <row r="43" spans="2:8" ht="15">
      <c r="B43" t="s">
        <v>31</v>
      </c>
      <c r="D43" s="26">
        <f>+C43+C44</f>
        <v>-60318.562699900795</v>
      </c>
      <c r="E43" s="26">
        <f>+D43+D44</f>
        <v>-98308.00060685532</v>
      </c>
      <c r="F43" s="26">
        <f>+E43+E44</f>
        <v>-103451.0763236667</v>
      </c>
      <c r="G43" s="26">
        <f>+F43+F44</f>
        <v>-101897.22517332331</v>
      </c>
      <c r="H43" s="25"/>
    </row>
    <row r="44" spans="2:9" ht="15">
      <c r="B44" t="s">
        <v>30</v>
      </c>
      <c r="C44" s="26">
        <f>+'CE'!D55</f>
        <v>-60318.562699900795</v>
      </c>
      <c r="D44" s="26">
        <f>+'CE'!E55-Input!E30</f>
        <v>-37989.43790695452</v>
      </c>
      <c r="E44" s="26">
        <f>+'CE'!F55-Input!F30</f>
        <v>-5143.0757168113705</v>
      </c>
      <c r="F44" s="26">
        <f>+'CE'!G55-Input!G30</f>
        <v>1553.8511503433829</v>
      </c>
      <c r="G44" s="26">
        <f>+'CE'!H55-Input!H30</f>
        <v>2346.3658747562904</v>
      </c>
      <c r="H44" s="25"/>
      <c r="I44" s="25"/>
    </row>
    <row r="45" spans="2:8" ht="15">
      <c r="B45" s="6" t="s">
        <v>29</v>
      </c>
      <c r="C45" s="35">
        <f>+C27+C29+C35+C42</f>
        <v>102361.70095238095</v>
      </c>
      <c r="D45" s="35">
        <f>+D27+D29+D35+D42</f>
        <v>69983.9619047619</v>
      </c>
      <c r="E45" s="35">
        <f>+E27+E29+E35+E42</f>
        <v>50053.69285714277</v>
      </c>
      <c r="F45" s="35">
        <f>+F27+F29+F35+F42</f>
        <v>28825.507142857197</v>
      </c>
      <c r="G45" s="35">
        <f>+G27+G29+G35+G42</f>
        <v>7334.821428571508</v>
      </c>
      <c r="H45" s="35"/>
    </row>
    <row r="47" spans="2:7" ht="15">
      <c r="B47" s="6" t="s">
        <v>322</v>
      </c>
      <c r="C47" s="25">
        <f>+C23-C45</f>
        <v>0</v>
      </c>
      <c r="D47" s="25">
        <f>+D23-D45</f>
        <v>0</v>
      </c>
      <c r="E47" s="25">
        <f>+E23-E45</f>
        <v>8.003553375601768E-11</v>
      </c>
      <c r="F47" s="25">
        <f>+F23-F45</f>
        <v>-6.184563972055912E-11</v>
      </c>
      <c r="G47" s="25">
        <f>+G23-G45</f>
        <v>-7.912603905424476E-11</v>
      </c>
    </row>
    <row r="48" spans="3:7" ht="15">
      <c r="C48" s="25"/>
      <c r="D48" s="25"/>
      <c r="E48" s="25">
        <f>+E47-D47</f>
        <v>8.003553375601768E-11</v>
      </c>
      <c r="F48" s="25">
        <f>+F47-E47</f>
        <v>-1.418811734765768E-10</v>
      </c>
      <c r="G48" s="25">
        <f>+G47-F47</f>
        <v>-1.7280399333685637E-11</v>
      </c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0" sqref="D10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346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100000</v>
      </c>
      <c r="E3" s="35">
        <f>+MCL!E13</f>
        <v>140000</v>
      </c>
      <c r="F3" s="35">
        <f>+MCL!F13</f>
        <v>193500</v>
      </c>
      <c r="G3" s="35">
        <f>+MCL!G13</f>
        <v>202500</v>
      </c>
      <c r="H3" s="35">
        <f>+MCL!H13</f>
        <v>202500</v>
      </c>
    </row>
    <row r="5" spans="2:8" ht="15">
      <c r="B5" s="6" t="s">
        <v>385</v>
      </c>
      <c r="D5" s="35">
        <f>+D7-D8+D6</f>
        <v>35000</v>
      </c>
      <c r="E5" s="35">
        <f>+E7-E8+E6</f>
        <v>49000</v>
      </c>
      <c r="F5" s="35">
        <f>+F7-F8+F6</f>
        <v>67725</v>
      </c>
      <c r="G5" s="35">
        <f>+G7-G8+G6</f>
        <v>70875</v>
      </c>
      <c r="H5" s="35">
        <f>+H7-H8+H6</f>
        <v>70875</v>
      </c>
    </row>
    <row r="6" spans="2:8" ht="15">
      <c r="B6" t="s">
        <v>411</v>
      </c>
      <c r="D6" s="35"/>
      <c r="E6" s="35">
        <f>+D8</f>
        <v>2916.6666666666665</v>
      </c>
      <c r="F6" s="35">
        <f>+E8</f>
        <v>4083.333333333333</v>
      </c>
      <c r="G6" s="35">
        <f>+F8</f>
        <v>5643.75</v>
      </c>
      <c r="H6" s="35">
        <f>+G8</f>
        <v>5906.25</v>
      </c>
    </row>
    <row r="7" spans="2:8" ht="15">
      <c r="B7" t="s">
        <v>9</v>
      </c>
      <c r="C7" s="6"/>
      <c r="D7" s="35">
        <f>+MCL!D27+MCL!M27</f>
        <v>37916.666666666664</v>
      </c>
      <c r="E7" s="35">
        <f>+MCL!E27+MCL!N27-MCL!M27</f>
        <v>50166.66666666667</v>
      </c>
      <c r="F7" s="35">
        <f>+MCL!F27+MCL!O27-MCL!N27</f>
        <v>69285.41666666667</v>
      </c>
      <c r="G7" s="35">
        <f>+MCL!G27+MCL!P27-MCL!O27</f>
        <v>71137.5</v>
      </c>
      <c r="H7" s="35">
        <f>+MCL!H27+MCL!Q27-MCL!P27</f>
        <v>70875</v>
      </c>
    </row>
    <row r="8" spans="2:8" ht="15">
      <c r="B8" t="s">
        <v>412</v>
      </c>
      <c r="C8" s="6"/>
      <c r="D8" s="35">
        <f>+MCL!M27</f>
        <v>2916.6666666666665</v>
      </c>
      <c r="E8" s="35">
        <f>+MCL!N27</f>
        <v>4083.333333333333</v>
      </c>
      <c r="F8" s="35">
        <f>+MCL!O27</f>
        <v>5643.75</v>
      </c>
      <c r="G8" s="35">
        <f>+MCL!P27</f>
        <v>5906.25</v>
      </c>
      <c r="H8" s="35">
        <f>+MCL!Q27</f>
        <v>5906.25</v>
      </c>
    </row>
    <row r="9" spans="3:8" ht="15">
      <c r="C9" s="6"/>
      <c r="D9" s="35"/>
      <c r="E9" s="35"/>
      <c r="F9" s="35"/>
      <c r="G9" s="35"/>
      <c r="H9" s="35"/>
    </row>
    <row r="10" spans="2:8" ht="15">
      <c r="B10" t="s">
        <v>384</v>
      </c>
      <c r="C10" s="6"/>
      <c r="D10" s="35">
        <f>+MCL!D74</f>
        <v>3000</v>
      </c>
      <c r="E10" s="35">
        <f>+MCL!E74</f>
        <v>3000</v>
      </c>
      <c r="F10" s="35">
        <f>+MCL!F74</f>
        <v>3000</v>
      </c>
      <c r="G10" s="35">
        <f>+MCL!G74</f>
        <v>3000</v>
      </c>
      <c r="H10" s="35">
        <f>+MCL!H74</f>
        <v>3000</v>
      </c>
    </row>
    <row r="11" spans="4:8" ht="15">
      <c r="D11" s="26"/>
      <c r="E11" s="26"/>
      <c r="F11" s="26"/>
      <c r="G11" s="26"/>
      <c r="H11" s="26"/>
    </row>
    <row r="12" spans="2:8" ht="15">
      <c r="B12" s="6" t="s">
        <v>323</v>
      </c>
      <c r="C12" s="6"/>
      <c r="D12" s="35">
        <f>+D3-D5-D10</f>
        <v>62000</v>
      </c>
      <c r="E12" s="35">
        <f>+E3-E5-E10</f>
        <v>88000</v>
      </c>
      <c r="F12" s="35">
        <f>+F3-F5-F10</f>
        <v>122775</v>
      </c>
      <c r="G12" s="35">
        <f>+G3-G5-G10</f>
        <v>128625</v>
      </c>
      <c r="H12" s="35">
        <f>+H3-H5-H10</f>
        <v>128625</v>
      </c>
    </row>
    <row r="13" spans="2:8" ht="15">
      <c r="B13" t="s">
        <v>413</v>
      </c>
      <c r="D13" s="130">
        <f>+D12/D3</f>
        <v>0.62</v>
      </c>
      <c r="E13" s="130">
        <f>+E12/E3</f>
        <v>0.6285714285714286</v>
      </c>
      <c r="F13" s="130">
        <f>+F12/F3</f>
        <v>0.6344961240310077</v>
      </c>
      <c r="G13" s="130">
        <f>+G12/G3</f>
        <v>0.6351851851851852</v>
      </c>
      <c r="H13" s="130">
        <f>+H12/H3</f>
        <v>0.6351851851851852</v>
      </c>
    </row>
    <row r="15" spans="2:8" ht="15">
      <c r="B15" s="6" t="s">
        <v>225</v>
      </c>
      <c r="C15" s="6"/>
      <c r="D15" s="35">
        <f>SUM(D16:D36)</f>
        <v>26100</v>
      </c>
      <c r="E15" s="35">
        <f>SUM(E16:E36)</f>
        <v>26100</v>
      </c>
      <c r="F15" s="35">
        <f>SUM(F16:F36)</f>
        <v>26100</v>
      </c>
      <c r="G15" s="35">
        <f>SUM(G16:G36)</f>
        <v>26100</v>
      </c>
      <c r="H15" s="35">
        <f>SUM(H16:H36)</f>
        <v>26100</v>
      </c>
    </row>
    <row r="16" spans="2:8" ht="15">
      <c r="B16" t="str">
        <f>+Input!C99</f>
        <v>spese utenze</v>
      </c>
      <c r="D16" s="26">
        <f>+Input!F99</f>
        <v>3000</v>
      </c>
      <c r="E16" s="26">
        <f>+Input!G99</f>
        <v>3000</v>
      </c>
      <c r="F16" s="26">
        <f>+Input!H99</f>
        <v>3000</v>
      </c>
      <c r="G16" s="26">
        <f>+Input!I99</f>
        <v>3000</v>
      </c>
      <c r="H16" s="26">
        <f>+Input!J99</f>
        <v>3000</v>
      </c>
    </row>
    <row r="17" spans="2:8" ht="15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0</v>
      </c>
      <c r="E18" s="26">
        <f>+Input!G101</f>
        <v>0</v>
      </c>
      <c r="F18" s="26">
        <f>+Input!H101</f>
        <v>0</v>
      </c>
      <c r="G18" s="26">
        <f>+Input!I101</f>
        <v>0</v>
      </c>
      <c r="H18" s="26">
        <f>+Input!J101</f>
        <v>0</v>
      </c>
    </row>
    <row r="19" spans="2:8" ht="15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600</v>
      </c>
      <c r="E22" s="26">
        <f>+Input!G105</f>
        <v>600</v>
      </c>
      <c r="F22" s="26">
        <f>+Input!H105</f>
        <v>600</v>
      </c>
      <c r="G22" s="26">
        <f>+Input!I105</f>
        <v>600</v>
      </c>
      <c r="H22" s="26">
        <f>+Input!J105</f>
        <v>600</v>
      </c>
    </row>
    <row r="23" spans="2:8" ht="15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18000</v>
      </c>
      <c r="E24" s="26">
        <f>+Input!G107</f>
        <v>18000</v>
      </c>
      <c r="F24" s="26">
        <f>+Input!H107</f>
        <v>18000</v>
      </c>
      <c r="G24" s="26">
        <f>+Input!I107</f>
        <v>18000</v>
      </c>
      <c r="H24" s="26">
        <f>+Input!J107</f>
        <v>18000</v>
      </c>
    </row>
    <row r="25" spans="2:8" ht="15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1000</v>
      </c>
      <c r="E26" s="26">
        <f>+Input!G109</f>
        <v>1000</v>
      </c>
      <c r="F26" s="26">
        <f>+Input!H109</f>
        <v>1000</v>
      </c>
      <c r="G26" s="26">
        <f>+Input!I109</f>
        <v>1000</v>
      </c>
      <c r="H26" s="26">
        <f>+Input!J109</f>
        <v>1000</v>
      </c>
    </row>
    <row r="27" spans="2:8" ht="15">
      <c r="B27" t="str">
        <f>+Input!C110</f>
        <v>Premi assicurativi</v>
      </c>
      <c r="D27" s="26">
        <f>+Input!F110</f>
        <v>500</v>
      </c>
      <c r="E27" s="26">
        <f>+Input!G110</f>
        <v>500</v>
      </c>
      <c r="F27" s="26">
        <f>+Input!H110</f>
        <v>500</v>
      </c>
      <c r="G27" s="26">
        <f>+Input!I110</f>
        <v>500</v>
      </c>
      <c r="H27" s="26">
        <f>+Input!J110</f>
        <v>500</v>
      </c>
    </row>
    <row r="28" spans="2:8" ht="15">
      <c r="B28" t="str">
        <f>+Input!C111</f>
        <v>Costo annuale fidejussione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Royalties Franchising</v>
      </c>
      <c r="D29" s="26">
        <f>+Input!F112</f>
        <v>3000</v>
      </c>
      <c r="E29" s="26">
        <f>+Input!G112</f>
        <v>3000</v>
      </c>
      <c r="F29" s="26">
        <f>+Input!H112</f>
        <v>3000</v>
      </c>
      <c r="G29" s="26">
        <f>+Input!I112</f>
        <v>3000</v>
      </c>
      <c r="H29" s="26">
        <f>+Input!J112</f>
        <v>3000</v>
      </c>
    </row>
    <row r="30" spans="2:8" ht="15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325</v>
      </c>
      <c r="C38" s="6"/>
      <c r="D38" s="35">
        <f>SUM(D39:D41)</f>
        <v>21490.685714285715</v>
      </c>
      <c r="E38" s="35">
        <f>SUM(E39:E41)</f>
        <v>21490.685714285715</v>
      </c>
      <c r="F38" s="35">
        <f>SUM(F39:F41)</f>
        <v>21490.685714285715</v>
      </c>
      <c r="G38" s="35">
        <f>SUM(G39:G41)</f>
        <v>21490.685714285715</v>
      </c>
      <c r="H38" s="35">
        <f>SUM(H39:H41)</f>
        <v>21490.685714285715</v>
      </c>
    </row>
    <row r="39" spans="2:8" ht="15">
      <c r="B39" t="s">
        <v>51</v>
      </c>
      <c r="D39" s="26">
        <f>+Inve!D57</f>
        <v>20776.4</v>
      </c>
      <c r="E39" s="26">
        <f>+Inve!E57</f>
        <v>20776.4</v>
      </c>
      <c r="F39" s="26">
        <f>+Inve!F57</f>
        <v>20776.4</v>
      </c>
      <c r="G39" s="26">
        <f>+Inve!G57</f>
        <v>20776.4</v>
      </c>
      <c r="H39" s="26">
        <f>+Inve!H57</f>
        <v>20776.4</v>
      </c>
    </row>
    <row r="40" spans="2:8" ht="15">
      <c r="B40" t="s">
        <v>52</v>
      </c>
      <c r="D40" s="26">
        <f>+Inve!D58</f>
        <v>0</v>
      </c>
      <c r="E40" s="26">
        <f>+Inve!E58</f>
        <v>0</v>
      </c>
      <c r="F40" s="26">
        <f>+Inve!F58</f>
        <v>0</v>
      </c>
      <c r="G40" s="26">
        <f>+Inve!G58</f>
        <v>0</v>
      </c>
      <c r="H40" s="26">
        <f>+Inve!H58</f>
        <v>0</v>
      </c>
    </row>
    <row r="41" spans="2:8" ht="15">
      <c r="B41" t="s">
        <v>419</v>
      </c>
      <c r="D41" s="26">
        <f>+Inve!D73</f>
        <v>714.2857142857143</v>
      </c>
      <c r="E41" s="26">
        <f>+Inve!E73</f>
        <v>714.2857142857143</v>
      </c>
      <c r="F41" s="26">
        <f>+Inve!F73</f>
        <v>714.2857142857143</v>
      </c>
      <c r="G41" s="26">
        <f>+Inve!G73</f>
        <v>714.2857142857143</v>
      </c>
      <c r="H41" s="26">
        <f>+Inve!H73</f>
        <v>714.2857142857143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71000</v>
      </c>
      <c r="E43" s="35">
        <f>+Personale!E8</f>
        <v>74550</v>
      </c>
      <c r="F43" s="35">
        <f>+Personale!F8</f>
        <v>74550</v>
      </c>
      <c r="G43" s="35">
        <f>+Personale!G8</f>
        <v>74550</v>
      </c>
      <c r="H43" s="35">
        <f>+Personale!H8</f>
        <v>74550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324</v>
      </c>
      <c r="C45" s="6"/>
      <c r="D45" s="35">
        <f>+D12-D15-D38-D43</f>
        <v>-56590.68571428572</v>
      </c>
      <c r="E45" s="35">
        <f>+E12-E15-E38-E43</f>
        <v>-34140.68571428572</v>
      </c>
      <c r="F45" s="35">
        <f>+F12-F15-F38-F43</f>
        <v>634.3142857142811</v>
      </c>
      <c r="G45" s="35">
        <f>+G12-G15-G38-G43</f>
        <v>6484.314285714281</v>
      </c>
      <c r="H45" s="35">
        <f>+H12-H15-H38-H43</f>
        <v>6484.314285714281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339</v>
      </c>
      <c r="C47" s="6"/>
      <c r="D47" s="35">
        <f>-D48+D49</f>
        <v>-3294.3951388888877</v>
      </c>
      <c r="E47" s="35">
        <f>-E48+E49</f>
        <v>-2365.024906894841</v>
      </c>
      <c r="F47" s="35">
        <f>-F48+F49</f>
        <v>-2960.6677891600357</v>
      </c>
      <c r="G47" s="35">
        <f>-G48+G49</f>
        <v>-1841.9613717253283</v>
      </c>
      <c r="H47" s="35">
        <f>-H48+H49</f>
        <v>-1017.2842391416586</v>
      </c>
    </row>
    <row r="48" spans="2:8" ht="15">
      <c r="B48" t="s">
        <v>129</v>
      </c>
      <c r="D48" s="26">
        <f>+finanziamento!E28+Banca!C9+'Mutuo invitalia'!E28</f>
        <v>3294.3951388888877</v>
      </c>
      <c r="E48" s="26">
        <f>+finanziamento!F28+Banca!D9+'Mutuo invitalia'!F28</f>
        <v>2365.024906894841</v>
      </c>
      <c r="F48" s="26">
        <f>+finanziamento!G28+Banca!E9+'Mutuo invitalia'!G28</f>
        <v>2960.6677891600357</v>
      </c>
      <c r="G48" s="26">
        <f>+finanziamento!H28+Banca!F9+'Mutuo invitalia'!H28</f>
        <v>1841.9613717253283</v>
      </c>
      <c r="H48" s="26">
        <f>+finanziamento!I28+Banca!G9+'Mutuo invitalia'!I28</f>
        <v>1017.2842391416586</v>
      </c>
    </row>
    <row r="49" spans="2:8" ht="15">
      <c r="B49" t="s">
        <v>338</v>
      </c>
      <c r="D49" s="26">
        <f>+Banca!C10</f>
        <v>0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247</v>
      </c>
      <c r="C51" s="6"/>
      <c r="D51" s="35">
        <f>+D45+D47</f>
        <v>-59885.08085317461</v>
      </c>
      <c r="E51" s="35">
        <f>+E45+E47</f>
        <v>-36505.71062118056</v>
      </c>
      <c r="F51" s="35">
        <f>+F45+F47</f>
        <v>-2326.3535034457545</v>
      </c>
      <c r="G51" s="35">
        <f>+G45+G47</f>
        <v>4642.352913988952</v>
      </c>
      <c r="H51" s="35">
        <f>+H45+H47</f>
        <v>5467.030046572622</v>
      </c>
    </row>
    <row r="53" spans="2:8" ht="15">
      <c r="B53" t="s">
        <v>290</v>
      </c>
      <c r="D53" s="35">
        <f>+Irap!E16</f>
        <v>433.48184672619027</v>
      </c>
      <c r="E53" s="35">
        <f>+Irap!F16</f>
        <v>1483.7272857739583</v>
      </c>
      <c r="F53" s="35">
        <f>+Irap!G16</f>
        <v>2816.7222133656155</v>
      </c>
      <c r="G53" s="35">
        <f>+Irap!H16</f>
        <v>3088.5017636455696</v>
      </c>
      <c r="H53" s="35">
        <f>+Irap!I16</f>
        <v>3120.664171816332</v>
      </c>
    </row>
    <row r="55" spans="2:8" ht="15">
      <c r="B55" s="6" t="s">
        <v>296</v>
      </c>
      <c r="D55" s="35">
        <f>+D51-D53</f>
        <v>-60318.562699900795</v>
      </c>
      <c r="E55" s="35">
        <f>+E51-E53</f>
        <v>-37989.43790695452</v>
      </c>
      <c r="F55" s="35">
        <f>+F51-F53</f>
        <v>-5143.0757168113705</v>
      </c>
      <c r="G55" s="35">
        <f>+G51-G53</f>
        <v>1553.8511503433829</v>
      </c>
      <c r="H55" s="35">
        <f>+H51-H53</f>
        <v>2346.3658747562904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354</v>
      </c>
      <c r="C60" s="12"/>
      <c r="D60" s="17"/>
      <c r="E60" s="17"/>
      <c r="F60" s="17"/>
      <c r="G60" s="17"/>
      <c r="H60" s="15"/>
    </row>
    <row r="61" spans="2:8" ht="15">
      <c r="B61" s="16" t="s">
        <v>353</v>
      </c>
      <c r="C61" s="121">
        <f>+Input!D27</f>
        <v>1</v>
      </c>
      <c r="D61" s="34">
        <f>+'Irpef socio'!G27</f>
        <v>0</v>
      </c>
      <c r="E61" s="34">
        <f>+'Irpef socio'!I27</f>
        <v>0</v>
      </c>
      <c r="F61" s="34">
        <f>+'Irpef socio'!K27</f>
        <v>0</v>
      </c>
      <c r="G61" s="34">
        <f>+'Irpef socio'!M27</f>
        <v>1067.741170217459</v>
      </c>
      <c r="H61" s="122">
        <f>+'Irpef socio'!O27</f>
        <v>1257.4169107117032</v>
      </c>
    </row>
    <row r="62" spans="2:8" ht="15">
      <c r="B62" s="16" t="s">
        <v>364</v>
      </c>
      <c r="C62" s="121">
        <f>+Input!D27</f>
        <v>1</v>
      </c>
      <c r="D62" s="34">
        <f>+'Inps socio'!T23</f>
        <v>3192.89</v>
      </c>
      <c r="E62" s="34">
        <f>+'Inps socio'!U23</f>
        <v>3192.89</v>
      </c>
      <c r="F62" s="34">
        <f>+'Inps socio'!V23</f>
        <v>3192.89</v>
      </c>
      <c r="G62" s="34">
        <f>+'Inps socio'!W23</f>
        <v>3192.89</v>
      </c>
      <c r="H62" s="122">
        <f>+'Inps socio'!X23</f>
        <v>3192.89</v>
      </c>
    </row>
    <row r="63" spans="2:8" ht="15">
      <c r="B63" s="123" t="s">
        <v>352</v>
      </c>
      <c r="C63" s="121">
        <f>+Input!D27</f>
        <v>1</v>
      </c>
      <c r="D63" s="34">
        <f>+(D55*$C$63)-D61-D62</f>
        <v>-63511.452699900794</v>
      </c>
      <c r="E63" s="34">
        <f>+(E55*$C$63)-E61-E62</f>
        <v>-41182.32790695452</v>
      </c>
      <c r="F63" s="34">
        <f>+(F55*$C$63)-F61-F62</f>
        <v>-8335.96571681137</v>
      </c>
      <c r="G63" s="34">
        <f>+(G55*$C$63)-G61-G62</f>
        <v>-2706.780019874076</v>
      </c>
      <c r="H63" s="122">
        <f>+(H55*$C$63)-H61-H62</f>
        <v>-2103.9410359554126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2"/>
  <sheetViews>
    <sheetView showGridLines="0" zoomScalePageLayoutView="0" workbookViewId="0" topLeftCell="A11">
      <selection activeCell="B42" sqref="B42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346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299</v>
      </c>
    </row>
    <row r="3" spans="2:7" ht="15">
      <c r="B3" s="6" t="s">
        <v>300</v>
      </c>
      <c r="C3" s="101">
        <f>+'CE'!D45</f>
        <v>-56590.68571428572</v>
      </c>
      <c r="D3" s="101">
        <f>+'CE'!E45</f>
        <v>-34140.68571428572</v>
      </c>
      <c r="E3" s="101">
        <f>+'CE'!F45</f>
        <v>634.3142857142811</v>
      </c>
      <c r="F3" s="101">
        <f>+'CE'!G45</f>
        <v>6484.314285714281</v>
      </c>
      <c r="G3" s="101">
        <f>+'CE'!H45</f>
        <v>6484.314285714281</v>
      </c>
    </row>
    <row r="4" spans="2:7" ht="15">
      <c r="B4" t="s">
        <v>301</v>
      </c>
      <c r="C4" s="25">
        <f>+SP!C36</f>
        <v>4000</v>
      </c>
      <c r="D4" s="25">
        <f>+SP!D36-SP!C36</f>
        <v>4200</v>
      </c>
      <c r="E4" s="25">
        <f>+SP!E36-SP!D36</f>
        <v>4200</v>
      </c>
      <c r="F4" s="25">
        <f>+SP!F36-SP!E36</f>
        <v>4200</v>
      </c>
      <c r="G4" s="25">
        <f>+SP!G36-SP!F36</f>
        <v>4200</v>
      </c>
    </row>
    <row r="5" spans="2:7" ht="15">
      <c r="B5" t="s">
        <v>302</v>
      </c>
      <c r="C5" s="25">
        <f>+'CE'!D38</f>
        <v>21490.685714285715</v>
      </c>
      <c r="D5" s="25">
        <f>+'CE'!E38</f>
        <v>21490.685714285715</v>
      </c>
      <c r="E5" s="25">
        <f>+'CE'!F38</f>
        <v>21490.685714285715</v>
      </c>
      <c r="F5" s="25">
        <f>+'CE'!G38</f>
        <v>21490.685714285715</v>
      </c>
      <c r="G5" s="25">
        <f>+'CE'!H38</f>
        <v>21490.685714285715</v>
      </c>
    </row>
    <row r="6" spans="2:7" ht="15">
      <c r="B6" t="s">
        <v>303</v>
      </c>
      <c r="C6" s="101">
        <f>+C3+C4+C5</f>
        <v>-31100.000000000004</v>
      </c>
      <c r="D6" s="101">
        <f>+D3+D4+D5</f>
        <v>-8450.000000000004</v>
      </c>
      <c r="E6" s="101">
        <f>+E3+E4+E5</f>
        <v>26324.999999999996</v>
      </c>
      <c r="F6" s="101">
        <f>+F3+F4+F5</f>
        <v>32174.999999999996</v>
      </c>
      <c r="G6" s="101">
        <f>+G3+G4+G5</f>
        <v>32174.999999999996</v>
      </c>
    </row>
    <row r="8" spans="2:7" ht="15">
      <c r="B8" s="6" t="s">
        <v>304</v>
      </c>
      <c r="C8" s="101">
        <f>SUM(C9:C13)</f>
        <v>-10713.640931051588</v>
      </c>
      <c r="D8" s="101">
        <f>SUM(D9:D13)</f>
        <v>13121.131925654914</v>
      </c>
      <c r="E8" s="101">
        <f>SUM(E9:E13)</f>
        <v>3306.534094258327</v>
      </c>
      <c r="F8" s="101">
        <f>SUM(F9:F13)</f>
        <v>321.11982805772914</v>
      </c>
      <c r="G8" s="101">
        <f>SUM(G9:G13)</f>
        <v>10.28740817076141</v>
      </c>
    </row>
    <row r="9" spans="2:7" ht="15">
      <c r="B9" t="s">
        <v>305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306</v>
      </c>
      <c r="C10" s="25">
        <f>-SP!C8+SP!C33</f>
        <v>-12053.720000000001</v>
      </c>
      <c r="D10" s="25">
        <f>+SP!C8-SP!D8+SP!D33-SP!C33</f>
        <v>12435.826666666668</v>
      </c>
      <c r="E10" s="25">
        <f>+SP!D8-SP!E8+SP!E33-SP!D33</f>
        <v>1606.1485416666692</v>
      </c>
      <c r="F10" s="25">
        <f>+SP!E8-SP!F8+SP!F33-SP!E33</f>
        <v>125.08854166666424</v>
      </c>
      <c r="G10" s="25">
        <f>+SP!F8-SP!G8+SP!G33-SP!F33</f>
        <v>4.59375</v>
      </c>
    </row>
    <row r="11" spans="2:7" ht="15">
      <c r="B11" t="s">
        <v>307</v>
      </c>
      <c r="C11" s="25">
        <f>-SP!C11</f>
        <v>-2916.6666666666665</v>
      </c>
      <c r="D11" s="25">
        <f>+SP!C11-SP!D11</f>
        <v>-1166.6666666666665</v>
      </c>
      <c r="E11" s="25">
        <f>+SP!D11-SP!E11</f>
        <v>-1560.416666666667</v>
      </c>
      <c r="F11" s="25">
        <f>+SP!E11-SP!F11</f>
        <v>-262.5</v>
      </c>
      <c r="G11" s="25">
        <f>+SP!F11-SP!G11</f>
        <v>0</v>
      </c>
    </row>
    <row r="12" spans="2:7" ht="15">
      <c r="B12" t="s">
        <v>308</v>
      </c>
      <c r="C12" s="25">
        <f>+SP!C30</f>
        <v>3823.2638888888887</v>
      </c>
      <c r="D12" s="25">
        <f>+SP!D30-SP!C30</f>
        <v>1235.208333333334</v>
      </c>
      <c r="E12" s="25">
        <f>+SP!E30-SP!D30</f>
        <v>1927.807291666667</v>
      </c>
      <c r="F12" s="25">
        <f>+SP!F30-SP!E30</f>
        <v>186.7517361111104</v>
      </c>
      <c r="G12" s="25">
        <f>+SP!G30-SP!F30</f>
        <v>-26.46875</v>
      </c>
    </row>
    <row r="13" spans="2:7" ht="15">
      <c r="B13" t="s">
        <v>306</v>
      </c>
      <c r="C13" s="25">
        <f>+SP!C32-SP!C9</f>
        <v>433.48184672619027</v>
      </c>
      <c r="D13" s="25">
        <f>+SP!D32-SP!C32+SP!C9-SP!D9</f>
        <v>616.7635923215778</v>
      </c>
      <c r="E13" s="25">
        <f>+SP!E32-SP!D32+SP!D9-SP!E9</f>
        <v>1332.9949275916576</v>
      </c>
      <c r="F13" s="25">
        <f>+SP!F32-SP!E32+SP!E9-SP!F9</f>
        <v>271.7795502799545</v>
      </c>
      <c r="G13" s="25">
        <f>+SP!G32-SP!F32+SP!F9-SP!G9</f>
        <v>32.16240817076141</v>
      </c>
    </row>
    <row r="14" ht="15">
      <c r="A14" s="105"/>
    </row>
    <row r="15" spans="2:7" ht="15">
      <c r="B15" s="6" t="s">
        <v>309</v>
      </c>
      <c r="C15" s="101">
        <f>+C6+C8</f>
        <v>-41813.64093105159</v>
      </c>
      <c r="D15" s="101">
        <f>+D6+D8</f>
        <v>4671.13192565491</v>
      </c>
      <c r="E15" s="101">
        <f>+E6+E8</f>
        <v>29631.534094258324</v>
      </c>
      <c r="F15" s="101">
        <f>+F6+F8</f>
        <v>32496.119828057726</v>
      </c>
      <c r="G15" s="101">
        <f>+G6+G8</f>
        <v>32185.287408170756</v>
      </c>
    </row>
    <row r="17" spans="2:7" ht="15">
      <c r="B17" s="6" t="s">
        <v>310</v>
      </c>
      <c r="C17" s="101">
        <f>SUM(C18:C20)</f>
        <v>-108882</v>
      </c>
      <c r="D17" s="101">
        <f>SUM(D18:D20)</f>
        <v>0</v>
      </c>
      <c r="E17" s="101">
        <f>SUM(E18:E20)</f>
        <v>0</v>
      </c>
      <c r="F17" s="101">
        <f>SUM(F18:F20)</f>
        <v>0</v>
      </c>
      <c r="G17" s="101">
        <f>SUM(G18:G20)</f>
        <v>0</v>
      </c>
    </row>
    <row r="18" spans="2:7" ht="15">
      <c r="B18" t="s">
        <v>311</v>
      </c>
      <c r="C18" s="25">
        <f>-SP!C14</f>
        <v>-103882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312</v>
      </c>
      <c r="C19" s="25">
        <f>-SP!C15</f>
        <v>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429</v>
      </c>
      <c r="C20" s="25">
        <f>-SP!C16</f>
        <v>-5000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2:7" ht="15">
      <c r="B21" s="132" t="s">
        <v>394</v>
      </c>
      <c r="C21" s="101">
        <f>-SP!C21</f>
        <v>0</v>
      </c>
      <c r="D21" s="101">
        <f>+SP!C21-SP!D21</f>
        <v>0</v>
      </c>
      <c r="E21" s="101">
        <f>+SP!D21-SP!E21</f>
        <v>0</v>
      </c>
      <c r="F21" s="101">
        <f>+SP!E21-SP!F21</f>
        <v>0</v>
      </c>
      <c r="G21" s="101">
        <f>+SP!F21-SP!G21</f>
        <v>0</v>
      </c>
    </row>
    <row r="23" spans="2:7" ht="15">
      <c r="B23" s="6" t="s">
        <v>313</v>
      </c>
      <c r="C23" s="101">
        <f>+C15+C17+C21</f>
        <v>-150695.64093105157</v>
      </c>
      <c r="D23" s="101">
        <f>+D15+D17+D21</f>
        <v>4671.13192565491</v>
      </c>
      <c r="E23" s="101">
        <f>+E15+E17+E21</f>
        <v>29631.534094258324</v>
      </c>
      <c r="F23" s="101">
        <f>+F15+F17+F21</f>
        <v>32496.119828057726</v>
      </c>
      <c r="G23" s="101">
        <f>+G15+G17+G21</f>
        <v>32185.287408170756</v>
      </c>
    </row>
    <row r="25" spans="2:7" ht="15">
      <c r="B25" t="s">
        <v>314</v>
      </c>
      <c r="C25" s="101">
        <f>SUM(C26:C30)</f>
        <v>85241.22</v>
      </c>
      <c r="D25" s="101">
        <f>SUM(D26:D30)</f>
        <v>15400</v>
      </c>
      <c r="E25" s="101">
        <f>SUM(E26:E30)</f>
        <v>-9394.449526196593</v>
      </c>
      <c r="F25" s="101">
        <f>SUM(F26:F30)</f>
        <v>-9582.33851672052</v>
      </c>
      <c r="G25" s="101">
        <f>SUM(G26:G30)</f>
        <v>-9773.985287054937</v>
      </c>
    </row>
    <row r="26" spans="2:7" ht="15">
      <c r="B26" t="s">
        <v>315</v>
      </c>
      <c r="C26" s="25">
        <f>+SP!C38</f>
        <v>0</v>
      </c>
      <c r="D26" s="25">
        <f>+SP!D38-SP!C38</f>
        <v>0</v>
      </c>
      <c r="E26" s="25">
        <f>+SP!E38-SP!D38</f>
        <v>0</v>
      </c>
      <c r="F26" s="25">
        <f>+SP!F38-SP!E38</f>
        <v>0</v>
      </c>
      <c r="G26" s="25">
        <f>+SP!G38-SP!F38</f>
        <v>0</v>
      </c>
    </row>
    <row r="27" spans="2:7" ht="15">
      <c r="B27" t="s">
        <v>316</v>
      </c>
      <c r="C27" s="25">
        <f>+SP!C40</f>
        <v>0</v>
      </c>
      <c r="D27" s="25">
        <f>+SP!D40-SP!C40</f>
        <v>0</v>
      </c>
      <c r="E27" s="25">
        <f>+SP!E40-SP!D40</f>
        <v>0</v>
      </c>
      <c r="F27" s="25">
        <f>+SP!F40-SP!E40</f>
        <v>0</v>
      </c>
      <c r="G27" s="25">
        <f>+SP!G40-SP!F40</f>
        <v>0</v>
      </c>
    </row>
    <row r="28" spans="2:7" ht="15">
      <c r="B28" t="s">
        <v>401</v>
      </c>
      <c r="C28" s="25">
        <f>+SP!C37</f>
        <v>69841</v>
      </c>
      <c r="D28" s="25">
        <f>+SP!D37-SP!C37</f>
        <v>0</v>
      </c>
      <c r="E28" s="25">
        <f>+SP!E37-SP!D37</f>
        <v>-9394.449526196593</v>
      </c>
      <c r="F28" s="25">
        <f>+SP!F37-SP!E37</f>
        <v>-9582.33851672052</v>
      </c>
      <c r="G28" s="25">
        <f>+SP!G37-SP!F37</f>
        <v>-9773.985287054937</v>
      </c>
    </row>
    <row r="29" spans="2:7" ht="15">
      <c r="B29" t="s">
        <v>317</v>
      </c>
      <c r="C29" s="25">
        <f>+SP!C31</f>
        <v>0.22000000000116415</v>
      </c>
      <c r="D29" s="25">
        <f>+SP!D31-SP!C31</f>
        <v>0</v>
      </c>
      <c r="E29" s="25">
        <f>+SP!E31-SP!D31</f>
        <v>0</v>
      </c>
      <c r="F29" s="25">
        <f>+SP!F31-SP!E31</f>
        <v>0</v>
      </c>
      <c r="G29" s="25">
        <f>+SP!G31-SP!F31</f>
        <v>0</v>
      </c>
    </row>
    <row r="30" spans="2:7" ht="15">
      <c r="B30" t="s">
        <v>407</v>
      </c>
      <c r="C30" s="25">
        <f>+SP!C39</f>
        <v>15400</v>
      </c>
      <c r="D30" s="25">
        <f>+SP!D39-SP!C39</f>
        <v>15400</v>
      </c>
      <c r="E30" s="25">
        <f>+SP!E39-SP!D39</f>
        <v>0</v>
      </c>
      <c r="F30" s="25">
        <f>+SP!F39-SP!E39</f>
        <v>0</v>
      </c>
      <c r="G30" s="25">
        <f>+SP!G39-SP!F39</f>
        <v>0</v>
      </c>
    </row>
    <row r="32" spans="2:7" ht="15">
      <c r="B32" t="s">
        <v>318</v>
      </c>
      <c r="C32" s="101">
        <f>+'CE'!D47</f>
        <v>-3294.3951388888877</v>
      </c>
      <c r="D32" s="101">
        <f>+'CE'!E47</f>
        <v>-2365.024906894841</v>
      </c>
      <c r="E32" s="101">
        <f>+'CE'!F47</f>
        <v>-2960.6677891600357</v>
      </c>
      <c r="F32" s="101">
        <f>+'CE'!G47</f>
        <v>-1841.9613717253283</v>
      </c>
      <c r="G32" s="101">
        <f>+'CE'!H47</f>
        <v>-1017.2842391416586</v>
      </c>
    </row>
    <row r="33" spans="2:7" ht="15">
      <c r="B33" t="s">
        <v>319</v>
      </c>
      <c r="C33" s="101">
        <f>-'CE'!D53</f>
        <v>-433.48184672619027</v>
      </c>
      <c r="D33" s="101">
        <f>-'CE'!E53</f>
        <v>-1483.7272857739583</v>
      </c>
      <c r="E33" s="101">
        <f>-'CE'!F53</f>
        <v>-2816.7222133656155</v>
      </c>
      <c r="F33" s="101">
        <f>-'CE'!G53</f>
        <v>-3088.5017636455696</v>
      </c>
      <c r="G33" s="101">
        <f>-'CE'!H53</f>
        <v>-3120.664171816332</v>
      </c>
    </row>
    <row r="34" spans="3:7" ht="15">
      <c r="C34" s="101"/>
      <c r="D34" s="101"/>
      <c r="E34" s="101"/>
      <c r="F34" s="101"/>
      <c r="G34" s="101"/>
    </row>
    <row r="36" spans="2:7" ht="15">
      <c r="B36" t="s">
        <v>320</v>
      </c>
      <c r="C36" s="101">
        <f>+SP!C43</f>
        <v>0</v>
      </c>
      <c r="D36" s="101">
        <f>+SP!D43-SP!C43-SP!C44</f>
        <v>0</v>
      </c>
      <c r="E36" s="101">
        <f>+SP!E43-SP!D43-SP!D44</f>
        <v>0</v>
      </c>
      <c r="F36" s="101">
        <f>+SP!F43-SP!E43-SP!E44</f>
        <v>-7.275957614183426E-12</v>
      </c>
      <c r="G36" s="101">
        <f>+SP!G43-SP!F43-SP!F44</f>
        <v>0</v>
      </c>
    </row>
    <row r="38" spans="2:7" ht="15">
      <c r="B38" s="6" t="s">
        <v>321</v>
      </c>
      <c r="C38" s="101">
        <f>+C23+C25+C32+C33+C36</f>
        <v>-69182.29791666665</v>
      </c>
      <c r="D38" s="101">
        <f>+D23+D25+D32+D33+D36</f>
        <v>16222.379732986112</v>
      </c>
      <c r="E38" s="101">
        <f>+E23+E25+E32+E33+E36</f>
        <v>14459.694565536078</v>
      </c>
      <c r="F38" s="101">
        <f>+F23+F25+F32+F33+F36</f>
        <v>17983.318175966302</v>
      </c>
      <c r="G38" s="101">
        <f>+G23+G25+G32+G33+G36</f>
        <v>18273.353710157826</v>
      </c>
    </row>
    <row r="40" spans="2:7" ht="15">
      <c r="B40" t="s">
        <v>322</v>
      </c>
      <c r="C40" s="25">
        <f>+SP!C4-SP!C27</f>
        <v>-69182.29791666666</v>
      </c>
      <c r="D40" s="25">
        <f>-(+SP!D27-SP!C27+SP!C4-SP!D4)</f>
        <v>16222.379732986097</v>
      </c>
      <c r="E40" s="25">
        <f>-(+SP!E27-SP!D27+SP!D4-SP!E4)</f>
        <v>14459.694565536163</v>
      </c>
      <c r="F40" s="25">
        <f>-(+SP!F27-SP!E27+SP!E4-SP!F4)</f>
        <v>17983.318175966153</v>
      </c>
      <c r="G40" s="25">
        <f>-(+SP!G27-SP!F27+SP!F4-SP!G4)</f>
        <v>18273.353710157797</v>
      </c>
    </row>
    <row r="42" spans="3:7" ht="15">
      <c r="C42" s="25"/>
      <c r="D42" s="25"/>
      <c r="E42" s="25"/>
      <c r="F42" s="25"/>
      <c r="G42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57">
      <selection activeCell="D74" sqref="D74:H74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8"/>
      <c r="E2" s="138"/>
      <c r="F2" s="138"/>
      <c r="G2" s="138"/>
      <c r="H2" s="138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Tipologia 1</v>
      </c>
      <c r="D4" s="33">
        <f>+Input!I35*Input!O35</f>
        <v>100000</v>
      </c>
      <c r="E4" s="33">
        <f>+Input!J35*Input!P35</f>
        <v>140000</v>
      </c>
      <c r="F4" s="33">
        <f>+Input!K35*Input!Q35</f>
        <v>193500</v>
      </c>
      <c r="G4" s="33">
        <f>+Input!L35*Input!R35</f>
        <v>202500</v>
      </c>
      <c r="H4" s="33">
        <f>+Input!M35*Input!S35</f>
        <v>202500</v>
      </c>
      <c r="I4" s="15"/>
    </row>
    <row r="5" spans="2:9" ht="15">
      <c r="B5" s="16"/>
      <c r="C5" s="17" t="str">
        <f>+Input!C36</f>
        <v>Tipologia 2</v>
      </c>
      <c r="D5" s="33">
        <f>+Input!I36*Input!O36</f>
        <v>0</v>
      </c>
      <c r="E5" s="33">
        <f>+Input!J36*Input!P36</f>
        <v>0</v>
      </c>
      <c r="F5" s="33">
        <f>+Input!K36*Input!Q36</f>
        <v>0</v>
      </c>
      <c r="G5" s="33">
        <f>+Input!L36*Input!R36</f>
        <v>0</v>
      </c>
      <c r="H5" s="33">
        <f>+Input!M36*Input!S36</f>
        <v>0</v>
      </c>
      <c r="I5" s="15"/>
    </row>
    <row r="6" spans="2:9" ht="15">
      <c r="B6" s="16"/>
      <c r="C6" s="17" t="str">
        <f>+Input!C37</f>
        <v>Tipologia 3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 t="str">
        <f>+Input!C38</f>
        <v>Tipologia 4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 t="str">
        <f>+Input!C39</f>
        <v>Tipologia 5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 t="str">
        <f>+Input!C40</f>
        <v>Tipologia 6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 t="str">
        <f>+Input!C41</f>
        <v>Tipologia 7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 t="str">
        <f>+Input!C42</f>
        <v>Tipologia 8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 t="str">
        <f>+Input!C43</f>
        <v>Tipologia 9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15</v>
      </c>
      <c r="D13" s="34">
        <f>SUM(D4:D12)</f>
        <v>100000</v>
      </c>
      <c r="E13" s="34">
        <f>SUM(E4:E12)</f>
        <v>140000</v>
      </c>
      <c r="F13" s="34">
        <f>SUM(F4:F12)</f>
        <v>193500</v>
      </c>
      <c r="G13" s="34">
        <f>SUM(G4:G12)</f>
        <v>202500</v>
      </c>
      <c r="H13" s="34">
        <f>SUM(H4:H12)</f>
        <v>202500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21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xTipologia 1</v>
      </c>
      <c r="D18" s="33">
        <f>+D4*(1-(Input!$E35))</f>
        <v>35000</v>
      </c>
      <c r="E18" s="33">
        <f>+E4*(1-(Input!$E35))</f>
        <v>49000</v>
      </c>
      <c r="F18" s="33">
        <f>+F4*(1-(Input!$E35))</f>
        <v>67725</v>
      </c>
      <c r="G18" s="33">
        <f>+G4*(1-(Input!$E35))</f>
        <v>70875</v>
      </c>
      <c r="H18" s="33">
        <f>+H4*(1-(Input!$E35))</f>
        <v>70875</v>
      </c>
      <c r="I18" s="15"/>
      <c r="K18" s="31"/>
      <c r="L18" s="17" t="str">
        <f aca="true" t="shared" si="0" ref="L18:L26">+C18</f>
        <v>Mp xTipologia 1</v>
      </c>
      <c r="M18" s="29">
        <f>+D18*(Input!$F48/360)</f>
        <v>2916.6666666666665</v>
      </c>
      <c r="N18" s="29">
        <f>+E18*(Input!$F48/360)</f>
        <v>4083.333333333333</v>
      </c>
      <c r="O18" s="29">
        <f>+F18*(Input!$F48/360)</f>
        <v>5643.75</v>
      </c>
      <c r="P18" s="29">
        <f>+G18*(Input!$F48/360)</f>
        <v>5906.25</v>
      </c>
      <c r="Q18" s="29">
        <f>+H18*(Input!$F48/360)</f>
        <v>5906.25</v>
      </c>
      <c r="R18" s="32"/>
      <c r="T18" s="31"/>
      <c r="U18" s="17" t="str">
        <f aca="true" t="shared" si="1" ref="U18:U26">+L18</f>
        <v>Mp xTipologia 1</v>
      </c>
      <c r="V18" s="29">
        <f>+D18+M18</f>
        <v>37916.666666666664</v>
      </c>
      <c r="W18" s="29">
        <f>+E18+N18-M18</f>
        <v>50166.66666666667</v>
      </c>
      <c r="X18" s="29">
        <f aca="true" t="shared" si="2" ref="X18:Z26">+F18+O18-N18</f>
        <v>69285.41666666667</v>
      </c>
      <c r="Y18" s="29">
        <f t="shared" si="2"/>
        <v>71137.5</v>
      </c>
      <c r="Z18" s="29">
        <f t="shared" si="2"/>
        <v>70875</v>
      </c>
      <c r="AA18" s="32"/>
    </row>
    <row r="19" spans="2:27" ht="15">
      <c r="B19" s="16"/>
      <c r="C19" s="17" t="str">
        <f>+Input!C49</f>
        <v>Mp xTipologia 2</v>
      </c>
      <c r="D19" s="33">
        <f>+D5*(1-(Input!$E36))</f>
        <v>0</v>
      </c>
      <c r="E19" s="33">
        <f>+E5*(1-(Input!$E36))</f>
        <v>0</v>
      </c>
      <c r="F19" s="33">
        <f>+F5*(1-(Input!$E36))</f>
        <v>0</v>
      </c>
      <c r="G19" s="33">
        <f>+G5*(1-(Input!$E36))</f>
        <v>0</v>
      </c>
      <c r="H19" s="33">
        <f>+H5*(1-(Input!$E36))</f>
        <v>0</v>
      </c>
      <c r="I19" s="15"/>
      <c r="K19" s="31"/>
      <c r="L19" s="17" t="str">
        <f t="shared" si="0"/>
        <v>Mp xTipologia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xTipologia 2</v>
      </c>
      <c r="V19" s="29">
        <f aca="true" t="shared" si="3" ref="V19:V26">+D19+M19</f>
        <v>0</v>
      </c>
      <c r="W19" s="29">
        <f aca="true" t="shared" si="4" ref="W19:W26">+E19+N19-M19</f>
        <v>0</v>
      </c>
      <c r="X19" s="29">
        <f t="shared" si="2"/>
        <v>0</v>
      </c>
      <c r="Y19" s="29">
        <f t="shared" si="2"/>
        <v>0</v>
      </c>
      <c r="Z19" s="29">
        <f t="shared" si="2"/>
        <v>0</v>
      </c>
      <c r="AA19" s="32"/>
    </row>
    <row r="20" spans="2:27" ht="15">
      <c r="B20" s="16"/>
      <c r="C20" s="17" t="str">
        <f>+Input!C50</f>
        <v>Mp xTipologia 3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xTipologia 3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xTipologia 3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xTipologia 4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xTipologia 4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xTipologia 4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xTipologia 5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xTipologia 5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xTipologia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xTipologia 6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xTipologia 6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xTipologia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xTipologia 7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xTipologia 7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xTipologia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xTipologia 8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xTipologia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xTipologia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xTipologia 9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xTipologia 9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xTipologia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15</v>
      </c>
      <c r="D27" s="34">
        <f>SUM(D18:D26)</f>
        <v>35000</v>
      </c>
      <c r="E27" s="34">
        <f>SUM(E18:E26)</f>
        <v>49000</v>
      </c>
      <c r="F27" s="34">
        <f>SUM(F18:F26)</f>
        <v>67725</v>
      </c>
      <c r="G27" s="34">
        <f>SUM(G18:G26)</f>
        <v>70875</v>
      </c>
      <c r="H27" s="34">
        <f>SUM(H18:H26)</f>
        <v>70875</v>
      </c>
      <c r="I27" s="15"/>
      <c r="K27" s="16"/>
      <c r="L27" s="12" t="s">
        <v>15</v>
      </c>
      <c r="M27" s="34">
        <f>SUM(M18:M26)</f>
        <v>2916.6666666666665</v>
      </c>
      <c r="N27" s="34">
        <f>SUM(N18:N26)</f>
        <v>4083.333333333333</v>
      </c>
      <c r="O27" s="34">
        <f>SUM(O18:O26)</f>
        <v>5643.75</v>
      </c>
      <c r="P27" s="34">
        <f>SUM(P18:P26)</f>
        <v>5906.25</v>
      </c>
      <c r="Q27" s="34">
        <f>SUM(Q18:Q26)</f>
        <v>5906.25</v>
      </c>
      <c r="R27" s="32"/>
      <c r="T27" s="16"/>
      <c r="U27" s="12" t="s">
        <v>15</v>
      </c>
      <c r="V27" s="34">
        <f>SUM(V18:V26)</f>
        <v>37916.666666666664</v>
      </c>
      <c r="W27" s="34">
        <f>SUM(W18:W26)</f>
        <v>50166.66666666667</v>
      </c>
      <c r="X27" s="34">
        <f>SUM(X18:X26)</f>
        <v>69285.41666666667</v>
      </c>
      <c r="Y27" s="34">
        <f>SUM(Y18:Y26)</f>
        <v>71137.5</v>
      </c>
      <c r="Z27" s="34">
        <f>SUM(Z18:Z26)</f>
        <v>70875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18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367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xTipologia 1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xTipologia 1</v>
      </c>
      <c r="M32" s="33">
        <f>+Input!$F35*D4</f>
        <v>21000</v>
      </c>
      <c r="N32" s="33">
        <f>+Input!$F35*E4</f>
        <v>29400</v>
      </c>
      <c r="O32" s="33">
        <f>+Input!$F35*F4</f>
        <v>40635</v>
      </c>
      <c r="P32" s="33">
        <f>+Input!$F35*G4</f>
        <v>42525</v>
      </c>
      <c r="Q32" s="33">
        <f>+Input!$F35*H4</f>
        <v>42525</v>
      </c>
      <c r="R32" s="15"/>
      <c r="T32" s="16"/>
      <c r="U32" s="17" t="str">
        <f>+U18</f>
        <v>Mp xTipologia 1</v>
      </c>
      <c r="V32" s="33">
        <f>+M32/12</f>
        <v>1750</v>
      </c>
      <c r="W32" s="33">
        <f aca="true" t="shared" si="5" ref="W32:Z40">+N32/12</f>
        <v>2450</v>
      </c>
      <c r="X32" s="33">
        <f t="shared" si="5"/>
        <v>3386.25</v>
      </c>
      <c r="Y32" s="33">
        <f t="shared" si="5"/>
        <v>3543.75</v>
      </c>
      <c r="Z32" s="33">
        <f t="shared" si="5"/>
        <v>3543.75</v>
      </c>
      <c r="AA32" s="15"/>
    </row>
    <row r="33" spans="2:27" ht="15">
      <c r="B33" s="16"/>
      <c r="C33" s="17" t="str">
        <f aca="true" t="shared" si="6" ref="C33:C40">+C19</f>
        <v>Mp xTipologia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xTipologia 2</v>
      </c>
      <c r="M33" s="33">
        <f>+Input!$F36*D5</f>
        <v>0</v>
      </c>
      <c r="N33" s="33">
        <f>+Input!$F36*E5</f>
        <v>0</v>
      </c>
      <c r="O33" s="33">
        <f>+Input!$F36*F5</f>
        <v>0</v>
      </c>
      <c r="P33" s="33">
        <f>+Input!$F36*G5</f>
        <v>0</v>
      </c>
      <c r="Q33" s="33">
        <f>+Input!$F36*H5</f>
        <v>0</v>
      </c>
      <c r="R33" s="15"/>
      <c r="T33" s="16"/>
      <c r="U33" s="17" t="str">
        <f aca="true" t="shared" si="8" ref="U33:U40">+U19</f>
        <v>Mp xTipologia 2</v>
      </c>
      <c r="V33" s="33">
        <f aca="true" t="shared" si="9" ref="V33:V40">+M33/12</f>
        <v>0</v>
      </c>
      <c r="W33" s="33">
        <f t="shared" si="5"/>
        <v>0</v>
      </c>
      <c r="X33" s="33">
        <f t="shared" si="5"/>
        <v>0</v>
      </c>
      <c r="Y33" s="33">
        <f t="shared" si="5"/>
        <v>0</v>
      </c>
      <c r="Z33" s="33">
        <f t="shared" si="5"/>
        <v>0</v>
      </c>
      <c r="AA33" s="15"/>
    </row>
    <row r="34" spans="2:27" ht="15">
      <c r="B34" s="16"/>
      <c r="C34" s="17" t="str">
        <f t="shared" si="6"/>
        <v>Mp xTipologia 3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xTipologia 3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xTipologia 3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xTipologia 4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xTipologia 4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xTipologia 4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xTipologia 5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xTipologia 5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xTipologia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xTipologia 6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xTipologia 6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xTipologia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xTipologia 7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xTipologia 7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xTipologia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xTipologia 8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xTipologia 8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xTipologia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xTipologia 9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xTipologia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xTipologia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24</v>
      </c>
      <c r="M41" s="34">
        <f>SUM(M32:M40)</f>
        <v>21000</v>
      </c>
      <c r="N41" s="34">
        <f>SUM(N32:N40)</f>
        <v>29400</v>
      </c>
      <c r="O41" s="34">
        <f>SUM(O32:O40)</f>
        <v>40635</v>
      </c>
      <c r="P41" s="34">
        <f>SUM(P32:P40)</f>
        <v>42525</v>
      </c>
      <c r="Q41" s="34">
        <f>SUM(Q32:Q40)</f>
        <v>42525</v>
      </c>
      <c r="R41" s="15"/>
      <c r="T41" s="16"/>
      <c r="U41" s="12" t="s">
        <v>369</v>
      </c>
      <c r="V41" s="34">
        <f>SUM(V32:V40)</f>
        <v>1750</v>
      </c>
      <c r="W41" s="34">
        <f>SUM(W32:W40)</f>
        <v>2450</v>
      </c>
      <c r="X41" s="34">
        <f>SUM(X32:X40)</f>
        <v>3386.25</v>
      </c>
      <c r="Y41" s="34">
        <f>SUM(Y32:Y40)</f>
        <v>3543.75</v>
      </c>
      <c r="Z41" s="34">
        <f>SUM(Z32:Z40)</f>
        <v>3543.75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23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368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xTipologia 1</v>
      </c>
      <c r="D46" s="33">
        <f>+IF(Input!$G48=0,0,IF(Input!$G48=30,(V18+M46)/12,IF(Input!$G48=60,(V18+M46)/6,IF(Input!$G48=90,(V18+M46)/4,IF(Input!$G48=120,(V18+M46)/3,IF(Input!$G48=150,(V18+M46)*0.416667,(V18+M46)/2))))))</f>
        <v>3823.2638888888887</v>
      </c>
      <c r="E46" s="33">
        <f>+IF(Input!$G48=0,0,IF(Input!$G48=30,(W18+N46)/12,IF(Input!$G48=60,(W18+N46)/6,IF(Input!$G48=90,(W18+N46)/4,IF(Input!$G48=120,(W18+N46)/3,IF(Input!$G48=150,(W18+N46)*0.416667,(W18+N46)/2))))))</f>
        <v>5058.472222222223</v>
      </c>
      <c r="F46" s="33">
        <f>+IF(Input!$G48=0,0,IF(Input!$G48=30,(X18+O46)/12,IF(Input!$G48=60,(X18+O46)/6,IF(Input!$G48=90,(X18+O46)/4,IF(Input!$G48=120,(X18+O46)/3,IF(Input!$G48=150,(X18+O46)*0.416667,(X18+O46)/2))))))</f>
        <v>6986.27951388889</v>
      </c>
      <c r="G46" s="33">
        <f>+IF(Input!$G48=0,0,IF(Input!$G48=30,(Y18+P46)/12,IF(Input!$G48=60,(Y18+P46)/6,IF(Input!$G48=90,(Y18+P46)/4,IF(Input!$G48=120,(Y18+P46)/3,IF(Input!$G48=150,(Y18+P46)*0.416667,(Y18+P46)/2))))))</f>
        <v>7173.03125</v>
      </c>
      <c r="H46" s="33">
        <f>+IF(Input!$G48=0,0,IF(Input!$G48=30,(Z18+Q46)/12,IF(Input!$G48=60,(Z18+Q46)/6,IF(Input!$G48=90,(Z18+Q46)/4,IF(Input!$G48=120,(Z18+Q46)/3,IF(Input!$G48=150,(Z18+Q46)*0.416667,(Z18+Q46)/2))))))</f>
        <v>7146.5625</v>
      </c>
      <c r="I46" s="15"/>
      <c r="K46" s="16"/>
      <c r="L46" s="17" t="str">
        <f>+L32</f>
        <v>Mp xTipologia 1</v>
      </c>
      <c r="M46" s="33">
        <f>+MCL!V18*Input!$E48</f>
        <v>7962.499999999999</v>
      </c>
      <c r="N46" s="33">
        <f>+MCL!W18*Input!$E48</f>
        <v>10535</v>
      </c>
      <c r="O46" s="33">
        <f>+MCL!X18*Input!$E48</f>
        <v>14549.9375</v>
      </c>
      <c r="P46" s="33">
        <f>+MCL!Y18*Input!$E48</f>
        <v>14938.875</v>
      </c>
      <c r="Q46" s="33">
        <f>+MCL!Z18*Input!$E48</f>
        <v>14883.75</v>
      </c>
      <c r="R46" s="15"/>
      <c r="T46" s="16"/>
      <c r="U46" s="17" t="str">
        <f>+U32</f>
        <v>Mp xTipologia 1</v>
      </c>
      <c r="V46" s="33">
        <f>+M46/12</f>
        <v>663.5416666666666</v>
      </c>
      <c r="W46" s="33">
        <f aca="true" t="shared" si="10" ref="W46:W54">+N46/12</f>
        <v>877.9166666666666</v>
      </c>
      <c r="X46" s="33">
        <f aca="true" t="shared" si="11" ref="X46:X54">+O46/12</f>
        <v>1212.4947916666667</v>
      </c>
      <c r="Y46" s="33">
        <f aca="true" t="shared" si="12" ref="Y46:Y54">+P46/12</f>
        <v>1244.90625</v>
      </c>
      <c r="Z46" s="33">
        <f aca="true" t="shared" si="13" ref="Z46:Z54">+Q46/12</f>
        <v>1240.3125</v>
      </c>
      <c r="AA46" s="15"/>
    </row>
    <row r="47" spans="2:27" ht="15">
      <c r="B47" s="16"/>
      <c r="C47" s="17" t="str">
        <f aca="true" t="shared" si="14" ref="C47:C54">+C33</f>
        <v>Mp xTipologia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xTipologia 2</v>
      </c>
      <c r="M47" s="33">
        <f>+MCL!V19*Input!$E49</f>
        <v>0</v>
      </c>
      <c r="N47" s="33">
        <f>+MCL!W19*Input!$E49</f>
        <v>0</v>
      </c>
      <c r="O47" s="33">
        <f>+MCL!X19*Input!$E49</f>
        <v>0</v>
      </c>
      <c r="P47" s="33">
        <f>+MCL!Y19*Input!$E49</f>
        <v>0</v>
      </c>
      <c r="Q47" s="33">
        <f>+MCL!Z19*Input!$E49</f>
        <v>0</v>
      </c>
      <c r="R47" s="15"/>
      <c r="T47" s="16"/>
      <c r="U47" s="17" t="str">
        <f aca="true" t="shared" si="16" ref="U47:U54">+U33</f>
        <v>Mp xTipologia 2</v>
      </c>
      <c r="V47" s="33">
        <f aca="true" t="shared" si="17" ref="V47:V54">+M47/12</f>
        <v>0</v>
      </c>
      <c r="W47" s="33">
        <f t="shared" si="10"/>
        <v>0</v>
      </c>
      <c r="X47" s="33">
        <f t="shared" si="11"/>
        <v>0</v>
      </c>
      <c r="Y47" s="33">
        <f t="shared" si="12"/>
        <v>0</v>
      </c>
      <c r="Z47" s="33">
        <f t="shared" si="13"/>
        <v>0</v>
      </c>
      <c r="AA47" s="15"/>
    </row>
    <row r="48" spans="2:27" ht="15">
      <c r="B48" s="16"/>
      <c r="C48" s="17" t="str">
        <f t="shared" si="14"/>
        <v>Mp xTipologia 3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xTipologia 3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xTipologia 3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xTipologia 4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xTipologia 4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xTipologia 4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xTipologia 5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xTipologia 5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xTipologia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xTipologia 6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xTipologia 6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xTipologia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xTipologia 7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xTipologia 7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xTipologia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xTipologia 8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xTipologia 8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xTipologia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xTipologia 9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xTipologia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xTipologia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3823.2638888888887</v>
      </c>
      <c r="E55" s="34">
        <f>SUM(E46:E54)</f>
        <v>5058.472222222223</v>
      </c>
      <c r="F55" s="34">
        <f>SUM(F46:F54)</f>
        <v>6986.27951388889</v>
      </c>
      <c r="G55" s="34">
        <f>SUM(G46:G54)</f>
        <v>7173.03125</v>
      </c>
      <c r="H55" s="34">
        <f>SUM(H46:H54)</f>
        <v>7146.5625</v>
      </c>
      <c r="I55" s="15"/>
      <c r="K55" s="16"/>
      <c r="L55" s="12" t="s">
        <v>25</v>
      </c>
      <c r="M55" s="34">
        <f>SUM(M46:M54)</f>
        <v>7962.499999999999</v>
      </c>
      <c r="N55" s="34">
        <f>SUM(N46:N54)</f>
        <v>10535</v>
      </c>
      <c r="O55" s="34">
        <f>SUM(O46:O54)</f>
        <v>14549.9375</v>
      </c>
      <c r="P55" s="34">
        <f>SUM(P46:P54)</f>
        <v>14938.875</v>
      </c>
      <c r="Q55" s="34">
        <f>SUM(Q46:Q54)</f>
        <v>14883.75</v>
      </c>
      <c r="R55" s="15"/>
      <c r="T55" s="16"/>
      <c r="U55" s="12" t="s">
        <v>370</v>
      </c>
      <c r="V55" s="34">
        <f>SUM(V46:V54)</f>
        <v>663.5416666666666</v>
      </c>
      <c r="W55" s="34">
        <f>SUM(W46:W54)</f>
        <v>877.9166666666666</v>
      </c>
      <c r="X55" s="34">
        <f>SUM(X46:X54)</f>
        <v>1212.4947916666667</v>
      </c>
      <c r="Y55" s="34">
        <f>SUM(Y46:Y54)</f>
        <v>1244.90625</v>
      </c>
      <c r="Z55" s="34">
        <f>SUM(Z46:Z54)</f>
        <v>1240.3125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37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xTipologia 1</v>
      </c>
      <c r="D60" s="33">
        <f>+D4+MCL!M32-MCL!D32</f>
        <v>121000</v>
      </c>
      <c r="E60" s="33">
        <f>+E4+MCL!N32-MCL!E32+D32</f>
        <v>169400</v>
      </c>
      <c r="F60" s="33">
        <f>+F4+MCL!O32-MCL!F32+E32</f>
        <v>234135</v>
      </c>
      <c r="G60" s="33">
        <f>+G4+MCL!P32-MCL!G32+F32</f>
        <v>245025</v>
      </c>
      <c r="H60" s="33">
        <f>+H4+MCL!Q32-MCL!H32+G32</f>
        <v>245025</v>
      </c>
      <c r="I60" s="15"/>
      <c r="K60" s="16"/>
      <c r="L60" s="17" t="str">
        <f>+L46</f>
        <v>Mp xTipologia 1</v>
      </c>
      <c r="M60" s="33">
        <f>+V18+M46-D46</f>
        <v>42055.902777777774</v>
      </c>
      <c r="N60" s="33">
        <f>+W18+N46-E46+D46</f>
        <v>59466.45833333334</v>
      </c>
      <c r="O60" s="33">
        <f aca="true" t="shared" si="18" ref="O60:Q68">+X18+O46-F46+E46</f>
        <v>81907.546875</v>
      </c>
      <c r="P60" s="33">
        <f t="shared" si="18"/>
        <v>85889.62326388889</v>
      </c>
      <c r="Q60" s="33">
        <f t="shared" si="18"/>
        <v>85785.21875</v>
      </c>
      <c r="R60" s="15"/>
    </row>
    <row r="61" spans="2:18" ht="15">
      <c r="B61" s="16"/>
      <c r="C61" s="17" t="str">
        <f aca="true" t="shared" si="19" ref="C61:C68">+C47</f>
        <v>Mp xTipologia 2</v>
      </c>
      <c r="D61" s="33">
        <f>+D5+MCL!M33-MCL!D33</f>
        <v>0</v>
      </c>
      <c r="E61" s="33">
        <f>+E5+MCL!N33-MCL!E33</f>
        <v>0</v>
      </c>
      <c r="F61" s="33">
        <f>+F5+MCL!O33-MCL!F33</f>
        <v>0</v>
      </c>
      <c r="G61" s="33">
        <f>+G5+MCL!P33-MCL!G33</f>
        <v>0</v>
      </c>
      <c r="H61" s="33">
        <f>+H5+MCL!Q33-MCL!H33</f>
        <v>0</v>
      </c>
      <c r="I61" s="15"/>
      <c r="K61" s="16"/>
      <c r="L61" s="17" t="str">
        <f aca="true" t="shared" si="20" ref="L61:L68">+L47</f>
        <v>Mp xTipologia 2</v>
      </c>
      <c r="M61" s="33">
        <f aca="true" t="shared" si="21" ref="M61:M68">+V19+M47-D47</f>
        <v>0</v>
      </c>
      <c r="N61" s="33">
        <f aca="true" t="shared" si="22" ref="N61:N68">+W19+N47-E47+D47</f>
        <v>0</v>
      </c>
      <c r="O61" s="33">
        <f t="shared" si="18"/>
        <v>0</v>
      </c>
      <c r="P61" s="33">
        <f t="shared" si="18"/>
        <v>0</v>
      </c>
      <c r="Q61" s="33">
        <f t="shared" si="18"/>
        <v>0</v>
      </c>
      <c r="R61" s="15"/>
    </row>
    <row r="62" spans="2:18" ht="15">
      <c r="B62" s="16"/>
      <c r="C62" s="17" t="str">
        <f t="shared" si="19"/>
        <v>Mp xTipologia 3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xTipologia 3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xTipologia 4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xTipologia 4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xTipologia 5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xTipologia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xTipologia 6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xTipologia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xTipologia 7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xTipologia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xTipologia 8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xTipologia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xTipologia 9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xTipologia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36</v>
      </c>
      <c r="D69" s="34">
        <f>SUM(D60:D68)</f>
        <v>121000</v>
      </c>
      <c r="E69" s="34">
        <f>SUM(E60:E68)</f>
        <v>169400</v>
      </c>
      <c r="F69" s="34">
        <f>SUM(F60:F68)</f>
        <v>234135</v>
      </c>
      <c r="G69" s="34">
        <f>SUM(G60:G68)</f>
        <v>245025</v>
      </c>
      <c r="H69" s="34">
        <f>SUM(H60:H68)</f>
        <v>245025</v>
      </c>
      <c r="I69" s="15"/>
      <c r="K69" s="16"/>
      <c r="L69" s="12" t="s">
        <v>36</v>
      </c>
      <c r="M69" s="34">
        <f>SUM(M60:M68)</f>
        <v>42055.902777777774</v>
      </c>
      <c r="N69" s="34">
        <f>SUM(N60:N68)</f>
        <v>59466.45833333334</v>
      </c>
      <c r="O69" s="34">
        <f>SUM(O60:O68)</f>
        <v>81907.546875</v>
      </c>
      <c r="P69" s="34">
        <f>SUM(P60:P68)</f>
        <v>85889.62326388889</v>
      </c>
      <c r="Q69" s="34">
        <f>SUM(Q60:Q68)</f>
        <v>85785.21875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382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382</v>
      </c>
      <c r="D74" s="33">
        <f>+Input!$D$18</f>
        <v>3000</v>
      </c>
      <c r="E74" s="33">
        <f>+Input!$D$18</f>
        <v>3000</v>
      </c>
      <c r="F74" s="33">
        <f>+Input!$D$18</f>
        <v>3000</v>
      </c>
      <c r="G74" s="33">
        <f>+Input!$D$18</f>
        <v>3000</v>
      </c>
      <c r="H74" s="33">
        <f>+Input!$D$18</f>
        <v>3000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381</v>
      </c>
      <c r="D79" s="33">
        <f>+(D74*Input!$F$18)</f>
        <v>630</v>
      </c>
      <c r="E79" s="33">
        <f>+(E74*Input!$F$18)</f>
        <v>630</v>
      </c>
      <c r="F79" s="33">
        <f>+(F74*Input!$F$18)</f>
        <v>630</v>
      </c>
      <c r="G79" s="33">
        <f>+(G74*Input!$F$18)</f>
        <v>630</v>
      </c>
      <c r="H79" s="33">
        <f>+(H74*Input!$F$18)</f>
        <v>630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386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381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387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381</v>
      </c>
      <c r="D89" s="33">
        <f>+D74+D79-D84</f>
        <v>3630</v>
      </c>
      <c r="E89" s="33">
        <f>+E74+E79-E84</f>
        <v>3630</v>
      </c>
      <c r="F89" s="33">
        <f>+F74+F79-F84</f>
        <v>3630</v>
      </c>
      <c r="G89" s="33">
        <f>+G74+G79-G84</f>
        <v>3630</v>
      </c>
      <c r="H89" s="33">
        <f>+H74+H79-H84</f>
        <v>3630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57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103882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</v>
      </c>
      <c r="M4" s="33">
        <f>+Input!E62*Input!$E$65</f>
        <v>21815.219999999998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</v>
      </c>
      <c r="M5" s="33">
        <f>+Input!E63*Input!$E$65</f>
        <v>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415</v>
      </c>
      <c r="M6" s="33">
        <f>+Input!$D$21*Input!E21</f>
        <v>1050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22865.219999999998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20776.4</v>
      </c>
      <c r="E10" s="33">
        <f>+IF(D16&gt;=$D$4,0,$D4*Input!$E$70)</f>
        <v>20776.4</v>
      </c>
      <c r="F10" s="33">
        <f>+IF(E16&gt;=$D$4,0,$D4*Input!$E$70)</f>
        <v>20776.4</v>
      </c>
      <c r="G10" s="33">
        <f>+IF(F16&gt;=$D$4,0,$D4*Input!$E$70)</f>
        <v>20776.4</v>
      </c>
      <c r="H10" s="33">
        <f>+IF(G16&gt;=$D$4,0,$D4*Input!$E$70)</f>
        <v>20776.4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0</v>
      </c>
      <c r="E11" s="33">
        <f>+IF(D17&gt;=$D$5,0,$D5*Input!$E$71)</f>
        <v>0</v>
      </c>
      <c r="F11" s="33">
        <f>+IF(E17&gt;=$D$5,0,$D5*Input!$E$71)</f>
        <v>0</v>
      </c>
      <c r="G11" s="33">
        <f>+IF(F17&gt;=$D$5,0,$D5*Input!$E$71)</f>
        <v>0</v>
      </c>
      <c r="H11" s="33">
        <f>+IF(G17&gt;=$D$5,0,$D5*Input!$E$71)</f>
        <v>0</v>
      </c>
      <c r="I11" s="44"/>
      <c r="K11" s="16"/>
      <c r="L11" s="12" t="s">
        <v>59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0.22000000000116415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0.22000000000116415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20776.4</v>
      </c>
      <c r="E16" s="33">
        <f aca="true" t="shared" si="0" ref="E16:H17">+D16+E10</f>
        <v>41552.8</v>
      </c>
      <c r="F16" s="33">
        <f t="shared" si="0"/>
        <v>62329.200000000004</v>
      </c>
      <c r="G16" s="33">
        <f t="shared" si="0"/>
        <v>83105.6</v>
      </c>
      <c r="H16" s="33">
        <f t="shared" si="0"/>
        <v>103882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</v>
      </c>
      <c r="M20" s="33">
        <f>+Input!E67</f>
        <v>125697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</v>
      </c>
      <c r="M21" s="33">
        <f>+Input!E68</f>
        <v>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415</v>
      </c>
      <c r="M22" s="33">
        <f>+Input!D23</f>
        <v>6050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131747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20776.4</v>
      </c>
      <c r="E57" s="33">
        <f t="shared" si="5"/>
        <v>20776.4</v>
      </c>
      <c r="F57" s="33">
        <f t="shared" si="5"/>
        <v>20776.4</v>
      </c>
      <c r="G57" s="33">
        <f t="shared" si="5"/>
        <v>20776.4</v>
      </c>
      <c r="H57" s="33">
        <f t="shared" si="5"/>
        <v>20776.4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0</v>
      </c>
      <c r="E58" s="33">
        <f t="shared" si="5"/>
        <v>0</v>
      </c>
      <c r="F58" s="33">
        <f t="shared" si="5"/>
        <v>0</v>
      </c>
      <c r="G58" s="33">
        <f t="shared" si="5"/>
        <v>0</v>
      </c>
      <c r="H58" s="33">
        <f t="shared" si="5"/>
        <v>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20776.4</v>
      </c>
      <c r="E62" s="45">
        <f aca="true" t="shared" si="6" ref="E62:H63">+E57+D62</f>
        <v>41552.8</v>
      </c>
      <c r="F62" s="45">
        <f t="shared" si="6"/>
        <v>62329.200000000004</v>
      </c>
      <c r="G62" s="45">
        <f t="shared" si="6"/>
        <v>83105.6</v>
      </c>
      <c r="H62" s="45">
        <f t="shared" si="6"/>
        <v>103882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0</v>
      </c>
      <c r="E63" s="45">
        <f t="shared" si="6"/>
        <v>0</v>
      </c>
      <c r="F63" s="45">
        <f t="shared" si="6"/>
        <v>0</v>
      </c>
      <c r="G63" s="45">
        <f t="shared" si="6"/>
        <v>0</v>
      </c>
      <c r="H63" s="45">
        <f t="shared" si="6"/>
        <v>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415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415</v>
      </c>
      <c r="D71" s="33">
        <f>+Input!$D$21</f>
        <v>5000</v>
      </c>
      <c r="E71" s="33">
        <f>+Input!$D$21</f>
        <v>5000</v>
      </c>
      <c r="F71" s="33">
        <f>+Input!$D$21</f>
        <v>5000</v>
      </c>
      <c r="G71" s="33">
        <f>+Input!$D$21</f>
        <v>5000</v>
      </c>
      <c r="H71" s="33">
        <f>+Input!$D$21</f>
        <v>5000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418</v>
      </c>
      <c r="D73" s="33">
        <f>+Input!D21/Input!F21</f>
        <v>714.2857142857143</v>
      </c>
      <c r="E73" s="33">
        <f>+IF(D75&gt;=Input!$D$21,0,Input!$D$21/Input!$F$21)</f>
        <v>714.2857142857143</v>
      </c>
      <c r="F73" s="33">
        <f>+IF(E75&gt;=Input!$D$21,0,Input!$D$21/Input!$F$21)</f>
        <v>714.2857142857143</v>
      </c>
      <c r="G73" s="33">
        <f>+IF(F75&gt;=Input!$D$21,0,Input!$D$21/Input!$F$21)</f>
        <v>714.2857142857143</v>
      </c>
      <c r="H73" s="33">
        <f>+IF(G75&gt;=Input!$D$21,0,Input!$D$21/Input!$F$21)</f>
        <v>714.2857142857143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417</v>
      </c>
      <c r="D75" s="33">
        <f>+D73</f>
        <v>714.2857142857143</v>
      </c>
      <c r="E75" s="33">
        <f>+E73+D75</f>
        <v>1428.5714285714287</v>
      </c>
      <c r="F75" s="33">
        <f>+F73+E75</f>
        <v>2142.857142857143</v>
      </c>
      <c r="G75" s="33">
        <f>+G73+F75</f>
        <v>2857.1428571428573</v>
      </c>
      <c r="H75" s="33">
        <f>+H73+G75</f>
        <v>3571.4285714285716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68</v>
      </c>
      <c r="D4" s="33">
        <f>+Input!E79*Input!E77</f>
        <v>50000</v>
      </c>
      <c r="E4" s="33">
        <f>+Input!F79*Input!F77</f>
        <v>52500</v>
      </c>
      <c r="F4" s="33">
        <f>+Input!G79*Input!G77</f>
        <v>52500</v>
      </c>
      <c r="G4" s="33">
        <f>+Input!H79*Input!H77</f>
        <v>52500</v>
      </c>
      <c r="H4" s="33">
        <f>+Input!I79*Input!I77</f>
        <v>52500</v>
      </c>
      <c r="I4" s="15"/>
    </row>
    <row r="5" spans="2:9" ht="15">
      <c r="B5" s="16"/>
      <c r="C5" s="17" t="s">
        <v>69</v>
      </c>
      <c r="D5" s="33">
        <f>+D4*Input!$E$81</f>
        <v>15000</v>
      </c>
      <c r="E5" s="33">
        <f>+E4*Input!$E$81</f>
        <v>15750</v>
      </c>
      <c r="F5" s="33">
        <f>+F4*Input!$E$81</f>
        <v>15750</v>
      </c>
      <c r="G5" s="33">
        <f>+G4*Input!$E$81</f>
        <v>15750</v>
      </c>
      <c r="H5" s="33">
        <f>+H4*Input!$E$81</f>
        <v>15750</v>
      </c>
      <c r="I5" s="15"/>
    </row>
    <row r="6" spans="2:9" ht="15">
      <c r="B6" s="16"/>
      <c r="C6" s="17" t="s">
        <v>70</v>
      </c>
      <c r="D6" s="33">
        <f>+D4*Input!$E$82</f>
        <v>2000</v>
      </c>
      <c r="E6" s="33">
        <f>+E4*Input!$E$82</f>
        <v>2100</v>
      </c>
      <c r="F6" s="33">
        <f>+F4*Input!$E$82</f>
        <v>2100</v>
      </c>
      <c r="G6" s="33">
        <f>+G4*Input!$E$82</f>
        <v>2100</v>
      </c>
      <c r="H6" s="33">
        <f>+H4*Input!$E$82</f>
        <v>2100</v>
      </c>
      <c r="I6" s="15"/>
    </row>
    <row r="7" spans="2:9" ht="15">
      <c r="B7" s="16"/>
      <c r="C7" s="17" t="s">
        <v>71</v>
      </c>
      <c r="D7" s="33">
        <f>+D4*Input!$E$83</f>
        <v>4000</v>
      </c>
      <c r="E7" s="33">
        <f>+E4*Input!$E$83</f>
        <v>4200</v>
      </c>
      <c r="F7" s="33">
        <f>+F4*Input!$E$83</f>
        <v>4200</v>
      </c>
      <c r="G7" s="33">
        <f>+G4*Input!$E$83</f>
        <v>4200</v>
      </c>
      <c r="H7" s="33">
        <f>+H4*Input!$E$83</f>
        <v>4200</v>
      </c>
      <c r="I7" s="15"/>
    </row>
    <row r="8" spans="2:9" ht="15">
      <c r="B8" s="16"/>
      <c r="C8" s="12" t="s">
        <v>74</v>
      </c>
      <c r="D8" s="50">
        <f>SUM(D4:D7)</f>
        <v>71000</v>
      </c>
      <c r="E8" s="50">
        <f>SUM(E4:E7)</f>
        <v>74550</v>
      </c>
      <c r="F8" s="50">
        <f>SUM(F4:F7)</f>
        <v>74550</v>
      </c>
      <c r="G8" s="50">
        <f>SUM(G4:G7)</f>
        <v>74550</v>
      </c>
      <c r="H8" s="50">
        <f>SUM(H4:H7)</f>
        <v>74550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50000</v>
      </c>
      <c r="E14" s="45">
        <f t="shared" si="0"/>
        <v>52500</v>
      </c>
      <c r="F14" s="45">
        <f t="shared" si="0"/>
        <v>52500</v>
      </c>
      <c r="G14" s="45">
        <f t="shared" si="0"/>
        <v>52500</v>
      </c>
      <c r="H14" s="45">
        <f t="shared" si="0"/>
        <v>52500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15000</v>
      </c>
      <c r="E15" s="45">
        <f t="shared" si="0"/>
        <v>15750</v>
      </c>
      <c r="F15" s="45">
        <f t="shared" si="0"/>
        <v>15750</v>
      </c>
      <c r="G15" s="45">
        <f t="shared" si="0"/>
        <v>15750</v>
      </c>
      <c r="H15" s="45">
        <f t="shared" si="0"/>
        <v>15750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2000</v>
      </c>
      <c r="E16" s="45">
        <f aca="true" t="shared" si="2" ref="E16:H17">+E6</f>
        <v>2100</v>
      </c>
      <c r="F16" s="45">
        <f t="shared" si="2"/>
        <v>2100</v>
      </c>
      <c r="G16" s="45">
        <f t="shared" si="2"/>
        <v>2100</v>
      </c>
      <c r="H16" s="45">
        <f t="shared" si="2"/>
        <v>2100</v>
      </c>
      <c r="I16" s="15"/>
    </row>
    <row r="17" spans="2:9" ht="15">
      <c r="B17" s="16"/>
      <c r="C17" s="17" t="str">
        <f t="shared" si="1"/>
        <v>TFR</v>
      </c>
      <c r="D17" s="45">
        <f t="shared" si="1"/>
        <v>4000</v>
      </c>
      <c r="E17" s="45">
        <f t="shared" si="2"/>
        <v>4200</v>
      </c>
      <c r="F17" s="45">
        <f t="shared" si="2"/>
        <v>4200</v>
      </c>
      <c r="G17" s="45">
        <f t="shared" si="2"/>
        <v>4200</v>
      </c>
      <c r="H17" s="45">
        <f t="shared" si="2"/>
        <v>4200</v>
      </c>
      <c r="I17" s="15"/>
    </row>
    <row r="18" spans="2:9" ht="15">
      <c r="B18" s="16"/>
      <c r="C18" s="12" t="s">
        <v>74</v>
      </c>
      <c r="D18" s="50">
        <f>SUM(D14:D17)</f>
        <v>71000</v>
      </c>
      <c r="E18" s="50">
        <f>SUM(E14:E17)</f>
        <v>74550</v>
      </c>
      <c r="F18" s="50">
        <f>SUM(F14:F17)</f>
        <v>74550</v>
      </c>
      <c r="G18" s="50">
        <f>SUM(G14:G17)</f>
        <v>74550</v>
      </c>
      <c r="H18" s="50">
        <f>SUM(H14:H17)</f>
        <v>74550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328</v>
      </c>
      <c r="D22" s="25">
        <f>+D17</f>
        <v>4000</v>
      </c>
      <c r="E22" s="25">
        <f>+E17</f>
        <v>4200</v>
      </c>
      <c r="F22" s="25">
        <f>+F17</f>
        <v>4200</v>
      </c>
      <c r="G22" s="25">
        <f>+G17</f>
        <v>4200</v>
      </c>
      <c r="H22" s="25">
        <f>+H17</f>
        <v>4200</v>
      </c>
    </row>
    <row r="23" spans="3:8" ht="15">
      <c r="C23" t="s">
        <v>37</v>
      </c>
      <c r="D23" s="25">
        <f>+D18-D22</f>
        <v>67000</v>
      </c>
      <c r="E23" s="25">
        <f>+E18-E22</f>
        <v>70350</v>
      </c>
      <c r="F23" s="25">
        <f>+F18-F22</f>
        <v>70350</v>
      </c>
      <c r="G23" s="25">
        <f>+G18-G22</f>
        <v>70350</v>
      </c>
      <c r="H23" s="25">
        <f>+H18-H22</f>
        <v>70350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2013-01-06T16:34:03Z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