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0835" windowHeight="7965"/>
  </bookViews>
  <sheets>
    <sheet name="Cash flow" sheetId="8" r:id="rId1"/>
    <sheet name="Prospetti Dettaglo -&gt;" sheetId="9" r:id="rId2"/>
    <sheet name="CIRCOLANTE" sheetId="1" r:id="rId3"/>
    <sheet name="IMMOBILIZZAZIONI" sheetId="3" r:id="rId4"/>
    <sheet name="Gestione Fin Lungo termine" sheetId="4" r:id="rId5"/>
    <sheet name="Gestione fin cap netto" sheetId="6" r:id="rId6"/>
    <sheet name="Gestione fin residuale" sheetId="7" r:id="rId7"/>
    <sheet name="Sheet4" sheetId="10" r:id="rId8"/>
    <sheet name="fin" sheetId="5" r:id="rId9"/>
    <sheet name="A" sheetId="2" r:id="rId10"/>
  </sheets>
  <calcPr calcId="145621"/>
</workbook>
</file>

<file path=xl/calcChain.xml><?xml version="1.0" encoding="utf-8"?>
<calcChain xmlns="http://schemas.openxmlformats.org/spreadsheetml/2006/main">
  <c r="G30" i="8" l="1"/>
  <c r="G31" i="8"/>
  <c r="G32" i="8"/>
  <c r="F32" i="8"/>
  <c r="F31" i="8"/>
  <c r="F30" i="8"/>
  <c r="G26" i="8"/>
  <c r="G27" i="8"/>
  <c r="G28" i="8" s="1"/>
  <c r="F27" i="8"/>
  <c r="F26" i="8"/>
  <c r="F28" i="8" s="1"/>
  <c r="G22" i="8"/>
  <c r="G23" i="8"/>
  <c r="F23" i="8"/>
  <c r="F22" i="8"/>
  <c r="G19" i="8"/>
  <c r="G20" i="8"/>
  <c r="F20" i="8"/>
  <c r="F19" i="8"/>
  <c r="F24" i="8" s="1"/>
  <c r="G16" i="8"/>
  <c r="F16" i="8"/>
  <c r="G14" i="8"/>
  <c r="F14" i="8"/>
  <c r="G13" i="8"/>
  <c r="F13" i="8"/>
  <c r="G24" i="8" l="1"/>
  <c r="G7" i="8"/>
  <c r="G8" i="8"/>
  <c r="F8" i="8"/>
  <c r="F7" i="8"/>
  <c r="G5" i="8"/>
  <c r="F5" i="8"/>
  <c r="G33" i="8"/>
  <c r="F33" i="8"/>
  <c r="M14" i="4"/>
  <c r="L14" i="4"/>
  <c r="M13" i="4"/>
  <c r="L13" i="4"/>
  <c r="M9" i="4"/>
  <c r="L9" i="4"/>
  <c r="M8" i="4"/>
  <c r="L8" i="4"/>
  <c r="F17" i="8" l="1"/>
  <c r="D7" i="1"/>
  <c r="E7" i="1" s="1"/>
  <c r="D10" i="1"/>
  <c r="E10" i="1"/>
  <c r="D15" i="1"/>
  <c r="D16" i="1"/>
  <c r="E16" i="1" s="1"/>
  <c r="D17" i="1"/>
  <c r="E17" i="1" s="1"/>
  <c r="M30" i="7"/>
  <c r="L30" i="7"/>
  <c r="M19" i="7"/>
  <c r="L19" i="7"/>
  <c r="M17" i="7"/>
  <c r="L17" i="7"/>
  <c r="M15" i="7"/>
  <c r="L15" i="7"/>
  <c r="E18" i="7"/>
  <c r="E16" i="7"/>
  <c r="D16" i="7"/>
  <c r="D18" i="7"/>
  <c r="I30" i="7"/>
  <c r="H30" i="7"/>
  <c r="I19" i="7"/>
  <c r="H19" i="7"/>
  <c r="E6" i="7"/>
  <c r="D6" i="7"/>
  <c r="E30" i="7"/>
  <c r="I17" i="7"/>
  <c r="H17" i="7"/>
  <c r="D30" i="7"/>
  <c r="E29" i="7" s="1"/>
  <c r="I15" i="7"/>
  <c r="H15" i="7"/>
  <c r="C32" i="7"/>
  <c r="C14" i="7"/>
  <c r="C34" i="7"/>
  <c r="G17" i="8" l="1"/>
  <c r="E15" i="1"/>
  <c r="D32" i="7"/>
  <c r="E14" i="7"/>
  <c r="D14" i="7"/>
  <c r="E32" i="7"/>
  <c r="L32" i="7"/>
  <c r="M22" i="6"/>
  <c r="D34" i="7" l="1"/>
  <c r="E34" i="7"/>
  <c r="E25" i="6"/>
  <c r="E29" i="6"/>
  <c r="E30" i="6"/>
  <c r="D30" i="6"/>
  <c r="L30" i="6"/>
  <c r="M18" i="6"/>
  <c r="L18" i="6"/>
  <c r="I30" i="6"/>
  <c r="H30" i="6"/>
  <c r="D6" i="6" s="1"/>
  <c r="E6" i="6" s="1"/>
  <c r="L22" i="6"/>
  <c r="M20" i="6"/>
  <c r="L20" i="6"/>
  <c r="E24" i="6"/>
  <c r="C32" i="6"/>
  <c r="M32" i="7" l="1"/>
  <c r="D24" i="6"/>
  <c r="D23" i="6" s="1"/>
  <c r="E23" i="6"/>
  <c r="C23" i="6"/>
  <c r="C34" i="6"/>
  <c r="C14" i="6"/>
  <c r="D34" i="6" l="1"/>
  <c r="D14" i="6"/>
  <c r="E14" i="6"/>
  <c r="D23" i="4"/>
  <c r="E32" i="4"/>
  <c r="E24" i="4"/>
  <c r="E23" i="4"/>
  <c r="E22" i="4" s="1"/>
  <c r="D22" i="4"/>
  <c r="D32" i="4" s="1"/>
  <c r="D24" i="4"/>
  <c r="D18" i="4"/>
  <c r="E18" i="4"/>
  <c r="E20" i="4"/>
  <c r="E19" i="4"/>
  <c r="D19" i="4"/>
  <c r="I5" i="4"/>
  <c r="H5" i="4"/>
  <c r="E6" i="4"/>
  <c r="D6" i="4"/>
  <c r="E26" i="4"/>
  <c r="D26" i="4"/>
  <c r="C5" i="5"/>
  <c r="C9" i="5"/>
  <c r="C8" i="5" s="1"/>
  <c r="GK97" i="5" s="1"/>
  <c r="D12" i="5"/>
  <c r="C7" i="5"/>
  <c r="FZ41" i="5"/>
  <c r="FZ42" i="5" s="1"/>
  <c r="FZ43" i="5" s="1"/>
  <c r="FZ44" i="5" s="1"/>
  <c r="FZ45" i="5" s="1"/>
  <c r="FZ46" i="5" s="1"/>
  <c r="FZ47" i="5" s="1"/>
  <c r="FZ48" i="5" s="1"/>
  <c r="FZ49" i="5" s="1"/>
  <c r="FZ50" i="5" s="1"/>
  <c r="FZ51" i="5" s="1"/>
  <c r="FZ52" i="5" s="1"/>
  <c r="FZ53" i="5" s="1"/>
  <c r="FZ54" i="5" s="1"/>
  <c r="FZ55" i="5" s="1"/>
  <c r="FZ56" i="5" s="1"/>
  <c r="FZ57" i="5" s="1"/>
  <c r="FZ58" i="5" s="1"/>
  <c r="FZ59" i="5" s="1"/>
  <c r="FZ60" i="5" s="1"/>
  <c r="FZ61" i="5" s="1"/>
  <c r="FZ62" i="5" s="1"/>
  <c r="FZ63" i="5" s="1"/>
  <c r="FZ64" i="5" s="1"/>
  <c r="FZ65" i="5" s="1"/>
  <c r="FZ66" i="5" s="1"/>
  <c r="FZ67" i="5" s="1"/>
  <c r="FZ68" i="5" s="1"/>
  <c r="FZ69" i="5" s="1"/>
  <c r="FZ70" i="5" s="1"/>
  <c r="FZ71" i="5" s="1"/>
  <c r="FZ72" i="5" s="1"/>
  <c r="FZ73" i="5" s="1"/>
  <c r="FZ74" i="5" s="1"/>
  <c r="FZ75" i="5" s="1"/>
  <c r="FZ76" i="5" s="1"/>
  <c r="FZ77" i="5" s="1"/>
  <c r="FZ78" i="5" s="1"/>
  <c r="FZ79" i="5" s="1"/>
  <c r="FZ80" i="5" s="1"/>
  <c r="FZ81" i="5" s="1"/>
  <c r="FZ82" i="5" s="1"/>
  <c r="FZ83" i="5" s="1"/>
  <c r="FZ84" i="5" s="1"/>
  <c r="FZ85" i="5" s="1"/>
  <c r="FZ86" i="5" s="1"/>
  <c r="FZ87" i="5" s="1"/>
  <c r="FZ88" i="5" s="1"/>
  <c r="FZ89" i="5" s="1"/>
  <c r="FZ90" i="5" s="1"/>
  <c r="FZ91" i="5" s="1"/>
  <c r="FZ92" i="5" s="1"/>
  <c r="FZ93" i="5" s="1"/>
  <c r="FZ94" i="5" s="1"/>
  <c r="FZ95" i="5" s="1"/>
  <c r="FZ96" i="5" s="1"/>
  <c r="FZ97" i="5" s="1"/>
  <c r="FZ98" i="5" s="1"/>
  <c r="FZ99" i="5" s="1"/>
  <c r="FZ100" i="5" s="1"/>
  <c r="FZ101" i="5" s="1"/>
  <c r="FZ102" i="5" s="1"/>
  <c r="FZ103" i="5" s="1"/>
  <c r="FZ104" i="5" s="1"/>
  <c r="FZ105" i="5" s="1"/>
  <c r="FZ106" i="5" s="1"/>
  <c r="FZ107" i="5" s="1"/>
  <c r="FZ108" i="5" s="1"/>
  <c r="FZ109" i="5" s="1"/>
  <c r="FZ110" i="5" s="1"/>
  <c r="FZ111" i="5" s="1"/>
  <c r="FZ112" i="5" s="1"/>
  <c r="FZ113" i="5" s="1"/>
  <c r="FZ114" i="5" s="1"/>
  <c r="FZ115" i="5" s="1"/>
  <c r="FZ116" i="5" s="1"/>
  <c r="FZ117" i="5" s="1"/>
  <c r="FZ118" i="5" s="1"/>
  <c r="FZ119" i="5" s="1"/>
  <c r="FZ120" i="5" s="1"/>
  <c r="FZ121" i="5" s="1"/>
  <c r="FZ37" i="5"/>
  <c r="FZ38" i="5" s="1"/>
  <c r="FZ39" i="5" s="1"/>
  <c r="FZ40" i="5" s="1"/>
  <c r="FZ33" i="5"/>
  <c r="FZ34" i="5" s="1"/>
  <c r="FZ35" i="5" s="1"/>
  <c r="FZ36" i="5" s="1"/>
  <c r="FZ32" i="5"/>
  <c r="GJ31" i="5"/>
  <c r="GJ32" i="5" s="1"/>
  <c r="GJ33" i="5" s="1"/>
  <c r="GJ34" i="5" s="1"/>
  <c r="GJ35" i="5" s="1"/>
  <c r="GJ36" i="5" s="1"/>
  <c r="GJ37" i="5" s="1"/>
  <c r="GJ38" i="5" s="1"/>
  <c r="GJ39" i="5" s="1"/>
  <c r="GJ40" i="5" s="1"/>
  <c r="GJ41" i="5" s="1"/>
  <c r="GJ42" i="5" s="1"/>
  <c r="GJ43" i="5" s="1"/>
  <c r="GJ44" i="5" s="1"/>
  <c r="GJ45" i="5" s="1"/>
  <c r="GJ46" i="5" s="1"/>
  <c r="GJ47" i="5" s="1"/>
  <c r="GJ48" i="5" s="1"/>
  <c r="GJ49" i="5" s="1"/>
  <c r="GJ50" i="5" s="1"/>
  <c r="GJ51" i="5" s="1"/>
  <c r="GJ52" i="5" s="1"/>
  <c r="GJ53" i="5" s="1"/>
  <c r="GJ54" i="5" s="1"/>
  <c r="GJ55" i="5" s="1"/>
  <c r="GJ56" i="5" s="1"/>
  <c r="GJ57" i="5" s="1"/>
  <c r="GJ58" i="5" s="1"/>
  <c r="GJ59" i="5" s="1"/>
  <c r="GJ60" i="5" s="1"/>
  <c r="GJ61" i="5" s="1"/>
  <c r="GJ62" i="5" s="1"/>
  <c r="GJ63" i="5" s="1"/>
  <c r="GJ64" i="5" s="1"/>
  <c r="GJ65" i="5" s="1"/>
  <c r="GJ66" i="5" s="1"/>
  <c r="GJ67" i="5" s="1"/>
  <c r="GJ68" i="5" s="1"/>
  <c r="GJ69" i="5" s="1"/>
  <c r="GJ70" i="5" s="1"/>
  <c r="GJ71" i="5" s="1"/>
  <c r="GJ72" i="5" s="1"/>
  <c r="GJ73" i="5" s="1"/>
  <c r="GJ74" i="5" s="1"/>
  <c r="GJ75" i="5" s="1"/>
  <c r="GJ76" i="5" s="1"/>
  <c r="GJ77" i="5" s="1"/>
  <c r="GJ78" i="5" s="1"/>
  <c r="GJ79" i="5" s="1"/>
  <c r="GJ80" i="5" s="1"/>
  <c r="GJ81" i="5" s="1"/>
  <c r="GJ82" i="5" s="1"/>
  <c r="GJ83" i="5" s="1"/>
  <c r="GJ84" i="5" s="1"/>
  <c r="GJ85" i="5" s="1"/>
  <c r="GJ86" i="5" s="1"/>
  <c r="GJ87" i="5" s="1"/>
  <c r="GJ88" i="5" s="1"/>
  <c r="GJ89" i="5" s="1"/>
  <c r="GJ90" i="5" s="1"/>
  <c r="GJ91" i="5" s="1"/>
  <c r="GJ92" i="5" s="1"/>
  <c r="GJ93" i="5" s="1"/>
  <c r="GJ94" i="5" s="1"/>
  <c r="GJ95" i="5" s="1"/>
  <c r="GJ96" i="5" s="1"/>
  <c r="GJ97" i="5" s="1"/>
  <c r="GJ98" i="5" s="1"/>
  <c r="GJ99" i="5" s="1"/>
  <c r="GJ100" i="5" s="1"/>
  <c r="GJ101" i="5" s="1"/>
  <c r="GJ102" i="5" s="1"/>
  <c r="GJ103" i="5" s="1"/>
  <c r="GJ104" i="5" s="1"/>
  <c r="GJ105" i="5" s="1"/>
  <c r="GJ106" i="5" s="1"/>
  <c r="GJ107" i="5" s="1"/>
  <c r="GJ108" i="5" s="1"/>
  <c r="GJ109" i="5" s="1"/>
  <c r="GJ110" i="5" s="1"/>
  <c r="GJ111" i="5" s="1"/>
  <c r="GJ112" i="5" s="1"/>
  <c r="GJ113" i="5" s="1"/>
  <c r="GJ114" i="5" s="1"/>
  <c r="GJ115" i="5" s="1"/>
  <c r="GJ116" i="5" s="1"/>
  <c r="GJ117" i="5" s="1"/>
  <c r="GJ118" i="5" s="1"/>
  <c r="GJ119" i="5" s="1"/>
  <c r="GJ120" i="5" s="1"/>
  <c r="GJ121" i="5" s="1"/>
  <c r="GJ122" i="5" s="1"/>
  <c r="GJ123" i="5" s="1"/>
  <c r="GJ124" i="5" s="1"/>
  <c r="GJ125" i="5" s="1"/>
  <c r="GJ126" i="5" s="1"/>
  <c r="GJ127" i="5" s="1"/>
  <c r="GJ128" i="5" s="1"/>
  <c r="GJ129" i="5" s="1"/>
  <c r="GJ130" i="5" s="1"/>
  <c r="GJ131" i="5" s="1"/>
  <c r="GJ132" i="5" s="1"/>
  <c r="GJ133" i="5" s="1"/>
  <c r="GJ134" i="5" s="1"/>
  <c r="GJ135" i="5" s="1"/>
  <c r="GJ136" i="5" s="1"/>
  <c r="GJ137" i="5" s="1"/>
  <c r="GJ138" i="5" s="1"/>
  <c r="GJ139" i="5" s="1"/>
  <c r="GJ140" i="5" s="1"/>
  <c r="GJ141" i="5" s="1"/>
  <c r="GJ142" i="5" s="1"/>
  <c r="GJ143" i="5" s="1"/>
  <c r="GJ144" i="5" s="1"/>
  <c r="GJ145" i="5" s="1"/>
  <c r="GJ146" i="5" s="1"/>
  <c r="GJ147" i="5" s="1"/>
  <c r="GJ148" i="5" s="1"/>
  <c r="GJ149" i="5" s="1"/>
  <c r="GJ150" i="5" s="1"/>
  <c r="GJ151" i="5" s="1"/>
  <c r="GJ152" i="5" s="1"/>
  <c r="GJ153" i="5" s="1"/>
  <c r="GJ154" i="5" s="1"/>
  <c r="GJ155" i="5" s="1"/>
  <c r="GJ156" i="5" s="1"/>
  <c r="GJ157" i="5" s="1"/>
  <c r="GJ158" i="5" s="1"/>
  <c r="GJ159" i="5" s="1"/>
  <c r="GJ160" i="5" s="1"/>
  <c r="GJ161" i="5" s="1"/>
  <c r="GJ162" i="5" s="1"/>
  <c r="GJ163" i="5" s="1"/>
  <c r="GJ164" i="5" s="1"/>
  <c r="GJ165" i="5" s="1"/>
  <c r="GJ166" i="5" s="1"/>
  <c r="GJ167" i="5" s="1"/>
  <c r="GJ168" i="5" s="1"/>
  <c r="GJ169" i="5" s="1"/>
  <c r="GJ170" i="5" s="1"/>
  <c r="GJ171" i="5" s="1"/>
  <c r="GJ172" i="5" s="1"/>
  <c r="GJ173" i="5" s="1"/>
  <c r="FZ31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2" i="5"/>
  <c r="C21" i="5"/>
  <c r="GJ6" i="5"/>
  <c r="GJ7" i="5" s="1"/>
  <c r="GJ8" i="5" s="1"/>
  <c r="GJ9" i="5" s="1"/>
  <c r="GJ10" i="5" s="1"/>
  <c r="GJ11" i="5" s="1"/>
  <c r="GJ12" i="5" s="1"/>
  <c r="GJ13" i="5" s="1"/>
  <c r="GJ14" i="5" s="1"/>
  <c r="GJ15" i="5" s="1"/>
  <c r="GJ16" i="5" s="1"/>
  <c r="GJ17" i="5" s="1"/>
  <c r="GJ18" i="5" s="1"/>
  <c r="GJ19" i="5" s="1"/>
  <c r="GJ20" i="5" s="1"/>
  <c r="GJ21" i="5" s="1"/>
  <c r="GJ22" i="5" s="1"/>
  <c r="GJ23" i="5" s="1"/>
  <c r="GJ24" i="5" s="1"/>
  <c r="GJ25" i="5" s="1"/>
  <c r="GJ26" i="5" s="1"/>
  <c r="GJ27" i="5" s="1"/>
  <c r="GJ28" i="5" s="1"/>
  <c r="GJ29" i="5" s="1"/>
  <c r="FZ4" i="5"/>
  <c r="FZ5" i="5" s="1"/>
  <c r="FZ6" i="5" s="1"/>
  <c r="FZ7" i="5" s="1"/>
  <c r="FZ8" i="5" s="1"/>
  <c r="FZ9" i="5" s="1"/>
  <c r="FZ10" i="5" s="1"/>
  <c r="FZ11" i="5" s="1"/>
  <c r="FZ12" i="5" s="1"/>
  <c r="FZ13" i="5" s="1"/>
  <c r="FZ14" i="5" s="1"/>
  <c r="FZ15" i="5" s="1"/>
  <c r="FZ16" i="5" s="1"/>
  <c r="FZ17" i="5" s="1"/>
  <c r="FZ18" i="5" s="1"/>
  <c r="FZ19" i="5" s="1"/>
  <c r="FZ20" i="5" s="1"/>
  <c r="FZ21" i="5" s="1"/>
  <c r="FZ22" i="5" s="1"/>
  <c r="FZ23" i="5" s="1"/>
  <c r="FZ24" i="5" s="1"/>
  <c r="FZ25" i="5" s="1"/>
  <c r="FZ26" i="5" s="1"/>
  <c r="FZ27" i="5" s="1"/>
  <c r="FZ28" i="5" s="1"/>
  <c r="FZ29" i="5" s="1"/>
  <c r="GJ3" i="5"/>
  <c r="GJ4" i="5" s="1"/>
  <c r="GJ5" i="5" s="1"/>
  <c r="FZ3" i="5"/>
  <c r="GD2" i="5"/>
  <c r="C34" i="4"/>
  <c r="C32" i="4"/>
  <c r="C14" i="4"/>
  <c r="D14" i="4"/>
  <c r="I6" i="4"/>
  <c r="D32" i="6" l="1"/>
  <c r="M32" i="6"/>
  <c r="L32" i="6"/>
  <c r="GK50" i="5"/>
  <c r="GK92" i="5"/>
  <c r="GK17" i="5"/>
  <c r="GK70" i="5"/>
  <c r="GK4" i="5"/>
  <c r="GK82" i="5"/>
  <c r="GK7" i="5"/>
  <c r="GK27" i="5"/>
  <c r="GK58" i="5"/>
  <c r="GK108" i="5"/>
  <c r="GK13" i="5"/>
  <c r="GK23" i="5"/>
  <c r="GK39" i="5"/>
  <c r="GK54" i="5"/>
  <c r="GK74" i="5"/>
  <c r="GK102" i="5"/>
  <c r="GK36" i="5"/>
  <c r="GK42" i="5"/>
  <c r="GK66" i="5"/>
  <c r="GK86" i="5"/>
  <c r="GK113" i="5"/>
  <c r="GK11" i="5"/>
  <c r="GK46" i="5"/>
  <c r="GK62" i="5"/>
  <c r="GK78" i="5"/>
  <c r="GK171" i="5"/>
  <c r="GK170" i="5"/>
  <c r="GK165" i="5"/>
  <c r="GK160" i="5"/>
  <c r="GK154" i="5"/>
  <c r="GK149" i="5"/>
  <c r="GK144" i="5"/>
  <c r="GK138" i="5"/>
  <c r="GK133" i="5"/>
  <c r="GK128" i="5"/>
  <c r="GK122" i="5"/>
  <c r="GK117" i="5"/>
  <c r="GK112" i="5"/>
  <c r="GK106" i="5"/>
  <c r="GK101" i="5"/>
  <c r="GK96" i="5"/>
  <c r="GK90" i="5"/>
  <c r="GK85" i="5"/>
  <c r="GK81" i="5"/>
  <c r="GK77" i="5"/>
  <c r="GK73" i="5"/>
  <c r="GK69" i="5"/>
  <c r="GK65" i="5"/>
  <c r="GK61" i="5"/>
  <c r="GK57" i="5"/>
  <c r="GK53" i="5"/>
  <c r="GK49" i="5"/>
  <c r="GK45" i="5"/>
  <c r="GK41" i="5"/>
  <c r="GK38" i="5"/>
  <c r="GK35" i="5"/>
  <c r="GK32" i="5"/>
  <c r="GK26" i="5"/>
  <c r="GK22" i="5"/>
  <c r="GK20" i="5"/>
  <c r="GK16" i="5"/>
  <c r="GK12" i="5"/>
  <c r="GK10" i="5"/>
  <c r="GK6" i="5"/>
  <c r="GK2" i="5"/>
  <c r="GK172" i="5"/>
  <c r="GK124" i="5"/>
  <c r="GK169" i="5"/>
  <c r="GK164" i="5"/>
  <c r="GK158" i="5"/>
  <c r="GK153" i="5"/>
  <c r="GK148" i="5"/>
  <c r="GK142" i="5"/>
  <c r="GK137" i="5"/>
  <c r="GK132" i="5"/>
  <c r="GK126" i="5"/>
  <c r="GK121" i="5"/>
  <c r="GK116" i="5"/>
  <c r="GK110" i="5"/>
  <c r="GK105" i="5"/>
  <c r="GK100" i="5"/>
  <c r="GK94" i="5"/>
  <c r="GK89" i="5"/>
  <c r="GK84" i="5"/>
  <c r="GK80" i="5"/>
  <c r="GK76" i="5"/>
  <c r="GK72" i="5"/>
  <c r="GK68" i="5"/>
  <c r="GK64" i="5"/>
  <c r="GK60" i="5"/>
  <c r="GK56" i="5"/>
  <c r="GK52" i="5"/>
  <c r="GK48" i="5"/>
  <c r="GK44" i="5"/>
  <c r="GK37" i="5"/>
  <c r="GK34" i="5"/>
  <c r="GK29" i="5"/>
  <c r="GK25" i="5"/>
  <c r="GK19" i="5"/>
  <c r="GK15" i="5"/>
  <c r="GK9" i="5"/>
  <c r="GK3" i="5"/>
  <c r="GK173" i="5"/>
  <c r="GK168" i="5"/>
  <c r="GK162" i="5"/>
  <c r="GK157" i="5"/>
  <c r="GK152" i="5"/>
  <c r="GK146" i="5"/>
  <c r="GK141" i="5"/>
  <c r="GK136" i="5"/>
  <c r="GK130" i="5"/>
  <c r="GK125" i="5"/>
  <c r="GK120" i="5"/>
  <c r="GK114" i="5"/>
  <c r="GK109" i="5"/>
  <c r="GK104" i="5"/>
  <c r="GK98" i="5"/>
  <c r="GK93" i="5"/>
  <c r="GK88" i="5"/>
  <c r="GK83" i="5"/>
  <c r="GK79" i="5"/>
  <c r="GK75" i="5"/>
  <c r="GK71" i="5"/>
  <c r="GK67" i="5"/>
  <c r="GK63" i="5"/>
  <c r="GK59" i="5"/>
  <c r="GK55" i="5"/>
  <c r="GK51" i="5"/>
  <c r="GK47" i="5"/>
  <c r="GK43" i="5"/>
  <c r="GK40" i="5"/>
  <c r="GK33" i="5"/>
  <c r="GK31" i="5"/>
  <c r="GK28" i="5"/>
  <c r="GK24" i="5"/>
  <c r="GK21" i="5"/>
  <c r="GK18" i="5"/>
  <c r="GK14" i="5"/>
  <c r="C12" i="5"/>
  <c r="C14" i="5" s="1"/>
  <c r="GK8" i="5"/>
  <c r="GK5" i="5"/>
  <c r="GK166" i="5"/>
  <c r="GK161" i="5"/>
  <c r="GK156" i="5"/>
  <c r="GK150" i="5"/>
  <c r="GK145" i="5"/>
  <c r="GK140" i="5"/>
  <c r="GK134" i="5"/>
  <c r="GK129" i="5"/>
  <c r="GK118" i="5"/>
  <c r="C10" i="5"/>
  <c r="D14" i="5" s="1"/>
  <c r="GK87" i="5"/>
  <c r="GK91" i="5"/>
  <c r="GK95" i="5"/>
  <c r="GK99" i="5"/>
  <c r="GK103" i="5"/>
  <c r="GK107" i="5"/>
  <c r="GK111" i="5"/>
  <c r="GK115" i="5"/>
  <c r="GK119" i="5"/>
  <c r="GK123" i="5"/>
  <c r="GK127" i="5"/>
  <c r="GK131" i="5"/>
  <c r="GK135" i="5"/>
  <c r="GK139" i="5"/>
  <c r="GK143" i="5"/>
  <c r="GK147" i="5"/>
  <c r="GK151" i="5"/>
  <c r="GK155" i="5"/>
  <c r="GK159" i="5"/>
  <c r="GK163" i="5"/>
  <c r="GK167" i="5"/>
  <c r="C6" i="5"/>
  <c r="E14" i="4"/>
  <c r="H6" i="4"/>
  <c r="M7" i="3"/>
  <c r="L7" i="3"/>
  <c r="C20" i="3"/>
  <c r="C9" i="3"/>
  <c r="E20" i="3"/>
  <c r="D20" i="3"/>
  <c r="E22" i="3"/>
  <c r="E11" i="3"/>
  <c r="D22" i="3"/>
  <c r="E21" i="3"/>
  <c r="D21" i="3"/>
  <c r="E9" i="3"/>
  <c r="D9" i="3"/>
  <c r="D10" i="3"/>
  <c r="D11" i="3"/>
  <c r="M30" i="6" l="1"/>
  <c r="E32" i="6"/>
  <c r="E34" i="6"/>
  <c r="GD3" i="5"/>
  <c r="D6" i="5" s="1"/>
  <c r="E16" i="5"/>
  <c r="F16" i="5" s="1"/>
  <c r="G16" i="5" s="1"/>
  <c r="D16" i="5"/>
  <c r="L30" i="4"/>
  <c r="E10" i="3"/>
  <c r="H16" i="5" l="1"/>
  <c r="D18" i="5"/>
  <c r="D15" i="5"/>
  <c r="I16" i="5"/>
  <c r="D14" i="2"/>
  <c r="C14" i="2"/>
  <c r="D13" i="2"/>
  <c r="C13" i="2"/>
  <c r="J16" i="5" l="1"/>
  <c r="D21" i="5"/>
  <c r="D28" i="5" s="1"/>
  <c r="K16" i="5" l="1"/>
  <c r="D19" i="5"/>
  <c r="D20" i="5" s="1"/>
  <c r="D22" i="5" s="1"/>
  <c r="D15" i="2"/>
  <c r="C15" i="2"/>
  <c r="I11" i="3"/>
  <c r="I10" i="3"/>
  <c r="H11" i="3"/>
  <c r="H10" i="3"/>
  <c r="AN95" i="3"/>
  <c r="AP95" i="3" s="1"/>
  <c r="AP94" i="3"/>
  <c r="AN89" i="3"/>
  <c r="AP89" i="3" s="1"/>
  <c r="AP88" i="3"/>
  <c r="AN83" i="3"/>
  <c r="AN84" i="3" s="1"/>
  <c r="AN85" i="3" s="1"/>
  <c r="AP82" i="3"/>
  <c r="AN77" i="3"/>
  <c r="AP77" i="3" s="1"/>
  <c r="AP76" i="3"/>
  <c r="AN71" i="3"/>
  <c r="AN72" i="3" s="1"/>
  <c r="AN73" i="3" s="1"/>
  <c r="AP70" i="3"/>
  <c r="AN67" i="3"/>
  <c r="AP66" i="3"/>
  <c r="AN61" i="3"/>
  <c r="AP61" i="3" s="1"/>
  <c r="AP60" i="3"/>
  <c r="AN55" i="3"/>
  <c r="AN56" i="3" s="1"/>
  <c r="AN57" i="3" s="1"/>
  <c r="AP54" i="3"/>
  <c r="AN49" i="3"/>
  <c r="D26" i="5" l="1"/>
  <c r="E18" i="5"/>
  <c r="L16" i="5"/>
  <c r="M30" i="4"/>
  <c r="C18" i="2"/>
  <c r="D15" i="3" s="1"/>
  <c r="C17" i="2"/>
  <c r="D7" i="3" s="1"/>
  <c r="D18" i="2"/>
  <c r="D17" i="2"/>
  <c r="AN62" i="3"/>
  <c r="AN63" i="3" s="1"/>
  <c r="AP63" i="3" s="1"/>
  <c r="AN96" i="3"/>
  <c r="AP96" i="3" s="1"/>
  <c r="AN97" i="3"/>
  <c r="AN90" i="3"/>
  <c r="AN91" i="3" s="1"/>
  <c r="AP91" i="3" s="1"/>
  <c r="AP83" i="3"/>
  <c r="AN86" i="3"/>
  <c r="AP85" i="3"/>
  <c r="AP84" i="3"/>
  <c r="AN78" i="3"/>
  <c r="AP78" i="3" s="1"/>
  <c r="AP71" i="3"/>
  <c r="AP73" i="3"/>
  <c r="AN74" i="3"/>
  <c r="AP72" i="3"/>
  <c r="AP67" i="3"/>
  <c r="AN68" i="3"/>
  <c r="AP62" i="3"/>
  <c r="AP55" i="3"/>
  <c r="AP57" i="3"/>
  <c r="AN58" i="3"/>
  <c r="AP56" i="3"/>
  <c r="H5" i="3"/>
  <c r="I12" i="3"/>
  <c r="H12" i="3"/>
  <c r="AN27" i="3"/>
  <c r="AN26" i="3"/>
  <c r="AP31" i="3"/>
  <c r="AP32" i="3"/>
  <c r="AP33" i="3"/>
  <c r="AP34" i="3"/>
  <c r="AP35" i="3"/>
  <c r="AP36" i="3"/>
  <c r="AP42" i="3"/>
  <c r="AP48" i="3"/>
  <c r="AP30" i="3"/>
  <c r="AN50" i="3"/>
  <c r="AN43" i="3"/>
  <c r="AN44" i="3" s="1"/>
  <c r="AN45" i="3" s="1"/>
  <c r="AN46" i="3" s="1"/>
  <c r="AN47" i="3" s="1"/>
  <c r="AP47" i="3" s="1"/>
  <c r="AN37" i="3"/>
  <c r="AP37" i="3" s="1"/>
  <c r="C29" i="3"/>
  <c r="C27" i="3"/>
  <c r="C14" i="3"/>
  <c r="M16" i="5" l="1"/>
  <c r="E21" i="5"/>
  <c r="E15" i="3"/>
  <c r="L15" i="3"/>
  <c r="E7" i="3"/>
  <c r="D6" i="3"/>
  <c r="AN64" i="3"/>
  <c r="AP64" i="3" s="1"/>
  <c r="AN92" i="3"/>
  <c r="AP50" i="3"/>
  <c r="AN51" i="3"/>
  <c r="D18" i="3"/>
  <c r="L5" i="3" s="1"/>
  <c r="AP97" i="3"/>
  <c r="AN98" i="3"/>
  <c r="AP90" i="3"/>
  <c r="AP92" i="3"/>
  <c r="AN93" i="3"/>
  <c r="AP93" i="3" s="1"/>
  <c r="AN87" i="3"/>
  <c r="AP87" i="3" s="1"/>
  <c r="AP86" i="3"/>
  <c r="AN79" i="3"/>
  <c r="AP79" i="3" s="1"/>
  <c r="AN75" i="3"/>
  <c r="AP75" i="3" s="1"/>
  <c r="AP74" i="3"/>
  <c r="AN69" i="3"/>
  <c r="AP69" i="3" s="1"/>
  <c r="AP68" i="3"/>
  <c r="AN65" i="3"/>
  <c r="AP65" i="3" s="1"/>
  <c r="AN59" i="3"/>
  <c r="AP58" i="3"/>
  <c r="I5" i="3"/>
  <c r="H6" i="3"/>
  <c r="H15" i="3" s="1"/>
  <c r="H25" i="3" s="1"/>
  <c r="D25" i="3" s="1"/>
  <c r="E24" i="3" s="1"/>
  <c r="AP45" i="3"/>
  <c r="AP46" i="3"/>
  <c r="AP43" i="3"/>
  <c r="AN38" i="3"/>
  <c r="AP49" i="3"/>
  <c r="AP44" i="3"/>
  <c r="C25" i="1"/>
  <c r="E28" i="5" l="1"/>
  <c r="D52" i="4"/>
  <c r="H11" i="4" s="1"/>
  <c r="H15" i="4" s="1"/>
  <c r="H30" i="4" s="1"/>
  <c r="D30" i="4" s="1"/>
  <c r="E19" i="5"/>
  <c r="N16" i="5"/>
  <c r="M15" i="3"/>
  <c r="E6" i="3"/>
  <c r="AN52" i="3"/>
  <c r="AP51" i="3"/>
  <c r="I6" i="3"/>
  <c r="I15" i="3" s="1"/>
  <c r="I25" i="3" s="1"/>
  <c r="E25" i="3" s="1"/>
  <c r="D16" i="3"/>
  <c r="L27" i="3" s="1"/>
  <c r="AP98" i="3"/>
  <c r="AN99" i="3"/>
  <c r="AP99" i="3" s="1"/>
  <c r="AN80" i="3"/>
  <c r="AP80" i="3" s="1"/>
  <c r="AP59" i="3"/>
  <c r="AN39" i="3"/>
  <c r="AP38" i="3"/>
  <c r="D14" i="3"/>
  <c r="D5" i="2"/>
  <c r="C5" i="2"/>
  <c r="D4" i="2"/>
  <c r="C4" i="2"/>
  <c r="E29" i="4" l="1"/>
  <c r="E20" i="5"/>
  <c r="E22" i="5" s="1"/>
  <c r="E34" i="5" s="1"/>
  <c r="D51" i="4"/>
  <c r="O16" i="5"/>
  <c r="AP52" i="3"/>
  <c r="AN53" i="3"/>
  <c r="AP53" i="3" s="1"/>
  <c r="AN81" i="3"/>
  <c r="AP81" i="3" s="1"/>
  <c r="AN40" i="3"/>
  <c r="AN41" i="3" s="1"/>
  <c r="AP41" i="3" s="1"/>
  <c r="AP39" i="3"/>
  <c r="E14" i="3"/>
  <c r="C6" i="2"/>
  <c r="D6" i="2"/>
  <c r="I11" i="1"/>
  <c r="M11" i="1" s="1"/>
  <c r="H11" i="1"/>
  <c r="L11" i="1" s="1"/>
  <c r="I10" i="1"/>
  <c r="M10" i="1" s="1"/>
  <c r="H10" i="1"/>
  <c r="H13" i="1" l="1"/>
  <c r="L10" i="1"/>
  <c r="D8" i="2"/>
  <c r="D9" i="2"/>
  <c r="C9" i="2"/>
  <c r="D18" i="1" s="1"/>
  <c r="D14" i="1" s="1"/>
  <c r="C8" i="2"/>
  <c r="D8" i="1" s="1"/>
  <c r="D6" i="1" s="1"/>
  <c r="D53" i="4"/>
  <c r="D16" i="4" s="1"/>
  <c r="E26" i="5"/>
  <c r="E33" i="5"/>
  <c r="F18" i="5"/>
  <c r="F21" i="5" s="1"/>
  <c r="E52" i="4" s="1"/>
  <c r="I11" i="4" s="1"/>
  <c r="I15" i="4" s="1"/>
  <c r="I30" i="4" s="1"/>
  <c r="E30" i="4" s="1"/>
  <c r="P16" i="5"/>
  <c r="AP40" i="3"/>
  <c r="I6" i="1"/>
  <c r="H6" i="1"/>
  <c r="I13" i="1"/>
  <c r="I5" i="1"/>
  <c r="H5" i="1"/>
  <c r="C12" i="1"/>
  <c r="C23" i="1"/>
  <c r="I4" i="1"/>
  <c r="H4" i="1"/>
  <c r="E8" i="1" l="1"/>
  <c r="E6" i="1" s="1"/>
  <c r="E18" i="1"/>
  <c r="E14" i="1" s="1"/>
  <c r="L13" i="1"/>
  <c r="F10" i="8" s="1"/>
  <c r="D25" i="1"/>
  <c r="F28" i="5"/>
  <c r="F19" i="5"/>
  <c r="D34" i="4"/>
  <c r="L32" i="4"/>
  <c r="Q16" i="5"/>
  <c r="E18" i="3"/>
  <c r="AK16" i="3"/>
  <c r="H7" i="1"/>
  <c r="H21" i="1" s="1"/>
  <c r="I7" i="1"/>
  <c r="I21" i="1" s="1"/>
  <c r="E21" i="1" s="1"/>
  <c r="L5" i="1"/>
  <c r="M5" i="1"/>
  <c r="L4" i="1"/>
  <c r="F4" i="8" s="1"/>
  <c r="F11" i="8" s="1"/>
  <c r="F36" i="8" s="1"/>
  <c r="D21" i="1" l="1"/>
  <c r="E25" i="1"/>
  <c r="D12" i="1"/>
  <c r="L23" i="1"/>
  <c r="F20" i="5"/>
  <c r="F22" i="5" s="1"/>
  <c r="F26" i="5" s="1"/>
  <c r="E51" i="4"/>
  <c r="R16" i="5"/>
  <c r="E16" i="3"/>
  <c r="M27" i="3" s="1"/>
  <c r="M5" i="3"/>
  <c r="M13" i="1"/>
  <c r="G10" i="8" s="1"/>
  <c r="L25" i="3"/>
  <c r="L21" i="1"/>
  <c r="M4" i="1"/>
  <c r="G4" i="8" s="1"/>
  <c r="G11" i="8" l="1"/>
  <c r="G36" i="8" s="1"/>
  <c r="D23" i="1"/>
  <c r="E20" i="1"/>
  <c r="E23" i="1" s="1"/>
  <c r="M23" i="1"/>
  <c r="E53" i="4"/>
  <c r="F33" i="5"/>
  <c r="F34" i="5"/>
  <c r="G18" i="5"/>
  <c r="S16" i="5"/>
  <c r="E29" i="3"/>
  <c r="M21" i="1"/>
  <c r="M25" i="3"/>
  <c r="E27" i="3"/>
  <c r="D27" i="3"/>
  <c r="D29" i="3"/>
  <c r="E12" i="1"/>
  <c r="E16" i="4" l="1"/>
  <c r="G21" i="5"/>
  <c r="G28" i="5" s="1"/>
  <c r="T16" i="5"/>
  <c r="M32" i="4" l="1"/>
  <c r="E34" i="4"/>
  <c r="G19" i="5"/>
  <c r="G20" i="5" s="1"/>
  <c r="G22" i="5" s="1"/>
  <c r="U16" i="5"/>
  <c r="G33" i="5" l="1"/>
  <c r="G34" i="5"/>
  <c r="G26" i="5"/>
  <c r="H18" i="5"/>
  <c r="H21" i="5" s="1"/>
  <c r="H28" i="5" s="1"/>
  <c r="V16" i="5"/>
  <c r="H19" i="5" l="1"/>
  <c r="H20" i="5" s="1"/>
  <c r="H22" i="5" s="1"/>
  <c r="I18" i="5" s="1"/>
  <c r="W16" i="5"/>
  <c r="H33" i="5" l="1"/>
  <c r="H26" i="5"/>
  <c r="H34" i="5"/>
  <c r="I21" i="5"/>
  <c r="I28" i="5" s="1"/>
  <c r="X16" i="5"/>
  <c r="I19" i="5" l="1"/>
  <c r="I20" i="5" s="1"/>
  <c r="I22" i="5" s="1"/>
  <c r="I33" i="5" s="1"/>
  <c r="Y16" i="5"/>
  <c r="I34" i="5" l="1"/>
  <c r="J18" i="5"/>
  <c r="J21" i="5" s="1"/>
  <c r="J28" i="5" s="1"/>
  <c r="I26" i="5"/>
  <c r="Z16" i="5"/>
  <c r="J19" i="5" l="1"/>
  <c r="J20" i="5" s="1"/>
  <c r="J22" i="5" s="1"/>
  <c r="J33" i="5" s="1"/>
  <c r="AA16" i="5"/>
  <c r="K18" i="5" l="1"/>
  <c r="K21" i="5" s="1"/>
  <c r="K28" i="5" s="1"/>
  <c r="J26" i="5"/>
  <c r="J34" i="5"/>
  <c r="AB16" i="5"/>
  <c r="K19" i="5" l="1"/>
  <c r="K20" i="5" s="1"/>
  <c r="K22" i="5" s="1"/>
  <c r="K33" i="5" s="1"/>
  <c r="AC16" i="5"/>
  <c r="K26" i="5" l="1"/>
  <c r="K34" i="5"/>
  <c r="L18" i="5"/>
  <c r="L21" i="5" s="1"/>
  <c r="L28" i="5" s="1"/>
  <c r="AD16" i="5"/>
  <c r="L19" i="5" l="1"/>
  <c r="L20" i="5" s="1"/>
  <c r="L22" i="5" s="1"/>
  <c r="M18" i="5" s="1"/>
  <c r="AE16" i="5"/>
  <c r="L33" i="5" l="1"/>
  <c r="L26" i="5"/>
  <c r="L34" i="5"/>
  <c r="M21" i="5"/>
  <c r="M28" i="5" s="1"/>
  <c r="AF16" i="5"/>
  <c r="AG16" i="5" l="1"/>
  <c r="M19" i="5"/>
  <c r="M20" i="5" s="1"/>
  <c r="M22" i="5" s="1"/>
  <c r="AH16" i="5" l="1"/>
  <c r="M26" i="5"/>
  <c r="N18" i="5"/>
  <c r="N21" i="5" l="1"/>
  <c r="N28" i="5" s="1"/>
  <c r="AI16" i="5"/>
  <c r="AJ16" i="5" l="1"/>
  <c r="N19" i="5"/>
  <c r="N20" i="5" s="1"/>
  <c r="N22" i="5" s="1"/>
  <c r="N26" i="5" l="1"/>
  <c r="O18" i="5"/>
  <c r="AK16" i="5"/>
  <c r="AL16" i="5" l="1"/>
  <c r="O21" i="5"/>
  <c r="O28" i="5" s="1"/>
  <c r="O19" i="5" l="1"/>
  <c r="O20" i="5" s="1"/>
  <c r="O22" i="5" s="1"/>
  <c r="O26" i="5" s="1"/>
  <c r="AM16" i="5"/>
  <c r="P18" i="5" l="1"/>
  <c r="P21" i="5" s="1"/>
  <c r="P28" i="5" s="1"/>
  <c r="P19" i="5" l="1"/>
  <c r="P20" i="5" s="1"/>
  <c r="P22" i="5" s="1"/>
  <c r="P26" i="5" l="1"/>
  <c r="Q18" i="5"/>
  <c r="Q21" i="5" l="1"/>
  <c r="Q28" i="5" s="1"/>
  <c r="Q19" i="5" l="1"/>
  <c r="Q20" i="5" s="1"/>
  <c r="Q22" i="5" s="1"/>
  <c r="Q26" i="5" s="1"/>
  <c r="R18" i="5" l="1"/>
  <c r="R21" i="5" s="1"/>
  <c r="R28" i="5" s="1"/>
  <c r="R19" i="5" l="1"/>
  <c r="R20" i="5" s="1"/>
  <c r="R22" i="5" s="1"/>
  <c r="R26" i="5" l="1"/>
  <c r="S18" i="5"/>
  <c r="S21" i="5" l="1"/>
  <c r="S28" i="5" s="1"/>
  <c r="S19" i="5" l="1"/>
  <c r="S20" i="5" s="1"/>
  <c r="S22" i="5" s="1"/>
  <c r="S26" i="5" l="1"/>
  <c r="T18" i="5"/>
  <c r="T21" i="5" l="1"/>
  <c r="T28" i="5" s="1"/>
  <c r="T19" i="5" l="1"/>
  <c r="T20" i="5" s="1"/>
  <c r="T22" i="5" s="1"/>
  <c r="T26" i="5" l="1"/>
  <c r="U18" i="5"/>
  <c r="U21" i="5" l="1"/>
  <c r="U28" i="5" s="1"/>
  <c r="U19" i="5" l="1"/>
  <c r="U20" i="5" s="1"/>
  <c r="U22" i="5" s="1"/>
  <c r="V18" i="5" s="1"/>
  <c r="U26" i="5" l="1"/>
  <c r="V21" i="5"/>
  <c r="V28" i="5" s="1"/>
  <c r="V19" i="5" l="1"/>
  <c r="V20" i="5" s="1"/>
  <c r="V22" i="5" s="1"/>
  <c r="V26" i="5" l="1"/>
  <c r="W18" i="5"/>
  <c r="W21" i="5" l="1"/>
  <c r="W28" i="5" s="1"/>
  <c r="W19" i="5" l="1"/>
  <c r="W20" i="5" s="1"/>
  <c r="W22" i="5" s="1"/>
  <c r="W26" i="5" l="1"/>
  <c r="X18" i="5"/>
  <c r="X21" i="5" l="1"/>
  <c r="X28" i="5" s="1"/>
  <c r="X19" i="5" l="1"/>
  <c r="X20" i="5" s="1"/>
  <c r="X22" i="5" s="1"/>
  <c r="X26" i="5" l="1"/>
  <c r="Y18" i="5"/>
  <c r="Y21" i="5" l="1"/>
  <c r="Y28" i="5" s="1"/>
  <c r="Y19" i="5" l="1"/>
  <c r="Y20" i="5" s="1"/>
  <c r="Y22" i="5" s="1"/>
  <c r="Y26" i="5" l="1"/>
  <c r="Z18" i="5"/>
  <c r="Z21" i="5" l="1"/>
  <c r="Z28" i="5" s="1"/>
  <c r="Z19" i="5" l="1"/>
  <c r="Z20" i="5" s="1"/>
  <c r="Z22" i="5" s="1"/>
  <c r="Z26" i="5" l="1"/>
  <c r="AA18" i="5"/>
  <c r="AA21" i="5" l="1"/>
  <c r="AA28" i="5" s="1"/>
  <c r="AA19" i="5" l="1"/>
  <c r="AA20" i="5" s="1"/>
  <c r="AA22" i="5" s="1"/>
  <c r="AA26" i="5" l="1"/>
  <c r="AB18" i="5"/>
  <c r="AB21" i="5" l="1"/>
  <c r="AB28" i="5" s="1"/>
  <c r="AB19" i="5" l="1"/>
  <c r="AB20" i="5" s="1"/>
  <c r="AB22" i="5" s="1"/>
  <c r="AB26" i="5" l="1"/>
  <c r="AC18" i="5"/>
  <c r="AC21" i="5" l="1"/>
  <c r="AC28" i="5" s="1"/>
  <c r="AC19" i="5" l="1"/>
  <c r="AC20" i="5" s="1"/>
  <c r="AC22" i="5" s="1"/>
  <c r="AC26" i="5" l="1"/>
  <c r="AD18" i="5"/>
  <c r="AD21" i="5" l="1"/>
  <c r="AD28" i="5" s="1"/>
  <c r="AD19" i="5" l="1"/>
  <c r="AD20" i="5" s="1"/>
  <c r="AD22" i="5" s="1"/>
  <c r="AD26" i="5" l="1"/>
  <c r="AE18" i="5"/>
  <c r="AE21" i="5" l="1"/>
  <c r="AE28" i="5" s="1"/>
  <c r="AE19" i="5" l="1"/>
  <c r="AE20" i="5" s="1"/>
  <c r="AE22" i="5" s="1"/>
  <c r="AE26" i="5" l="1"/>
  <c r="AF18" i="5"/>
  <c r="AF21" i="5" l="1"/>
  <c r="AF28" i="5" s="1"/>
  <c r="AF19" i="5" l="1"/>
  <c r="AF20" i="5" s="1"/>
  <c r="AF22" i="5" s="1"/>
  <c r="AF26" i="5" l="1"/>
  <c r="AG18" i="5"/>
  <c r="AG21" i="5" l="1"/>
  <c r="AG28" i="5" s="1"/>
  <c r="AG19" i="5" l="1"/>
  <c r="AG20" i="5" s="1"/>
  <c r="AG22" i="5" s="1"/>
  <c r="AG26" i="5" l="1"/>
  <c r="AH18" i="5"/>
  <c r="AH21" i="5" l="1"/>
  <c r="AH28" i="5" s="1"/>
  <c r="AH19" i="5" l="1"/>
  <c r="AH20" i="5" s="1"/>
  <c r="AH22" i="5" s="1"/>
  <c r="AH26" i="5" l="1"/>
  <c r="AI18" i="5"/>
  <c r="AI21" i="5" l="1"/>
  <c r="AI28" i="5" s="1"/>
  <c r="AI19" i="5" l="1"/>
  <c r="AI20" i="5" s="1"/>
  <c r="AI22" i="5" s="1"/>
  <c r="AI26" i="5" l="1"/>
  <c r="AJ18" i="5"/>
  <c r="AJ21" i="5" l="1"/>
  <c r="AJ28" i="5" s="1"/>
  <c r="AJ19" i="5" l="1"/>
  <c r="AJ20" i="5" s="1"/>
  <c r="AJ22" i="5" s="1"/>
  <c r="AJ26" i="5" l="1"/>
  <c r="AK18" i="5"/>
  <c r="AK21" i="5" l="1"/>
  <c r="AK28" i="5" s="1"/>
  <c r="AK19" i="5" l="1"/>
  <c r="AK20" i="5" s="1"/>
  <c r="AK22" i="5" s="1"/>
  <c r="AK26" i="5" l="1"/>
  <c r="AL18" i="5"/>
  <c r="AL21" i="5" l="1"/>
  <c r="AL28" i="5" s="1"/>
  <c r="AL19" i="5" l="1"/>
  <c r="AL20" i="5" s="1"/>
  <c r="AL22" i="5" s="1"/>
  <c r="AL26" i="5" l="1"/>
  <c r="AM18" i="5"/>
  <c r="AM21" i="5" l="1"/>
  <c r="AM28" i="5" s="1"/>
  <c r="AM19" i="5" l="1"/>
  <c r="AM20" i="5" s="1"/>
  <c r="AM22" i="5" s="1"/>
  <c r="AM26" i="5" s="1"/>
</calcChain>
</file>

<file path=xl/sharedStrings.xml><?xml version="1.0" encoding="utf-8"?>
<sst xmlns="http://schemas.openxmlformats.org/spreadsheetml/2006/main" count="547" uniqueCount="312">
  <si>
    <t>Vendite</t>
  </si>
  <si>
    <t>Crediti Commerciali</t>
  </si>
  <si>
    <t>Erario c/Iva</t>
  </si>
  <si>
    <t>ATTIVO</t>
  </si>
  <si>
    <t>Cassa / cc Banca</t>
  </si>
  <si>
    <t>Totale Attivo</t>
  </si>
  <si>
    <t>cc Banca</t>
  </si>
  <si>
    <t>1° operazione</t>
  </si>
  <si>
    <t>Iva</t>
  </si>
  <si>
    <t>giorni dilazione</t>
  </si>
  <si>
    <t>Utile</t>
  </si>
  <si>
    <t>Utile a nuovo</t>
  </si>
  <si>
    <t>Cash Flow</t>
  </si>
  <si>
    <t>Totale Passivo</t>
  </si>
  <si>
    <t>2° operazione</t>
  </si>
  <si>
    <t>Acquisti Mp</t>
  </si>
  <si>
    <t>Entrate Vendite</t>
  </si>
  <si>
    <t>Acquisti</t>
  </si>
  <si>
    <t>Margine Contribuzione</t>
  </si>
  <si>
    <t>Uscite Acquisti</t>
  </si>
  <si>
    <t>3° operazione</t>
  </si>
  <si>
    <t>Costi variabili</t>
  </si>
  <si>
    <t>4° operazione</t>
  </si>
  <si>
    <t>Costi Fissi</t>
  </si>
  <si>
    <t>Debiti verso Fornitori acquisti</t>
  </si>
  <si>
    <t>Debiti verso Fornitori costi var</t>
  </si>
  <si>
    <t>Debiti verso Fornitori costifissi</t>
  </si>
  <si>
    <t>Costi Variabili</t>
  </si>
  <si>
    <t>Uscite Costi Variabili</t>
  </si>
  <si>
    <t>Uscite Costi fissi</t>
  </si>
  <si>
    <t>Totale Costi</t>
  </si>
  <si>
    <t>5° Operazione</t>
  </si>
  <si>
    <t>Magazzino</t>
  </si>
  <si>
    <t>Stato Patrimoniale</t>
  </si>
  <si>
    <t>Conto Economico</t>
  </si>
  <si>
    <t>giorni giacenza</t>
  </si>
  <si>
    <t>Magazzino merci</t>
  </si>
  <si>
    <t>Fatturato</t>
  </si>
  <si>
    <t>Variazione Rimanenze</t>
  </si>
  <si>
    <t xml:space="preserve">6° Operazione </t>
  </si>
  <si>
    <t>Aliquota iva vendite</t>
  </si>
  <si>
    <t>Aliquota iva Acquisti</t>
  </si>
  <si>
    <t>Aliquota iva Costi Variabili</t>
  </si>
  <si>
    <t>Controllo</t>
  </si>
  <si>
    <t>A</t>
  </si>
  <si>
    <t>A1</t>
  </si>
  <si>
    <t>A2</t>
  </si>
  <si>
    <t>ANNO 1</t>
  </si>
  <si>
    <t>ANNO 2</t>
  </si>
  <si>
    <t>Cash Flow circolante</t>
  </si>
  <si>
    <t>Debito Iva</t>
  </si>
  <si>
    <t>Aliquota iva Costi Fissi</t>
  </si>
  <si>
    <t>Erario Iva</t>
  </si>
  <si>
    <t>Credito Iva</t>
  </si>
  <si>
    <t>+/- Variazione Iva</t>
  </si>
  <si>
    <t>Netto Banca</t>
  </si>
  <si>
    <t>DATI INPUT</t>
  </si>
  <si>
    <t>ACQUISTO CESPITE</t>
  </si>
  <si>
    <t>Acquisto</t>
  </si>
  <si>
    <t>Debiti verso Forn Imm.ni</t>
  </si>
  <si>
    <t>Uscite Cespiti</t>
  </si>
  <si>
    <t>Entrate Vendite Cespiti</t>
  </si>
  <si>
    <t>mese acquisto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</si>
  <si>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</si>
  <si>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</si>
  <si>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</si>
  <si>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</si>
  <si>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</si>
  <si>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</si>
  <si>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</si>
  <si>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</si>
  <si>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</si>
  <si>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</si>
  <si>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</si>
  <si>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</si>
  <si>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mese</t>
  </si>
  <si>
    <t>giorni</t>
  </si>
  <si>
    <t>moltiplicatore</t>
  </si>
  <si>
    <t>codifica</t>
  </si>
  <si>
    <t>anno 1</t>
  </si>
  <si>
    <t>anno 2</t>
  </si>
  <si>
    <t>2° ammortamento cespite</t>
  </si>
  <si>
    <t>Aliquota ammortamento</t>
  </si>
  <si>
    <t>F.do Ammortamento</t>
  </si>
  <si>
    <t>Ammortamento</t>
  </si>
  <si>
    <t>Plusvalenza</t>
  </si>
  <si>
    <t>Minusvalenza</t>
  </si>
  <si>
    <t>Gestione straordinaria</t>
  </si>
  <si>
    <t>Vendita</t>
  </si>
  <si>
    <t xml:space="preserve">3° operazione vendita cespite </t>
  </si>
  <si>
    <t>Costo Storico</t>
  </si>
  <si>
    <t>F.do ammortamento</t>
  </si>
  <si>
    <t>AGOSTO</t>
  </si>
  <si>
    <t>LUGLIO</t>
  </si>
  <si>
    <t>GIUGNO</t>
  </si>
  <si>
    <t>MAGGIO</t>
  </si>
  <si>
    <t>APRILE</t>
  </si>
  <si>
    <t>MARZO</t>
  </si>
  <si>
    <t>FEBBRAIO</t>
  </si>
  <si>
    <t>GENNAIO</t>
  </si>
  <si>
    <t>6° Operazione RETTIFICA Iva</t>
  </si>
  <si>
    <t>Aliquota iva vendita cespite</t>
  </si>
  <si>
    <t>Aliquota iva Acquisto cespite</t>
  </si>
  <si>
    <t>Erario C/Iva</t>
  </si>
  <si>
    <t>Debito</t>
  </si>
  <si>
    <t>Cash Flow imm.ni</t>
  </si>
  <si>
    <t xml:space="preserve">Immobilizzazioni </t>
  </si>
  <si>
    <t>Immobilizzazioni:</t>
  </si>
  <si>
    <t>Immobilizzazione dismesse</t>
  </si>
  <si>
    <t>Fondo</t>
  </si>
  <si>
    <t>TFR</t>
  </si>
  <si>
    <t>Cash Flow gestione finanz. Lungo termine</t>
  </si>
  <si>
    <t>1° operazione: Accensione mutuo</t>
  </si>
  <si>
    <t>Importo</t>
  </si>
  <si>
    <t>tasso annuo interesse</t>
  </si>
  <si>
    <t>numero anni</t>
  </si>
  <si>
    <t>2° Operazione Pagamento rata muto</t>
  </si>
  <si>
    <t>MUTUO</t>
  </si>
  <si>
    <t>controllo</t>
  </si>
  <si>
    <t>numero mese stipula</t>
  </si>
  <si>
    <t>PARAMETRI</t>
  </si>
  <si>
    <t>numero mese inizio rata</t>
  </si>
  <si>
    <t xml:space="preserve">Periodo Stipula Contratto </t>
  </si>
  <si>
    <t>A3</t>
  </si>
  <si>
    <t>INPUT</t>
  </si>
  <si>
    <t>Tasso di interesse annuale</t>
  </si>
  <si>
    <t>A4</t>
  </si>
  <si>
    <t>Inizio pagamento rata</t>
  </si>
  <si>
    <t>A5</t>
  </si>
  <si>
    <t>Importo Mutuo</t>
  </si>
  <si>
    <t>A6</t>
  </si>
  <si>
    <t>Numero rate annuali (da 1 a 4)</t>
  </si>
  <si>
    <t>A7</t>
  </si>
  <si>
    <t>Numero anni</t>
  </si>
  <si>
    <t>A8</t>
  </si>
  <si>
    <t>Durata (numero rate totali)</t>
  </si>
  <si>
    <t>A9</t>
  </si>
  <si>
    <t>A10</t>
  </si>
  <si>
    <t>Tasso di interesse effettivo</t>
  </si>
  <si>
    <t>A11</t>
  </si>
  <si>
    <t>A12</t>
  </si>
  <si>
    <t>Rata (quota capitale + oneri finanziari)</t>
  </si>
  <si>
    <t>A13</t>
  </si>
  <si>
    <t>A14</t>
  </si>
  <si>
    <t>periodo</t>
  </si>
  <si>
    <t>A15</t>
  </si>
  <si>
    <t>Mutuo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</si>
  <si>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</si>
  <si>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</si>
  <si>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</si>
  <si>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</si>
  <si>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</si>
  <si>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</si>
  <si>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</si>
  <si>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</si>
  <si>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</si>
  <si>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</si>
  <si>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</si>
  <si>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</si>
  <si>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</si>
  <si>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</si>
  <si>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</si>
  <si>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</si>
  <si>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</si>
  <si>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</si>
  <si>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</si>
  <si>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</si>
  <si>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Rata</t>
  </si>
  <si>
    <t>Quota Capitale</t>
  </si>
  <si>
    <t>Quota Capitale Cumulata</t>
  </si>
  <si>
    <t xml:space="preserve">Oneri Finanziari </t>
  </si>
  <si>
    <t>Debito Residuo</t>
  </si>
  <si>
    <t>SP</t>
  </si>
  <si>
    <t>Banca</t>
  </si>
  <si>
    <t>CE</t>
  </si>
  <si>
    <t>ONERI FINANZIARI</t>
  </si>
  <si>
    <t>Entrate</t>
  </si>
  <si>
    <t>Uscite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</si>
  <si>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</si>
  <si>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</si>
  <si>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</si>
  <si>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</si>
  <si>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</si>
  <si>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</si>
  <si>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</si>
  <si>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</si>
  <si>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</si>
  <si>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</si>
  <si>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</si>
  <si>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</si>
  <si>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</si>
  <si>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</si>
  <si>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</si>
  <si>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</si>
  <si>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</si>
  <si>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</si>
  <si>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</si>
  <si>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</si>
  <si>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</si>
  <si>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</si>
  <si>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</si>
  <si>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</si>
  <si>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</si>
  <si>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</si>
  <si>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</si>
  <si>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</si>
  <si>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</si>
  <si>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</si>
  <si>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</si>
  <si>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</si>
  <si>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</si>
  <si>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</si>
  <si>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</si>
  <si>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</si>
  <si>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</si>
  <si>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</si>
  <si>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</si>
  <si>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</si>
  <si>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</si>
  <si>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</si>
  <si>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</si>
  <si>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</si>
  <si>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</si>
  <si>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</si>
  <si>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</si>
  <si>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</si>
  <si>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</si>
  <si>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</si>
  <si>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</si>
  <si>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</si>
  <si>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</si>
  <si>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</si>
  <si>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</si>
  <si>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</si>
  <si>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</si>
  <si>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</si>
  <si>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</si>
  <si>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</si>
  <si>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</si>
  <si>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</si>
  <si>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</si>
  <si>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</si>
  <si>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</si>
  <si>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</si>
  <si>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</si>
  <si>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</si>
  <si>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</si>
  <si>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</si>
  <si>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</si>
  <si>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</si>
  <si>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</si>
  <si>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</si>
  <si>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</si>
  <si>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</si>
  <si>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</si>
  <si>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</si>
  <si>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</si>
  <si>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</si>
  <si>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</si>
  <si>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</si>
  <si>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</si>
  <si>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</si>
  <si>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</si>
  <si>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</t>
  </si>
  <si>
    <t>Quota Interessi</t>
  </si>
  <si>
    <t>oneri finanziari m/l termine</t>
  </si>
  <si>
    <t>3° Finanziamento Soci</t>
  </si>
  <si>
    <t>Finanziamento</t>
  </si>
  <si>
    <t>Finanziamento Soci</t>
  </si>
  <si>
    <t>3° Liquidazione TFR</t>
  </si>
  <si>
    <t>Quota TFR</t>
  </si>
  <si>
    <t xml:space="preserve">Fondo tfr </t>
  </si>
  <si>
    <t>Fondo TFR netto</t>
  </si>
  <si>
    <t>Rilascio fondo per dimissioni</t>
  </si>
  <si>
    <t>Liquidazione TFR</t>
  </si>
  <si>
    <t>Entrate Finanziamento m/l term</t>
  </si>
  <si>
    <t>Uscite Finanziamento m/l term</t>
  </si>
  <si>
    <t>Finanziamento soci</t>
  </si>
  <si>
    <t>Finanziamento m/lungo termine netto</t>
  </si>
  <si>
    <t>Accendione Mutuo</t>
  </si>
  <si>
    <t>Rimborso quota capitale</t>
  </si>
  <si>
    <t>1° operazione: Aumento capitale sociale</t>
  </si>
  <si>
    <t>Capitale Netto</t>
  </si>
  <si>
    <t>Capitale Sociale</t>
  </si>
  <si>
    <t>2° Variazione Riserve</t>
  </si>
  <si>
    <t>Destinazione utile a Riserva legale</t>
  </si>
  <si>
    <t>Riserva Legale</t>
  </si>
  <si>
    <t>3° Distribuzione Utili</t>
  </si>
  <si>
    <t>Distribuzione Utili</t>
  </si>
  <si>
    <t>Variazione Capitale sociale</t>
  </si>
  <si>
    <t>Utile distribuito</t>
  </si>
  <si>
    <t>Cash Flow capitale netto</t>
  </si>
  <si>
    <t>Entrate per vendite</t>
  </si>
  <si>
    <t>1° operazione: Oneri e Proventi Finanziari</t>
  </si>
  <si>
    <t>2° Variazione: Gestione straordinaria</t>
  </si>
  <si>
    <t>Imposte di esercizio</t>
  </si>
  <si>
    <t>3° Imposte di esercizio</t>
  </si>
  <si>
    <t>Imposte liquidate nell'anno</t>
  </si>
  <si>
    <t>-/+ Oneri e Proventi finanziari</t>
  </si>
  <si>
    <t xml:space="preserve"> -/+ Gestione straordinaria</t>
  </si>
  <si>
    <t>-/+ Oneri/Proventi finanziari</t>
  </si>
  <si>
    <t>-/+ Gestione straordinaria</t>
  </si>
  <si>
    <t>Imposte di Esercizio</t>
  </si>
  <si>
    <t>+/- Utile/Perdita</t>
  </si>
  <si>
    <t>Debiti Tributari</t>
  </si>
  <si>
    <t>Dismissione Fondo</t>
  </si>
  <si>
    <t>Cash Flow immobilizzazioni</t>
  </si>
  <si>
    <t>vedi dettagli</t>
  </si>
  <si>
    <t>HOME</t>
  </si>
  <si>
    <t>-/+ Oneri/Proventi finanziari su c/c</t>
  </si>
  <si>
    <t>Cash Flow Finale (variazione Banca/Cassa)</t>
  </si>
  <si>
    <t>Cash flow residuale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</si>
</sst>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"/>
    <numFmt numFmtId="165" formatCode="&quot;€&quot;\ #,##0"/>
    <numFmt numFmtId="166" formatCode="&quot;€&quot;\ #,##0.00000000000"/>
    <numFmt numFmtId="167" formatCode="&quot;€&quot;\ 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Book Antiqua"/>
      <family val="1"/>
    </font>
    <font>
      <b/>
      <sz val="8"/>
      <name val="Book Antiqua"/>
      <family val="1"/>
    </font>
    <font>
      <sz val="11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9FBA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0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0" xfId="0" applyNumberFormat="1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/>
    </xf>
    <xf numFmtId="0" fontId="2" fillId="0" borderId="0" xfId="0" applyFont="1"/>
    <xf numFmtId="165" fontId="0" fillId="3" borderId="0" xfId="0" applyNumberForma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165" fontId="2" fillId="4" borderId="0" xfId="0" applyNumberFormat="1" applyFont="1" applyFill="1" applyAlignment="1">
      <alignment horizontal="center"/>
    </xf>
    <xf numFmtId="9" fontId="0" fillId="3" borderId="0" xfId="1" applyFont="1" applyFill="1" applyBorder="1"/>
    <xf numFmtId="9" fontId="0" fillId="3" borderId="5" xfId="1" applyFont="1" applyFill="1" applyBorder="1"/>
    <xf numFmtId="166" fontId="0" fillId="0" borderId="0" xfId="0" applyNumberFormat="1"/>
    <xf numFmtId="0" fontId="0" fillId="0" borderId="0" xfId="0" quotePrefix="1"/>
    <xf numFmtId="167" fontId="0" fillId="0" borderId="0" xfId="0" applyNumberFormat="1"/>
    <xf numFmtId="0" fontId="2" fillId="4" borderId="0" xfId="0" applyFont="1" applyFill="1"/>
    <xf numFmtId="0" fontId="0" fillId="0" borderId="0" xfId="0" applyAlignment="1">
      <alignment horizontal="center"/>
    </xf>
    <xf numFmtId="9" fontId="0" fillId="3" borderId="0" xfId="1" applyFont="1" applyFill="1" applyBorder="1" applyAlignment="1">
      <alignment horizontal="center"/>
    </xf>
    <xf numFmtId="9" fontId="0" fillId="3" borderId="5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5" borderId="0" xfId="0" applyFill="1"/>
    <xf numFmtId="0" fontId="5" fillId="6" borderId="9" xfId="0" applyFont="1" applyFill="1" applyBorder="1" applyAlignment="1" applyProtection="1">
      <alignment vertical="center"/>
      <protection hidden="1"/>
    </xf>
    <xf numFmtId="0" fontId="0" fillId="7" borderId="0" xfId="0" applyFill="1"/>
    <xf numFmtId="17" fontId="5" fillId="7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 applyProtection="1">
      <alignment vertical="center"/>
      <protection hidden="1"/>
    </xf>
    <xf numFmtId="2" fontId="5" fillId="8" borderId="10" xfId="0" applyNumberFormat="1" applyFont="1" applyFill="1" applyBorder="1" applyAlignment="1" applyProtection="1">
      <alignment horizontal="center" vertical="center" wrapText="1"/>
      <protection locked="0"/>
    </xf>
    <xf numFmtId="9" fontId="5" fillId="8" borderId="10" xfId="1" applyFont="1" applyFill="1" applyBorder="1" applyAlignment="1" applyProtection="1">
      <alignment horizontal="center" vertical="center" wrapText="1"/>
      <protection locked="0"/>
    </xf>
    <xf numFmtId="17" fontId="5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vertical="center"/>
      <protection hidden="1"/>
    </xf>
    <xf numFmtId="164" fontId="5" fillId="8" borderId="10" xfId="0" applyNumberFormat="1" applyFont="1" applyFill="1" applyBorder="1" applyAlignment="1" applyProtection="1">
      <alignment horizontal="center" vertical="center" wrapText="1"/>
      <protection locked="0"/>
    </xf>
    <xf numFmtId="1" fontId="5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vertical="center" wrapText="1"/>
      <protection hidden="1"/>
    </xf>
    <xf numFmtId="3" fontId="7" fillId="8" borderId="9" xfId="0" applyNumberFormat="1" applyFont="1" applyFill="1" applyBorder="1" applyAlignment="1" applyProtection="1">
      <alignment horizontal="center"/>
      <protection hidden="1"/>
    </xf>
    <xf numFmtId="0" fontId="5" fillId="6" borderId="13" xfId="0" applyFont="1" applyFill="1" applyBorder="1" applyAlignment="1" applyProtection="1">
      <alignment vertical="center"/>
      <protection hidden="1"/>
    </xf>
    <xf numFmtId="0" fontId="8" fillId="6" borderId="10" xfId="0" applyFont="1" applyFill="1" applyBorder="1" applyAlignment="1">
      <alignment horizontal="center"/>
    </xf>
    <xf numFmtId="9" fontId="1" fillId="9" borderId="0" xfId="1" applyNumberFormat="1" applyFont="1" applyFill="1" applyAlignment="1" applyProtection="1">
      <alignment horizontal="center"/>
      <protection hidden="1"/>
    </xf>
    <xf numFmtId="165" fontId="0" fillId="9" borderId="0" xfId="0" applyNumberFormat="1" applyFill="1" applyAlignment="1" applyProtection="1">
      <alignment horizontal="center"/>
      <protection hidden="1"/>
    </xf>
    <xf numFmtId="0" fontId="4" fillId="5" borderId="0" xfId="0" applyFont="1" applyFill="1"/>
    <xf numFmtId="0" fontId="3" fillId="5" borderId="0" xfId="0" applyFont="1" applyFill="1"/>
    <xf numFmtId="0" fontId="4" fillId="0" borderId="0" xfId="0" applyFont="1"/>
    <xf numFmtId="0" fontId="4" fillId="7" borderId="0" xfId="0" applyFont="1" applyFill="1"/>
    <xf numFmtId="0" fontId="5" fillId="6" borderId="9" xfId="0" applyFont="1" applyFill="1" applyBorder="1" applyAlignment="1" applyProtection="1">
      <alignment horizontal="center" vertical="center" wrapText="1"/>
      <protection hidden="1"/>
    </xf>
    <xf numFmtId="17" fontId="5" fillId="6" borderId="10" xfId="0" applyNumberFormat="1" applyFont="1" applyFill="1" applyBorder="1" applyAlignment="1" applyProtection="1">
      <alignment horizontal="center" vertical="center" wrapText="1"/>
      <protection hidden="1"/>
    </xf>
    <xf numFmtId="17" fontId="5" fillId="6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vertical="center"/>
      <protection hidden="1"/>
    </xf>
    <xf numFmtId="165" fontId="0" fillId="5" borderId="0" xfId="0" applyNumberFormat="1" applyFill="1"/>
    <xf numFmtId="17" fontId="0" fillId="5" borderId="0" xfId="0" applyNumberFormat="1" applyFill="1"/>
    <xf numFmtId="164" fontId="0" fillId="5" borderId="0" xfId="0" applyNumberFormat="1" applyFill="1"/>
    <xf numFmtId="1" fontId="0" fillId="3" borderId="0" xfId="0" applyNumberFormat="1" applyFill="1" applyBorder="1" applyAlignment="1">
      <alignment horizontal="center"/>
    </xf>
    <xf numFmtId="165" fontId="0" fillId="4" borderId="0" xfId="0" applyNumberFormat="1" applyFont="1" applyFill="1" applyAlignment="1">
      <alignment horizontal="center"/>
    </xf>
    <xf numFmtId="165" fontId="0" fillId="4" borderId="5" xfId="0" applyNumberFormat="1" applyFont="1" applyFill="1" applyBorder="1" applyAlignment="1">
      <alignment horizontal="center"/>
    </xf>
    <xf numFmtId="0" fontId="0" fillId="0" borderId="0" xfId="0" applyFont="1"/>
    <xf numFmtId="165" fontId="0" fillId="0" borderId="5" xfId="0" applyNumberForma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4" xfId="0" quotePrefix="1" applyBorder="1"/>
    <xf numFmtId="0" fontId="2" fillId="0" borderId="0" xfId="0" quotePrefix="1" applyFont="1"/>
    <xf numFmtId="165" fontId="2" fillId="0" borderId="0" xfId="0" applyNumberFormat="1" applyFont="1" applyFill="1" applyAlignment="1">
      <alignment horizontal="center"/>
    </xf>
    <xf numFmtId="0" fontId="9" fillId="0" borderId="0" xfId="2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showGridLines="0" tabSelected="1" topLeftCell="A11" workbookViewId="0">
      <selection activeCell="E41" sqref="E41"/>
    </sheetView>
  </sheetViews>
  <sheetFormatPr defaultRowHeight="15" x14ac:dyDescent="0.25"/>
  <cols>
    <col min="1" max="1" width="2" style="35" bestFit="1" customWidth="1"/>
    <col min="2" max="4" width="2.5703125" customWidth="1"/>
    <col min="5" max="5" width="39" bestFit="1" customWidth="1"/>
    <col min="9" max="9" width="2.7109375" customWidth="1"/>
    <col min="10" max="10" width="16.5703125" customWidth="1"/>
    <col min="13" max="13" width="1.7109375" customWidth="1"/>
    <col min="14" max="14" width="23.7109375" customWidth="1"/>
  </cols>
  <sheetData>
    <row r="2" spans="1:10" x14ac:dyDescent="0.25">
      <c r="E2" s="27" t="s">
        <v>12</v>
      </c>
      <c r="F2" s="18" t="s">
        <v>45</v>
      </c>
      <c r="G2" s="18" t="s">
        <v>46</v>
      </c>
    </row>
    <row r="4" spans="1:10" x14ac:dyDescent="0.25">
      <c r="E4" t="s">
        <v>16</v>
      </c>
      <c r="F4" s="3">
        <f>+CIRCOLANTE!L4</f>
        <v>66666.666666666672</v>
      </c>
      <c r="G4" s="3">
        <f>+CIRCOLANTE!M4</f>
        <v>66666.666666666657</v>
      </c>
    </row>
    <row r="5" spans="1:10" x14ac:dyDescent="0.25">
      <c r="E5" t="s">
        <v>19</v>
      </c>
      <c r="F5" s="3">
        <f>+CIRCOLANTE!L5</f>
        <v>-45833.333333333336</v>
      </c>
      <c r="G5" s="3">
        <f>+CIRCOLANTE!M5</f>
        <v>-45833.333333333328</v>
      </c>
    </row>
    <row r="7" spans="1:10" x14ac:dyDescent="0.25">
      <c r="E7" t="s">
        <v>28</v>
      </c>
      <c r="F7" s="3">
        <f>+CIRCOLANTE!L10</f>
        <v>0</v>
      </c>
      <c r="G7" s="3">
        <f>+CIRCOLANTE!M10</f>
        <v>0</v>
      </c>
    </row>
    <row r="8" spans="1:10" x14ac:dyDescent="0.25">
      <c r="E8" t="s">
        <v>29</v>
      </c>
      <c r="F8" s="3">
        <f>+CIRCOLANTE!L11</f>
        <v>0</v>
      </c>
      <c r="G8" s="3">
        <f>+CIRCOLANTE!M11</f>
        <v>0</v>
      </c>
    </row>
    <row r="10" spans="1:10" x14ac:dyDescent="0.25">
      <c r="E10" s="32" t="s">
        <v>54</v>
      </c>
      <c r="F10" s="3">
        <f>+CIRCOLANTE!L13</f>
        <v>525</v>
      </c>
      <c r="G10" s="3">
        <f>+CIRCOLANTE!M13</f>
        <v>525</v>
      </c>
    </row>
    <row r="11" spans="1:10" x14ac:dyDescent="0.25">
      <c r="A11" s="35">
        <v>1</v>
      </c>
      <c r="E11" s="19" t="s">
        <v>49</v>
      </c>
      <c r="F11" s="78">
        <f>SUM(F4:F10)</f>
        <v>21358.333333333336</v>
      </c>
      <c r="G11" s="78">
        <f>SUM(G4:G10)</f>
        <v>21358.333333333328</v>
      </c>
      <c r="J11" s="79" t="s">
        <v>307</v>
      </c>
    </row>
    <row r="13" spans="1:10" x14ac:dyDescent="0.25">
      <c r="E13" t="s">
        <v>60</v>
      </c>
      <c r="F13" s="3">
        <f>+IMMOBILIZZAZIONI!L5</f>
        <v>0</v>
      </c>
      <c r="G13" s="3">
        <f>+IMMOBILIZZAZIONI!M5</f>
        <v>-60000</v>
      </c>
    </row>
    <row r="14" spans="1:10" x14ac:dyDescent="0.25">
      <c r="E14" t="s">
        <v>61</v>
      </c>
      <c r="F14" s="3">
        <f>+IMMOBILIZZAZIONI!L7</f>
        <v>15000</v>
      </c>
      <c r="G14" s="3">
        <f>+IMMOBILIZZAZIONI!M7</f>
        <v>0</v>
      </c>
    </row>
    <row r="16" spans="1:10" x14ac:dyDescent="0.25">
      <c r="E16" s="32" t="s">
        <v>54</v>
      </c>
      <c r="F16" s="3">
        <f>+IMMOBILIZZAZIONI!L15</f>
        <v>-7350</v>
      </c>
      <c r="G16" s="3">
        <f>+IMMOBILIZZAZIONI!M15</f>
        <v>0</v>
      </c>
    </row>
    <row r="17" spans="1:10" x14ac:dyDescent="0.25">
      <c r="A17" s="35">
        <v>2</v>
      </c>
      <c r="E17" s="19" t="s">
        <v>306</v>
      </c>
      <c r="F17" s="78">
        <f>SUM(F13:F16)</f>
        <v>7650</v>
      </c>
      <c r="G17" s="78">
        <f>SUM(G13:G16)</f>
        <v>-60000</v>
      </c>
      <c r="J17" s="79" t="s">
        <v>307</v>
      </c>
    </row>
    <row r="19" spans="1:10" x14ac:dyDescent="0.25">
      <c r="E19" t="s">
        <v>275</v>
      </c>
      <c r="F19" s="3">
        <f>+'Gestione Fin Lungo termine'!L8</f>
        <v>60000</v>
      </c>
      <c r="G19" s="3">
        <f>+'Gestione Fin Lungo termine'!M8</f>
        <v>0</v>
      </c>
    </row>
    <row r="20" spans="1:10" x14ac:dyDescent="0.25">
      <c r="E20" t="s">
        <v>276</v>
      </c>
      <c r="F20" s="3">
        <f>+'Gestione Fin Lungo termine'!L9</f>
        <v>-8542.6501636418834</v>
      </c>
      <c r="G20" s="3">
        <f>+'Gestione Fin Lungo termine'!M9</f>
        <v>-8542.6501636418834</v>
      </c>
    </row>
    <row r="21" spans="1:10" x14ac:dyDescent="0.25">
      <c r="F21" s="3"/>
      <c r="G21" s="3"/>
    </row>
    <row r="22" spans="1:10" x14ac:dyDescent="0.25">
      <c r="E22" t="s">
        <v>277</v>
      </c>
      <c r="F22" s="3">
        <f>+'Gestione Fin Lungo termine'!L13</f>
        <v>30000</v>
      </c>
      <c r="G22" s="3">
        <f>+'Gestione Fin Lungo termine'!M13</f>
        <v>0</v>
      </c>
    </row>
    <row r="23" spans="1:10" x14ac:dyDescent="0.25">
      <c r="E23" t="s">
        <v>274</v>
      </c>
      <c r="F23" s="3">
        <f>+'Gestione Fin Lungo termine'!L14</f>
        <v>0</v>
      </c>
      <c r="G23" s="3">
        <f>+'Gestione Fin Lungo termine'!M14</f>
        <v>-8000</v>
      </c>
    </row>
    <row r="24" spans="1:10" ht="30" x14ac:dyDescent="0.25">
      <c r="A24" s="35">
        <v>3</v>
      </c>
      <c r="E24" s="40" t="s">
        <v>111</v>
      </c>
      <c r="F24" s="78">
        <f>SUM(F19:F23)</f>
        <v>81457.349836358117</v>
      </c>
      <c r="G24" s="78">
        <f>SUM(G19:G23)</f>
        <v>-16542.650163641883</v>
      </c>
      <c r="J24" s="79" t="s">
        <v>307</v>
      </c>
    </row>
    <row r="26" spans="1:10" x14ac:dyDescent="0.25">
      <c r="E26" t="s">
        <v>289</v>
      </c>
      <c r="F26" s="3">
        <f>+'Gestione fin cap netto'!L20</f>
        <v>80000</v>
      </c>
      <c r="G26" s="3">
        <f>+'Gestione fin cap netto'!M20</f>
        <v>30000</v>
      </c>
    </row>
    <row r="27" spans="1:10" x14ac:dyDescent="0.25">
      <c r="E27" t="s">
        <v>290</v>
      </c>
      <c r="F27" s="3">
        <f>+'Gestione fin cap netto'!L22</f>
        <v>0</v>
      </c>
      <c r="G27" s="3">
        <f>+'Gestione fin cap netto'!M22</f>
        <v>-15000</v>
      </c>
    </row>
    <row r="28" spans="1:10" x14ac:dyDescent="0.25">
      <c r="A28" s="35">
        <v>4</v>
      </c>
      <c r="E28" s="40" t="s">
        <v>291</v>
      </c>
      <c r="F28" s="78">
        <f>SUM(F26:F27)</f>
        <v>80000</v>
      </c>
      <c r="G28" s="78">
        <f>SUM(G26:G27)</f>
        <v>15000</v>
      </c>
      <c r="J28" s="79" t="s">
        <v>307</v>
      </c>
    </row>
    <row r="30" spans="1:10" x14ac:dyDescent="0.25">
      <c r="E30" s="32" t="s">
        <v>309</v>
      </c>
      <c r="F30" s="3">
        <f>+'Gestione fin residuale'!L15</f>
        <v>-10000</v>
      </c>
      <c r="G30" s="3">
        <f>+'Gestione fin residuale'!M15</f>
        <v>-15000</v>
      </c>
    </row>
    <row r="31" spans="1:10" x14ac:dyDescent="0.25">
      <c r="E31" s="32" t="s">
        <v>301</v>
      </c>
      <c r="F31" s="3">
        <f>+'Gestione fin residuale'!L17</f>
        <v>5000</v>
      </c>
      <c r="G31" s="3">
        <f>+'Gestione fin residuale'!M17</f>
        <v>-8000</v>
      </c>
    </row>
    <row r="32" spans="1:10" x14ac:dyDescent="0.25">
      <c r="E32" t="s">
        <v>302</v>
      </c>
      <c r="F32" s="3">
        <f>+'Gestione fin cap netto'!L22</f>
        <v>0</v>
      </c>
      <c r="G32" s="3">
        <f>+'Gestione fin cap netto'!M22</f>
        <v>-15000</v>
      </c>
    </row>
    <row r="33" spans="1:10" x14ac:dyDescent="0.25">
      <c r="A33" s="35">
        <v>5</v>
      </c>
      <c r="E33" s="40" t="s">
        <v>311</v>
      </c>
      <c r="F33" s="78">
        <f>SUM(F30:F32)</f>
        <v>-5000</v>
      </c>
      <c r="G33" s="78">
        <f>SUM(G30:G32)</f>
        <v>-38000</v>
      </c>
      <c r="J33" s="79" t="s">
        <v>307</v>
      </c>
    </row>
    <row r="36" spans="1:10" x14ac:dyDescent="0.25">
      <c r="E36" s="40" t="s">
        <v>310</v>
      </c>
      <c r="F36" s="26">
        <f>+F11+F17+F24+F28+F33</f>
        <v>185465.68316969145</v>
      </c>
      <c r="G36" s="26">
        <f>+G11+G17+G24+G28+G33</f>
        <v>-78184.316830308555</v>
      </c>
    </row>
  </sheetData>
  <hyperlinks>
    <hyperlink ref="J11" location="CIRCOLANTE!A1" display="vedi dettagli"/>
    <hyperlink ref="J17" location="IMMOBILIZZAZIONI!A1" display="vedi dettagli"/>
    <hyperlink ref="J24" location="'Gestione Fin Lungo termine'!A1" display="vedi dettagli"/>
    <hyperlink ref="J28" location="'Gestione fin cap netto'!A1" display="vedi dettagli"/>
    <hyperlink ref="J33" location="'Gestione fin residuale'!A1" display="vedi dettagli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8"/>
  <sheetViews>
    <sheetView workbookViewId="0">
      <selection activeCell="C18" sqref="C18:D18"/>
    </sheetView>
  </sheetViews>
  <sheetFormatPr defaultRowHeight="15" x14ac:dyDescent="0.25"/>
  <cols>
    <col min="2" max="2" width="11.5703125" bestFit="1" customWidth="1"/>
    <col min="3" max="4" width="10.5703125" bestFit="1" customWidth="1"/>
  </cols>
  <sheetData>
    <row r="3" spans="2:7" x14ac:dyDescent="0.25">
      <c r="C3" t="s">
        <v>45</v>
      </c>
      <c r="D3" t="s">
        <v>46</v>
      </c>
    </row>
    <row r="4" spans="2:7" x14ac:dyDescent="0.25">
      <c r="B4" t="s">
        <v>50</v>
      </c>
      <c r="C4" s="1">
        <f>+CIRCOLANTE!D76*CIRCOLANTE!D32</f>
        <v>16800</v>
      </c>
      <c r="D4" s="1">
        <f>+CIRCOLANTE!E76*CIRCOLANTE!E32</f>
        <v>16800</v>
      </c>
    </row>
    <row r="5" spans="2:7" x14ac:dyDescent="0.25">
      <c r="B5" t="s">
        <v>53</v>
      </c>
      <c r="C5" s="1">
        <f>+(CIRCOLANTE!D42*CIRCOLANTE!D77)+(CIRCOLANTE!D51*CIRCOLANTE!D78)+(CIRCOLANTE!D60*CIRCOLANTE!D79)</f>
        <v>10500</v>
      </c>
      <c r="D5" s="1">
        <f>+(CIRCOLANTE!E42*CIRCOLANTE!E77)+(CIRCOLANTE!E51*CIRCOLANTE!E78)+(CIRCOLANTE!E60*CIRCOLANTE!E79)</f>
        <v>10500</v>
      </c>
    </row>
    <row r="6" spans="2:7" x14ac:dyDescent="0.25">
      <c r="B6" t="s">
        <v>52</v>
      </c>
      <c r="C6" s="1">
        <f>+C4-C5</f>
        <v>6300</v>
      </c>
      <c r="D6" s="1">
        <f>+D4-D5</f>
        <v>6300</v>
      </c>
    </row>
    <row r="8" spans="2:7" x14ac:dyDescent="0.25">
      <c r="B8" t="s">
        <v>53</v>
      </c>
      <c r="C8" s="1">
        <f>+IF(C6&lt;0,-(C6),0)</f>
        <v>0</v>
      </c>
      <c r="D8" s="1">
        <f>+IF(D6&lt;0,-(D6),0)</f>
        <v>0</v>
      </c>
    </row>
    <row r="9" spans="2:7" x14ac:dyDescent="0.25">
      <c r="B9" t="s">
        <v>50</v>
      </c>
      <c r="C9" s="1">
        <f>+IF(C6&gt;0,C6/12,0)</f>
        <v>525</v>
      </c>
      <c r="D9" s="1">
        <f>+IF(D6&gt;0,D6/12,0)</f>
        <v>525</v>
      </c>
    </row>
    <row r="12" spans="2:7" x14ac:dyDescent="0.25">
      <c r="C12" t="s">
        <v>45</v>
      </c>
      <c r="D12" t="s">
        <v>46</v>
      </c>
    </row>
    <row r="13" spans="2:7" x14ac:dyDescent="0.25">
      <c r="B13" t="s">
        <v>50</v>
      </c>
      <c r="C13" s="1">
        <f>+IMMOBILIZZAZIONI!D58*IMMOBILIZZAZIONI!D64</f>
        <v>3150</v>
      </c>
      <c r="D13" s="1">
        <f>+IMMOBILIZZAZIONI!E58*IMMOBILIZZAZIONI!E64</f>
        <v>2100</v>
      </c>
      <c r="F13">
        <v>32</v>
      </c>
      <c r="G13">
        <v>61</v>
      </c>
    </row>
    <row r="14" spans="2:7" x14ac:dyDescent="0.25">
      <c r="B14" t="s">
        <v>53</v>
      </c>
      <c r="C14" s="1">
        <f>+IMMOBILIZZAZIONI!D65*IMMOBILIZZAZIONI!D36</f>
        <v>10500</v>
      </c>
      <c r="D14" s="1">
        <f>+IMMOBILIZZAZIONI!E65*IMMOBILIZZAZIONI!E36</f>
        <v>2100</v>
      </c>
      <c r="F14">
        <v>54</v>
      </c>
      <c r="G14">
        <v>60</v>
      </c>
    </row>
    <row r="15" spans="2:7" x14ac:dyDescent="0.25">
      <c r="B15" t="s">
        <v>52</v>
      </c>
      <c r="C15" s="1">
        <f>+C13-C14</f>
        <v>-7350</v>
      </c>
      <c r="D15" s="1">
        <f>+D13-D14</f>
        <v>0</v>
      </c>
    </row>
    <row r="17" spans="2:4" x14ac:dyDescent="0.25">
      <c r="B17" t="s">
        <v>53</v>
      </c>
      <c r="C17" s="1">
        <f>+IF(C15&lt;0,-(C15),0)</f>
        <v>7350</v>
      </c>
      <c r="D17" s="1">
        <f>+IF(D15&lt;0,-(D15),0)</f>
        <v>0</v>
      </c>
    </row>
    <row r="18" spans="2:4" x14ac:dyDescent="0.25">
      <c r="B18" t="s">
        <v>104</v>
      </c>
      <c r="C18" s="1">
        <f>+IF(C15&gt;0,C15/12,0)</f>
        <v>0</v>
      </c>
      <c r="D18" s="1">
        <f>+IF(D15&gt;0,D15/12,0)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>
      <selection activeCell="E32" sqref="E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P80"/>
  <sheetViews>
    <sheetView showGridLines="0" topLeftCell="A24" workbookViewId="0">
      <selection activeCell="E34" sqref="E34"/>
    </sheetView>
  </sheetViews>
  <sheetFormatPr defaultRowHeight="15" x14ac:dyDescent="0.25"/>
  <cols>
    <col min="1" max="1" width="2.7109375" customWidth="1"/>
    <col min="2" max="2" width="23.140625" customWidth="1"/>
    <col min="3" max="3" width="24" customWidth="1"/>
    <col min="4" max="4" width="11.42578125" bestFit="1" customWidth="1"/>
    <col min="5" max="5" width="15.85546875" customWidth="1"/>
    <col min="6" max="6" width="2.7109375" customWidth="1"/>
    <col min="7" max="7" width="21.7109375" bestFit="1" customWidth="1"/>
    <col min="8" max="8" width="11.5703125" bestFit="1" customWidth="1"/>
    <col min="9" max="9" width="9.85546875" bestFit="1" customWidth="1"/>
    <col min="10" max="10" width="2.7109375" customWidth="1"/>
    <col min="11" max="11" width="19.42578125" bestFit="1" customWidth="1"/>
    <col min="12" max="12" width="18.42578125" bestFit="1" customWidth="1"/>
    <col min="13" max="13" width="16.5703125" bestFit="1" customWidth="1"/>
    <col min="14" max="14" width="2.7109375" customWidth="1"/>
  </cols>
  <sheetData>
    <row r="1" spans="1:14" x14ac:dyDescent="0.25">
      <c r="B1" s="79" t="s">
        <v>308</v>
      </c>
    </row>
    <row r="2" spans="1:14" x14ac:dyDescent="0.25">
      <c r="A2" s="4"/>
      <c r="B2" s="19" t="s">
        <v>33</v>
      </c>
      <c r="C2" s="18" t="s">
        <v>44</v>
      </c>
      <c r="D2" s="18" t="s">
        <v>45</v>
      </c>
      <c r="E2" s="18" t="s">
        <v>46</v>
      </c>
      <c r="F2" s="4"/>
      <c r="G2" s="27" t="s">
        <v>34</v>
      </c>
      <c r="H2" s="18" t="s">
        <v>45</v>
      </c>
      <c r="I2" s="18" t="s">
        <v>46</v>
      </c>
      <c r="J2" s="4"/>
      <c r="K2" s="27" t="s">
        <v>12</v>
      </c>
      <c r="L2" s="18" t="s">
        <v>45</v>
      </c>
      <c r="M2" s="18" t="s">
        <v>46</v>
      </c>
      <c r="N2" s="4"/>
    </row>
    <row r="3" spans="1:14" x14ac:dyDescent="0.25">
      <c r="A3" s="4"/>
      <c r="F3" s="4"/>
      <c r="J3" s="4"/>
      <c r="N3" s="4"/>
    </row>
    <row r="4" spans="1:14" x14ac:dyDescent="0.25">
      <c r="A4" s="4"/>
      <c r="B4" t="s">
        <v>3</v>
      </c>
      <c r="F4" s="4"/>
      <c r="G4" t="s">
        <v>0</v>
      </c>
      <c r="H4" s="2">
        <f>+D32</f>
        <v>80000</v>
      </c>
      <c r="I4" s="2">
        <f>+E32</f>
        <v>80000</v>
      </c>
      <c r="J4" s="4"/>
      <c r="K4" t="s">
        <v>16</v>
      </c>
      <c r="L4" s="3">
        <f>+H4+C7-D7</f>
        <v>66666.666666666672</v>
      </c>
      <c r="M4" s="3">
        <f>+I4+D7-E7</f>
        <v>66666.666666666657</v>
      </c>
      <c r="N4" s="4"/>
    </row>
    <row r="5" spans="1:14" x14ac:dyDescent="0.25">
      <c r="A5" s="4"/>
      <c r="F5" s="4"/>
      <c r="G5" t="s">
        <v>17</v>
      </c>
      <c r="H5" s="2">
        <f>+D42</f>
        <v>50000</v>
      </c>
      <c r="I5" s="2">
        <f>+E42</f>
        <v>50000</v>
      </c>
      <c r="J5" s="4"/>
      <c r="K5" t="s">
        <v>19</v>
      </c>
      <c r="L5" s="3">
        <f>-(+H5+C15-D15)</f>
        <v>-45833.333333333336</v>
      </c>
      <c r="M5" s="3">
        <f>-(+I5+D15-E15)</f>
        <v>-45833.333333333328</v>
      </c>
      <c r="N5" s="4"/>
    </row>
    <row r="6" spans="1:14" x14ac:dyDescent="0.25">
      <c r="A6" s="4"/>
      <c r="B6" t="s">
        <v>4</v>
      </c>
      <c r="C6" s="3">
        <v>0</v>
      </c>
      <c r="D6" s="25">
        <f>+D32-D7-D8</f>
        <v>66666.666666666672</v>
      </c>
      <c r="E6" s="25">
        <f>+E32-E7+D7+D6-E8+D8</f>
        <v>133333.33333333331</v>
      </c>
      <c r="F6" s="4"/>
      <c r="G6" t="s">
        <v>38</v>
      </c>
      <c r="H6" s="2">
        <f>+D10-C10</f>
        <v>6666.666666666667</v>
      </c>
      <c r="I6" s="2">
        <f>+E10-D10</f>
        <v>6666.666666666667</v>
      </c>
      <c r="J6" s="4"/>
      <c r="N6" s="4"/>
    </row>
    <row r="7" spans="1:14" x14ac:dyDescent="0.25">
      <c r="A7" s="4"/>
      <c r="B7" t="s">
        <v>1</v>
      </c>
      <c r="C7" s="3">
        <v>0</v>
      </c>
      <c r="D7" s="3">
        <f>+IF(D34=0,0,IF(D34=30,((D32)/12),IF(D34=60,(D32)/6,IF(D34=90,(D32)/4,IF(D34=120,(D32)/3,(D32)*(5/12))))))</f>
        <v>13333.333333333334</v>
      </c>
      <c r="E7" s="3">
        <f>+IF(E34=0,0,IF(E34=30,((E32)/12),IF(E34=60,(E32)/6,IF(E34=90,(E32)/4,IF(E34=120,(E32)/3,(E32)*(5/12))))))+D7</f>
        <v>26666.666666666668</v>
      </c>
      <c r="F7" s="4"/>
      <c r="G7" s="19" t="s">
        <v>18</v>
      </c>
      <c r="H7" s="26">
        <f>+H4-H5+H6</f>
        <v>36666.666666666664</v>
      </c>
      <c r="I7" s="26">
        <f>+I4-I5+I6</f>
        <v>36666.666666666664</v>
      </c>
      <c r="J7" s="4"/>
      <c r="N7" s="4"/>
    </row>
    <row r="8" spans="1:14" x14ac:dyDescent="0.25">
      <c r="A8" s="4"/>
      <c r="B8" t="s">
        <v>2</v>
      </c>
      <c r="D8" s="3">
        <f>+A!C8</f>
        <v>0</v>
      </c>
      <c r="E8" s="3">
        <f>+A!D8+D8</f>
        <v>0</v>
      </c>
      <c r="F8" s="4"/>
      <c r="H8" s="2"/>
      <c r="J8" s="4"/>
      <c r="N8" s="4"/>
    </row>
    <row r="9" spans="1:14" x14ac:dyDescent="0.25">
      <c r="A9" s="4"/>
      <c r="F9" s="4"/>
      <c r="J9" s="4"/>
      <c r="N9" s="4"/>
    </row>
    <row r="10" spans="1:14" x14ac:dyDescent="0.25">
      <c r="A10" s="4"/>
      <c r="B10" t="s">
        <v>32</v>
      </c>
      <c r="C10" s="3">
        <v>0</v>
      </c>
      <c r="D10" s="3">
        <f>+IF(D69=0,0,IF(D69=30,(D32/12),IF(D69=60,D32/6,IF(D69=90,D32/4,IF(D69=120,D32/3,D32*(5/12))))))</f>
        <v>6666.666666666667</v>
      </c>
      <c r="E10" s="3">
        <f>+IF(E69=0,0,IF(E69=30,(E32/12),IF(E69=60,E32/6,IF(E69=90,E32/4,IF(E69=120,E32/3,E32*(5/12))))))</f>
        <v>13333.333333333334</v>
      </c>
      <c r="F10" s="4"/>
      <c r="G10" t="s">
        <v>27</v>
      </c>
      <c r="H10" s="2">
        <f>+D51</f>
        <v>0</v>
      </c>
      <c r="I10" s="2">
        <f>+E51</f>
        <v>0</v>
      </c>
      <c r="J10" s="4"/>
      <c r="K10" t="s">
        <v>28</v>
      </c>
      <c r="L10" s="3">
        <f>-(+H10+C16-D16)</f>
        <v>0</v>
      </c>
      <c r="M10" s="3">
        <f>-(+I10+D16-E16)</f>
        <v>0</v>
      </c>
      <c r="N10" s="4"/>
    </row>
    <row r="11" spans="1:14" x14ac:dyDescent="0.25">
      <c r="A11" s="4"/>
      <c r="F11" s="4"/>
      <c r="G11" t="s">
        <v>23</v>
      </c>
      <c r="H11" s="2">
        <f>+D60</f>
        <v>0</v>
      </c>
      <c r="I11" s="2">
        <f>+E60</f>
        <v>0</v>
      </c>
      <c r="J11" s="4"/>
      <c r="K11" t="s">
        <v>29</v>
      </c>
      <c r="L11" s="3">
        <f>-(+H11+C17-D17)</f>
        <v>0</v>
      </c>
      <c r="M11" s="3">
        <f>-(+I11+D17-E17)</f>
        <v>0</v>
      </c>
      <c r="N11" s="4"/>
    </row>
    <row r="12" spans="1:14" x14ac:dyDescent="0.25">
      <c r="A12" s="4"/>
      <c r="B12" s="19" t="s">
        <v>5</v>
      </c>
      <c r="C12" s="22">
        <f>SUM(C5:C11)</f>
        <v>0</v>
      </c>
      <c r="D12" s="22">
        <f>SUM(D5:D11)</f>
        <v>86666.666666666672</v>
      </c>
      <c r="E12" s="22">
        <f>SUM(E5:E11)</f>
        <v>173333.33333333331</v>
      </c>
      <c r="F12" s="4"/>
      <c r="J12" s="4"/>
      <c r="N12" s="4"/>
    </row>
    <row r="13" spans="1:14" x14ac:dyDescent="0.25">
      <c r="A13" s="4"/>
      <c r="F13" s="4"/>
      <c r="G13" s="19" t="s">
        <v>30</v>
      </c>
      <c r="H13" s="26">
        <f>+H10+H11</f>
        <v>0</v>
      </c>
      <c r="I13" s="26">
        <f>+I10+I11</f>
        <v>0</v>
      </c>
      <c r="J13" s="4"/>
      <c r="K13" s="32" t="s">
        <v>54</v>
      </c>
      <c r="L13" s="3">
        <f>-D8+D18</f>
        <v>525</v>
      </c>
      <c r="M13" s="3">
        <f>+D8-E8+E18-D18</f>
        <v>525</v>
      </c>
      <c r="N13" s="4"/>
    </row>
    <row r="14" spans="1:14" x14ac:dyDescent="0.25">
      <c r="A14" s="4"/>
      <c r="B14" t="s">
        <v>6</v>
      </c>
      <c r="C14" s="3">
        <v>0</v>
      </c>
      <c r="D14" s="25">
        <f>+D42-D15+D51-D16+D60-D17-D18</f>
        <v>45308.333333333336</v>
      </c>
      <c r="E14" s="25">
        <f>+E42-E15+E51-E16+E60-E17+D17+D16+D15+D14-E18+D18</f>
        <v>90616.666666666657</v>
      </c>
      <c r="F14" s="4"/>
      <c r="J14" s="4"/>
      <c r="N14" s="4"/>
    </row>
    <row r="15" spans="1:14" x14ac:dyDescent="0.25">
      <c r="A15" s="4"/>
      <c r="B15" t="s">
        <v>24</v>
      </c>
      <c r="C15" s="3"/>
      <c r="D15" s="3">
        <f>+IF(D44=0,0,IF(D44=30,((D42)/12),IF(D44=60,(D42)/6,IF(D44=90,(D42)/4,IF(D44=120,(D42)/3,(D42)*(5/12))))))</f>
        <v>4166.666666666667</v>
      </c>
      <c r="E15" s="3">
        <f>+IF(E44=0,0,IF(E44=30,((E42)/12),IF(E44=60,(E42)/6,IF(E44=90,(E42)/4,IF(E44=120,(E42)/3,(E42)*(5/12))))))+D15</f>
        <v>8333.3333333333339</v>
      </c>
      <c r="F15" s="4"/>
      <c r="J15" s="4"/>
      <c r="N15" s="4"/>
    </row>
    <row r="16" spans="1:14" x14ac:dyDescent="0.25">
      <c r="A16" s="4"/>
      <c r="B16" t="s">
        <v>25</v>
      </c>
      <c r="C16" s="3"/>
      <c r="D16" s="3">
        <f>+IF(D53=0,0,IF(D53=30,(D51)/12,IF(D53=60,(D51)/6,IF(D53=90,(D51)/4,IF(D53=120,(D51)/3,(D51*(5/12)))))))</f>
        <v>0</v>
      </c>
      <c r="E16" s="3">
        <f>+IF(E53=0,0,IF(E53=30,(E51)/12,IF(E53=60,(E51)/6,IF(E53=90,(E51)/4,IF(E53=120,(E51)/3,(E51*(5/12)))))))+D16</f>
        <v>0</v>
      </c>
      <c r="F16" s="4"/>
      <c r="J16" s="4"/>
      <c r="N16" s="4"/>
    </row>
    <row r="17" spans="1:14" x14ac:dyDescent="0.25">
      <c r="A17" s="4"/>
      <c r="B17" t="s">
        <v>26</v>
      </c>
      <c r="C17" s="3"/>
      <c r="D17" s="3">
        <f>+IF(D62=0,0,IF(D62=30,(D60)/12,IF(D62=60,(D60)/6,IF(D62=90,(D60)/4,IF(D62=120,(D60)/3,(D60)*(5/12))))))</f>
        <v>0</v>
      </c>
      <c r="E17" s="3">
        <f>+IF(E62=0,0,IF(E62=30,(E60)/12,IF(E62=60,(E60)/6,IF(E62=90,(E60)/4,IF(E62=120,(E60)/3,(E60)*(5/12))))))+D17</f>
        <v>0</v>
      </c>
      <c r="F17" s="4"/>
      <c r="J17" s="4"/>
      <c r="N17" s="4"/>
    </row>
    <row r="18" spans="1:14" x14ac:dyDescent="0.25">
      <c r="A18" s="4"/>
      <c r="B18" t="s">
        <v>2</v>
      </c>
      <c r="C18" s="3">
        <v>0</v>
      </c>
      <c r="D18" s="3">
        <f>+A!C9</f>
        <v>525</v>
      </c>
      <c r="E18" s="3">
        <f>+A!D9+D18</f>
        <v>1050</v>
      </c>
      <c r="F18" s="4"/>
      <c r="J18" s="4"/>
      <c r="N18" s="4"/>
    </row>
    <row r="19" spans="1:14" x14ac:dyDescent="0.25">
      <c r="A19" s="4"/>
      <c r="C19" s="3"/>
      <c r="F19" s="4"/>
      <c r="J19" s="4"/>
      <c r="N19" s="4"/>
    </row>
    <row r="20" spans="1:14" x14ac:dyDescent="0.25">
      <c r="A20" s="4"/>
      <c r="B20" t="s">
        <v>11</v>
      </c>
      <c r="C20" s="3">
        <v>0</v>
      </c>
      <c r="D20" s="2"/>
      <c r="E20" s="3">
        <f>+D21</f>
        <v>36666.666666666664</v>
      </c>
      <c r="F20" s="4"/>
      <c r="J20" s="4"/>
      <c r="N20" s="4"/>
    </row>
    <row r="21" spans="1:14" x14ac:dyDescent="0.25">
      <c r="A21" s="4"/>
      <c r="B21" t="s">
        <v>10</v>
      </c>
      <c r="C21" s="3">
        <v>0</v>
      </c>
      <c r="D21" s="3">
        <f>+H21</f>
        <v>36666.666666666664</v>
      </c>
      <c r="E21" s="3">
        <f>+I21</f>
        <v>36666.666666666664</v>
      </c>
      <c r="F21" s="4"/>
      <c r="G21" s="19" t="s">
        <v>10</v>
      </c>
      <c r="H21" s="26">
        <f>+H7-H13</f>
        <v>36666.666666666664</v>
      </c>
      <c r="I21" s="26">
        <f>+I7-I13</f>
        <v>36666.666666666664</v>
      </c>
      <c r="J21" s="4"/>
      <c r="K21" s="19" t="s">
        <v>49</v>
      </c>
      <c r="L21" s="28">
        <f>SUM(L4:L20)</f>
        <v>21358.333333333336</v>
      </c>
      <c r="M21" s="28">
        <f>SUM(M4:M20)</f>
        <v>21358.333333333328</v>
      </c>
      <c r="N21" s="4"/>
    </row>
    <row r="22" spans="1:14" x14ac:dyDescent="0.25">
      <c r="A22" s="4"/>
      <c r="F22" s="4"/>
      <c r="J22" s="4"/>
      <c r="N22" s="4"/>
    </row>
    <row r="23" spans="1:14" x14ac:dyDescent="0.25">
      <c r="A23" s="4"/>
      <c r="B23" s="19" t="s">
        <v>13</v>
      </c>
      <c r="C23" s="22">
        <f>SUM(C14:C22)</f>
        <v>0</v>
      </c>
      <c r="D23" s="22">
        <f>SUM(D14:D22)</f>
        <v>86666.666666666657</v>
      </c>
      <c r="E23" s="22">
        <f>SUM(E14:E22)</f>
        <v>173333.33333333331</v>
      </c>
      <c r="F23" s="4"/>
      <c r="J23" s="4"/>
      <c r="K23" t="s">
        <v>43</v>
      </c>
      <c r="L23" s="3">
        <f>+((D6-D14))</f>
        <v>21358.333333333336</v>
      </c>
      <c r="M23" s="3">
        <f>E6-D6+D14-E14</f>
        <v>21358.333333333314</v>
      </c>
      <c r="N23" s="4"/>
    </row>
    <row r="24" spans="1:14" x14ac:dyDescent="0.25">
      <c r="A24" s="4"/>
      <c r="F24" s="4"/>
      <c r="J24" s="4"/>
      <c r="L24" s="33"/>
      <c r="N24" s="4"/>
    </row>
    <row r="25" spans="1:14" x14ac:dyDescent="0.25">
      <c r="A25" s="4"/>
      <c r="B25" s="34" t="s">
        <v>55</v>
      </c>
      <c r="C25" s="28">
        <f>+C6-C14</f>
        <v>0</v>
      </c>
      <c r="D25" s="28">
        <f>+D6-D14</f>
        <v>21358.333333333336</v>
      </c>
      <c r="E25" s="28">
        <f>+E6-E14</f>
        <v>42716.666666666657</v>
      </c>
      <c r="F25" s="4"/>
      <c r="J25" s="4"/>
      <c r="M25" s="31"/>
      <c r="N25" s="4"/>
    </row>
    <row r="26" spans="1:14" ht="15.75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8" spans="1:14" ht="15.75" thickBot="1" x14ac:dyDescent="0.3">
      <c r="B28" s="19" t="s">
        <v>56</v>
      </c>
    </row>
    <row r="29" spans="1:14" x14ac:dyDescent="0.25">
      <c r="B29" s="5"/>
      <c r="C29" s="6"/>
      <c r="D29" s="6"/>
      <c r="E29" s="7"/>
    </row>
    <row r="30" spans="1:14" x14ac:dyDescent="0.25">
      <c r="B30" s="8" t="s">
        <v>7</v>
      </c>
      <c r="C30" s="9"/>
      <c r="D30" s="10" t="s">
        <v>47</v>
      </c>
      <c r="E30" s="11" t="s">
        <v>48</v>
      </c>
    </row>
    <row r="31" spans="1:14" x14ac:dyDescent="0.25">
      <c r="B31" s="8"/>
      <c r="D31" s="9"/>
      <c r="E31" s="12"/>
    </row>
    <row r="32" spans="1:14" x14ac:dyDescent="0.25">
      <c r="B32" s="8"/>
      <c r="C32" s="9" t="s">
        <v>37</v>
      </c>
      <c r="D32" s="20">
        <v>80000</v>
      </c>
      <c r="E32" s="21">
        <v>80000</v>
      </c>
    </row>
    <row r="33" spans="2:42" x14ac:dyDescent="0.25">
      <c r="B33" s="8"/>
      <c r="C33" s="9"/>
      <c r="D33" s="13"/>
      <c r="E33" s="14"/>
      <c r="AP33">
        <v>0</v>
      </c>
    </row>
    <row r="34" spans="2:42" x14ac:dyDescent="0.25">
      <c r="B34" s="8"/>
      <c r="C34" s="9" t="s">
        <v>9</v>
      </c>
      <c r="D34" s="23">
        <v>60</v>
      </c>
      <c r="E34" s="24">
        <v>60</v>
      </c>
      <c r="AP34">
        <v>30</v>
      </c>
    </row>
    <row r="35" spans="2:42" x14ac:dyDescent="0.25">
      <c r="B35" s="8"/>
      <c r="C35" s="9"/>
      <c r="D35" s="9"/>
      <c r="E35" s="12"/>
      <c r="AP35">
        <v>60</v>
      </c>
    </row>
    <row r="36" spans="2:42" ht="15.75" thickBot="1" x14ac:dyDescent="0.3">
      <c r="B36" s="15"/>
      <c r="C36" s="16"/>
      <c r="D36" s="16"/>
      <c r="E36" s="17"/>
      <c r="AP36">
        <v>90</v>
      </c>
    </row>
    <row r="37" spans="2:42" x14ac:dyDescent="0.25">
      <c r="AP37">
        <v>120</v>
      </c>
    </row>
    <row r="38" spans="2:42" ht="15.75" thickBot="1" x14ac:dyDescent="0.3">
      <c r="AP38">
        <v>150</v>
      </c>
    </row>
    <row r="39" spans="2:42" x14ac:dyDescent="0.25">
      <c r="B39" s="5"/>
      <c r="C39" s="6"/>
      <c r="D39" s="6"/>
      <c r="E39" s="7"/>
    </row>
    <row r="40" spans="2:42" x14ac:dyDescent="0.25">
      <c r="B40" s="8" t="s">
        <v>14</v>
      </c>
      <c r="C40" s="9"/>
      <c r="D40" s="10" t="s">
        <v>47</v>
      </c>
      <c r="E40" s="11" t="s">
        <v>48</v>
      </c>
    </row>
    <row r="41" spans="2:42" x14ac:dyDescent="0.25">
      <c r="B41" s="8"/>
      <c r="D41" s="9"/>
      <c r="E41" s="12"/>
    </row>
    <row r="42" spans="2:42" x14ac:dyDescent="0.25">
      <c r="B42" s="8"/>
      <c r="C42" s="9" t="s">
        <v>15</v>
      </c>
      <c r="D42" s="20">
        <v>50000</v>
      </c>
      <c r="E42" s="21">
        <v>50000</v>
      </c>
    </row>
    <row r="43" spans="2:42" x14ac:dyDescent="0.25">
      <c r="B43" s="8"/>
      <c r="C43" s="9"/>
      <c r="D43" s="13"/>
      <c r="E43" s="14"/>
    </row>
    <row r="44" spans="2:42" x14ac:dyDescent="0.25">
      <c r="B44" s="8"/>
      <c r="C44" s="9" t="s">
        <v>9</v>
      </c>
      <c r="D44" s="23">
        <v>30</v>
      </c>
      <c r="E44" s="24">
        <v>30</v>
      </c>
    </row>
    <row r="45" spans="2:42" x14ac:dyDescent="0.25">
      <c r="B45" s="8"/>
      <c r="C45" s="9"/>
      <c r="D45" s="9"/>
      <c r="E45" s="12"/>
    </row>
    <row r="46" spans="2:42" ht="15.75" thickBot="1" x14ac:dyDescent="0.3">
      <c r="B46" s="15"/>
      <c r="C46" s="16"/>
      <c r="D46" s="16"/>
      <c r="E46" s="17"/>
    </row>
    <row r="47" spans="2:42" ht="15.75" thickBot="1" x14ac:dyDescent="0.3"/>
    <row r="48" spans="2:42" x14ac:dyDescent="0.25">
      <c r="B48" s="5"/>
      <c r="C48" s="6"/>
      <c r="D48" s="6"/>
      <c r="E48" s="7"/>
    </row>
    <row r="49" spans="2:5" x14ac:dyDescent="0.25">
      <c r="B49" s="8" t="s">
        <v>20</v>
      </c>
      <c r="C49" s="9"/>
      <c r="D49" s="10" t="s">
        <v>47</v>
      </c>
      <c r="E49" s="11" t="s">
        <v>48</v>
      </c>
    </row>
    <row r="50" spans="2:5" x14ac:dyDescent="0.25">
      <c r="B50" s="8"/>
      <c r="D50" s="9"/>
      <c r="E50" s="12"/>
    </row>
    <row r="51" spans="2:5" x14ac:dyDescent="0.25">
      <c r="B51" s="8"/>
      <c r="C51" s="9" t="s">
        <v>21</v>
      </c>
      <c r="D51" s="20"/>
      <c r="E51" s="21"/>
    </row>
    <row r="52" spans="2:5" x14ac:dyDescent="0.25">
      <c r="B52" s="8"/>
      <c r="C52" s="9"/>
      <c r="D52" s="13"/>
      <c r="E52" s="14"/>
    </row>
    <row r="53" spans="2:5" x14ac:dyDescent="0.25">
      <c r="B53" s="8"/>
      <c r="C53" s="9" t="s">
        <v>9</v>
      </c>
      <c r="D53" s="23"/>
      <c r="E53" s="24"/>
    </row>
    <row r="54" spans="2:5" x14ac:dyDescent="0.25">
      <c r="B54" s="8"/>
      <c r="C54" s="9"/>
      <c r="D54" s="9"/>
      <c r="E54" s="12"/>
    </row>
    <row r="55" spans="2:5" ht="15.75" thickBot="1" x14ac:dyDescent="0.3">
      <c r="B55" s="15"/>
      <c r="C55" s="16"/>
      <c r="D55" s="16"/>
      <c r="E55" s="17"/>
    </row>
    <row r="56" spans="2:5" ht="15.75" thickBot="1" x14ac:dyDescent="0.3"/>
    <row r="57" spans="2:5" x14ac:dyDescent="0.25">
      <c r="B57" s="5"/>
      <c r="C57" s="6"/>
      <c r="D57" s="6"/>
      <c r="E57" s="7"/>
    </row>
    <row r="58" spans="2:5" x14ac:dyDescent="0.25">
      <c r="B58" s="8" t="s">
        <v>22</v>
      </c>
      <c r="C58" s="9"/>
      <c r="D58" s="10" t="s">
        <v>47</v>
      </c>
      <c r="E58" s="11" t="s">
        <v>48</v>
      </c>
    </row>
    <row r="59" spans="2:5" x14ac:dyDescent="0.25">
      <c r="B59" s="8"/>
      <c r="D59" s="9"/>
      <c r="E59" s="12"/>
    </row>
    <row r="60" spans="2:5" x14ac:dyDescent="0.25">
      <c r="B60" s="8"/>
      <c r="C60" s="9" t="s">
        <v>23</v>
      </c>
      <c r="D60" s="20"/>
      <c r="E60" s="21"/>
    </row>
    <row r="61" spans="2:5" x14ac:dyDescent="0.25">
      <c r="B61" s="8"/>
      <c r="C61" s="9"/>
      <c r="D61" s="13"/>
      <c r="E61" s="14"/>
    </row>
    <row r="62" spans="2:5" x14ac:dyDescent="0.25">
      <c r="B62" s="8"/>
      <c r="C62" s="9" t="s">
        <v>9</v>
      </c>
      <c r="D62" s="23"/>
      <c r="E62" s="24"/>
    </row>
    <row r="63" spans="2:5" x14ac:dyDescent="0.25">
      <c r="B63" s="8"/>
      <c r="C63" s="9"/>
      <c r="D63" s="9"/>
      <c r="E63" s="12"/>
    </row>
    <row r="64" spans="2:5" ht="15.75" thickBot="1" x14ac:dyDescent="0.3">
      <c r="B64" s="15"/>
      <c r="C64" s="16"/>
      <c r="D64" s="16"/>
      <c r="E64" s="17"/>
    </row>
    <row r="65" spans="2:5" ht="15.75" thickBot="1" x14ac:dyDescent="0.3"/>
    <row r="66" spans="2:5" x14ac:dyDescent="0.25">
      <c r="B66" s="5"/>
      <c r="C66" s="6"/>
      <c r="D66" s="6"/>
      <c r="E66" s="7"/>
    </row>
    <row r="67" spans="2:5" x14ac:dyDescent="0.25">
      <c r="B67" s="8" t="s">
        <v>31</v>
      </c>
      <c r="C67" s="9"/>
      <c r="D67" s="10" t="s">
        <v>47</v>
      </c>
      <c r="E67" s="11" t="s">
        <v>48</v>
      </c>
    </row>
    <row r="68" spans="2:5" x14ac:dyDescent="0.25">
      <c r="B68" s="8"/>
      <c r="C68" t="s">
        <v>36</v>
      </c>
      <c r="D68" s="9"/>
      <c r="E68" s="12"/>
    </row>
    <row r="69" spans="2:5" x14ac:dyDescent="0.25">
      <c r="B69" s="8"/>
      <c r="C69" s="9" t="s">
        <v>35</v>
      </c>
      <c r="D69" s="23">
        <v>30</v>
      </c>
      <c r="E69" s="24">
        <v>60</v>
      </c>
    </row>
    <row r="70" spans="2:5" x14ac:dyDescent="0.25">
      <c r="B70" s="8"/>
      <c r="C70" s="9"/>
      <c r="D70" s="9"/>
      <c r="E70" s="12"/>
    </row>
    <row r="71" spans="2:5" ht="15.75" thickBot="1" x14ac:dyDescent="0.3">
      <c r="B71" s="15"/>
      <c r="C71" s="16"/>
      <c r="D71" s="16"/>
      <c r="E71" s="17"/>
    </row>
    <row r="72" spans="2:5" ht="15.75" thickBot="1" x14ac:dyDescent="0.3"/>
    <row r="73" spans="2:5" x14ac:dyDescent="0.25">
      <c r="B73" s="5"/>
      <c r="C73" s="6"/>
      <c r="D73" s="6"/>
      <c r="E73" s="7"/>
    </row>
    <row r="74" spans="2:5" x14ac:dyDescent="0.25">
      <c r="B74" s="8" t="s">
        <v>39</v>
      </c>
      <c r="C74" s="9"/>
      <c r="D74" s="10" t="s">
        <v>47</v>
      </c>
      <c r="E74" s="11" t="s">
        <v>48</v>
      </c>
    </row>
    <row r="75" spans="2:5" x14ac:dyDescent="0.25">
      <c r="B75" s="8"/>
      <c r="C75" t="s">
        <v>8</v>
      </c>
      <c r="D75" s="9"/>
      <c r="E75" s="12"/>
    </row>
    <row r="76" spans="2:5" x14ac:dyDescent="0.25">
      <c r="B76" s="8"/>
      <c r="C76" s="9" t="s">
        <v>40</v>
      </c>
      <c r="D76" s="29">
        <v>0.21</v>
      </c>
      <c r="E76" s="30">
        <v>0.21</v>
      </c>
    </row>
    <row r="77" spans="2:5" x14ac:dyDescent="0.25">
      <c r="B77" s="8"/>
      <c r="C77" s="9" t="s">
        <v>41</v>
      </c>
      <c r="D77" s="29">
        <v>0.21</v>
      </c>
      <c r="E77" s="30">
        <v>0.21</v>
      </c>
    </row>
    <row r="78" spans="2:5" x14ac:dyDescent="0.25">
      <c r="B78" s="8"/>
      <c r="C78" s="9" t="s">
        <v>42</v>
      </c>
      <c r="D78" s="29">
        <v>0.21</v>
      </c>
      <c r="E78" s="30">
        <v>0.21</v>
      </c>
    </row>
    <row r="79" spans="2:5" x14ac:dyDescent="0.25">
      <c r="B79" s="8"/>
      <c r="C79" s="9" t="s">
        <v>51</v>
      </c>
      <c r="D79" s="29">
        <v>0.21</v>
      </c>
      <c r="E79" s="30">
        <v>0.21</v>
      </c>
    </row>
    <row r="80" spans="2:5" ht="15.75" thickBot="1" x14ac:dyDescent="0.3">
      <c r="B80" s="15"/>
      <c r="C80" s="16"/>
      <c r="D80" s="16"/>
      <c r="E80" s="17"/>
    </row>
  </sheetData>
  <dataValidations count="1">
    <dataValidation type="list" allowBlank="1" showInputMessage="1" showErrorMessage="1" sqref="D44:E44 D69:E69 D62:E62 D53:E53 D34:E34">
      <formula1>$AP$33:$AP$38</formula1>
    </dataValidation>
  </dataValidations>
  <hyperlinks>
    <hyperlink ref="B1" location="'Cash flow'!A1" display="HOM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99"/>
  <sheetViews>
    <sheetView showGridLines="0" workbookViewId="0">
      <selection activeCell="D1" sqref="D1"/>
    </sheetView>
  </sheetViews>
  <sheetFormatPr defaultRowHeight="15" x14ac:dyDescent="0.25"/>
  <cols>
    <col min="1" max="1" width="2.7109375" customWidth="1"/>
    <col min="2" max="2" width="28.140625" bestFit="1" customWidth="1"/>
    <col min="3" max="3" width="27.140625" bestFit="1" customWidth="1"/>
    <col min="4" max="4" width="11.42578125" bestFit="1" customWidth="1"/>
    <col min="5" max="5" width="15.85546875" customWidth="1"/>
    <col min="6" max="6" width="2.7109375" customWidth="1"/>
    <col min="7" max="7" width="21.7109375" bestFit="1" customWidth="1"/>
    <col min="8" max="8" width="11.5703125" bestFit="1" customWidth="1"/>
    <col min="9" max="9" width="9.85546875" bestFit="1" customWidth="1"/>
    <col min="10" max="10" width="2.7109375" customWidth="1"/>
    <col min="11" max="11" width="19.42578125" bestFit="1" customWidth="1"/>
    <col min="12" max="12" width="18.42578125" bestFit="1" customWidth="1"/>
    <col min="13" max="13" width="16.5703125" bestFit="1" customWidth="1"/>
    <col min="14" max="14" width="2.7109375" customWidth="1"/>
    <col min="40" max="40" width="12.85546875" customWidth="1"/>
    <col min="42" max="42" width="15.28515625" customWidth="1"/>
    <col min="43" max="43" width="13.7109375" bestFit="1" customWidth="1"/>
  </cols>
  <sheetData>
    <row r="1" spans="1:37" x14ac:dyDescent="0.25">
      <c r="B1" s="79" t="s">
        <v>308</v>
      </c>
    </row>
    <row r="2" spans="1:37" x14ac:dyDescent="0.25">
      <c r="A2" s="4"/>
      <c r="B2" s="19" t="s">
        <v>33</v>
      </c>
      <c r="C2" s="18" t="s">
        <v>44</v>
      </c>
      <c r="D2" s="18" t="s">
        <v>45</v>
      </c>
      <c r="E2" s="18" t="s">
        <v>46</v>
      </c>
      <c r="F2" s="4"/>
      <c r="G2" s="27" t="s">
        <v>34</v>
      </c>
      <c r="H2" s="18" t="s">
        <v>45</v>
      </c>
      <c r="I2" s="18" t="s">
        <v>46</v>
      </c>
      <c r="J2" s="4"/>
      <c r="K2" s="27" t="s">
        <v>12</v>
      </c>
      <c r="L2" s="18" t="s">
        <v>45</v>
      </c>
      <c r="M2" s="18" t="s">
        <v>46</v>
      </c>
      <c r="N2" s="4"/>
    </row>
    <row r="3" spans="1:37" x14ac:dyDescent="0.25">
      <c r="A3" s="4"/>
      <c r="F3" s="4"/>
      <c r="J3" s="4"/>
      <c r="N3" s="4"/>
    </row>
    <row r="4" spans="1:37" x14ac:dyDescent="0.25">
      <c r="A4" s="4"/>
      <c r="B4" t="s">
        <v>3</v>
      </c>
      <c r="F4" s="4"/>
      <c r="H4" s="2"/>
      <c r="I4" s="2"/>
      <c r="J4" s="4"/>
      <c r="K4" s="19"/>
      <c r="L4" s="3"/>
      <c r="M4" s="3"/>
      <c r="N4" s="4"/>
    </row>
    <row r="5" spans="1:37" x14ac:dyDescent="0.25">
      <c r="A5" s="4"/>
      <c r="F5" s="4"/>
      <c r="G5" t="s">
        <v>84</v>
      </c>
      <c r="H5" s="3">
        <f>+D36*$D$48</f>
        <v>10000</v>
      </c>
      <c r="I5" s="3">
        <f>+H5+(E36*E48)</f>
        <v>12000</v>
      </c>
      <c r="J5" s="4"/>
      <c r="K5" t="s">
        <v>60</v>
      </c>
      <c r="L5" s="3">
        <f>+C10-D10+D18-C18</f>
        <v>0</v>
      </c>
      <c r="M5" s="3">
        <f>+D10-E10+E18-D18</f>
        <v>-60000</v>
      </c>
      <c r="N5" s="4"/>
    </row>
    <row r="6" spans="1:37" x14ac:dyDescent="0.25">
      <c r="A6" s="4"/>
      <c r="B6" t="s">
        <v>4</v>
      </c>
      <c r="C6" s="3">
        <v>0</v>
      </c>
      <c r="D6" s="25">
        <f>+D58-D7</f>
        <v>7650</v>
      </c>
      <c r="E6" s="25">
        <f>+E58+D6-E7+D7</f>
        <v>17650</v>
      </c>
      <c r="F6" s="4"/>
      <c r="G6" s="19" t="s">
        <v>23</v>
      </c>
      <c r="H6" s="22">
        <f>+H5</f>
        <v>10000</v>
      </c>
      <c r="I6" s="22">
        <f>+I5</f>
        <v>12000</v>
      </c>
      <c r="J6" s="4"/>
      <c r="N6" s="4"/>
    </row>
    <row r="7" spans="1:37" x14ac:dyDescent="0.25">
      <c r="A7" s="4"/>
      <c r="B7" t="s">
        <v>2</v>
      </c>
      <c r="C7" s="3"/>
      <c r="D7" s="3">
        <f>+A!C17</f>
        <v>7350</v>
      </c>
      <c r="E7" s="3">
        <f>+A!D17+D7</f>
        <v>7350</v>
      </c>
      <c r="F7" s="4"/>
      <c r="G7" s="19"/>
      <c r="H7" s="26"/>
      <c r="I7" s="26"/>
      <c r="J7" s="4"/>
      <c r="K7" t="s">
        <v>61</v>
      </c>
      <c r="L7" s="3">
        <f>-H12+C11-D11-C22+D22</f>
        <v>15000</v>
      </c>
      <c r="M7" s="3">
        <f>+IF((D10-E10+E18-D18-E56-I12)&gt;0,(D10-E10+E18-D18-E56-I12),0)</f>
        <v>0</v>
      </c>
      <c r="N7" s="4"/>
    </row>
    <row r="8" spans="1:37" x14ac:dyDescent="0.25">
      <c r="A8" s="4"/>
      <c r="C8" s="3"/>
      <c r="D8" s="3"/>
      <c r="E8" s="3"/>
      <c r="F8" s="4"/>
      <c r="G8" s="19"/>
      <c r="H8" s="26"/>
      <c r="I8" s="26"/>
      <c r="J8" s="4"/>
      <c r="L8" s="3"/>
      <c r="M8" s="3"/>
      <c r="N8" s="4"/>
    </row>
    <row r="9" spans="1:37" x14ac:dyDescent="0.25">
      <c r="A9" s="4"/>
      <c r="B9" s="19" t="s">
        <v>107</v>
      </c>
      <c r="C9" s="22">
        <f>+C10+C11</f>
        <v>0</v>
      </c>
      <c r="D9" s="22">
        <f>+D10+D11</f>
        <v>30000</v>
      </c>
      <c r="E9" s="22">
        <f>+E10+E11</f>
        <v>30000</v>
      </c>
      <c r="F9" s="4"/>
      <c r="G9" s="19"/>
      <c r="H9" s="26"/>
      <c r="I9" s="26"/>
      <c r="J9" s="4"/>
      <c r="L9" s="3"/>
      <c r="M9" s="3"/>
      <c r="N9" s="4"/>
    </row>
    <row r="10" spans="1:37" x14ac:dyDescent="0.25">
      <c r="A10" s="4"/>
      <c r="B10" t="s">
        <v>106</v>
      </c>
      <c r="D10" s="3">
        <f>+D36</f>
        <v>50000</v>
      </c>
      <c r="E10" s="3">
        <f>+E36+D10</f>
        <v>60000</v>
      </c>
      <c r="F10" s="4"/>
      <c r="G10" t="s">
        <v>85</v>
      </c>
      <c r="H10" s="3">
        <f>+IF(D58-D54+D56&gt;0,D58-D54+D56,0)</f>
        <v>0</v>
      </c>
      <c r="I10" s="3">
        <f>+IF(E58-E54+E56&gt;0,E58-E54+E56,0)</f>
        <v>2000</v>
      </c>
      <c r="J10" s="4"/>
      <c r="N10" s="4"/>
    </row>
    <row r="11" spans="1:37" x14ac:dyDescent="0.25">
      <c r="A11" s="4"/>
      <c r="B11" t="s">
        <v>108</v>
      </c>
      <c r="D11" s="3">
        <f>-D54</f>
        <v>-20000</v>
      </c>
      <c r="E11" s="3">
        <f>-E54+D11</f>
        <v>-30000</v>
      </c>
      <c r="F11" s="4"/>
      <c r="G11" t="s">
        <v>86</v>
      </c>
      <c r="H11" s="3">
        <f>+IF(D58-D54+D56&lt;0,-(D58-D54+D56),0)</f>
        <v>3000</v>
      </c>
      <c r="I11" s="3">
        <f>+IF(E58-E54+E56&lt;0,-(E58-E54+E56),0)</f>
        <v>0</v>
      </c>
      <c r="J11" s="4"/>
      <c r="N11" s="4"/>
    </row>
    <row r="12" spans="1:37" x14ac:dyDescent="0.25">
      <c r="A12" s="4"/>
      <c r="C12" s="3"/>
      <c r="D12" s="3"/>
      <c r="E12" s="3"/>
      <c r="F12" s="4"/>
      <c r="G12" s="19" t="s">
        <v>87</v>
      </c>
      <c r="H12" s="22">
        <f>+H11-H10</f>
        <v>3000</v>
      </c>
      <c r="I12" s="22">
        <f>+I11-I10</f>
        <v>-2000</v>
      </c>
      <c r="J12" s="4"/>
      <c r="L12" s="3"/>
      <c r="M12" s="3"/>
      <c r="N12" s="4"/>
    </row>
    <row r="13" spans="1:37" x14ac:dyDescent="0.25">
      <c r="A13" s="4"/>
      <c r="F13" s="4"/>
      <c r="H13" s="2"/>
      <c r="I13" s="2"/>
      <c r="J13" s="4"/>
      <c r="L13" s="3"/>
      <c r="M13" s="3"/>
      <c r="N13" s="4"/>
    </row>
    <row r="14" spans="1:37" x14ac:dyDescent="0.25">
      <c r="A14" s="4"/>
      <c r="B14" s="19" t="s">
        <v>5</v>
      </c>
      <c r="C14" s="22">
        <f>SUM(C5:C13)</f>
        <v>0</v>
      </c>
      <c r="D14" s="22">
        <f t="shared" ref="D14:E14" si="0">SUM(D5:D13)</f>
        <v>75000</v>
      </c>
      <c r="E14" s="22">
        <f t="shared" si="0"/>
        <v>85000</v>
      </c>
      <c r="F14" s="4"/>
      <c r="J14" s="4"/>
      <c r="N14" s="4"/>
    </row>
    <row r="15" spans="1:37" x14ac:dyDescent="0.25">
      <c r="A15" s="4"/>
      <c r="B15" t="s">
        <v>103</v>
      </c>
      <c r="D15" s="3">
        <f>+A!C18</f>
        <v>0</v>
      </c>
      <c r="E15" s="3">
        <f>+A!D18+D15</f>
        <v>0</v>
      </c>
      <c r="F15" s="4"/>
      <c r="G15" s="19" t="s">
        <v>30</v>
      </c>
      <c r="H15" s="22">
        <f>+H12+H6</f>
        <v>13000</v>
      </c>
      <c r="I15" s="22">
        <f>+I12+I6</f>
        <v>10000</v>
      </c>
      <c r="J15" s="4"/>
      <c r="K15" s="32" t="s">
        <v>54</v>
      </c>
      <c r="L15" s="3">
        <f>-D7+D15</f>
        <v>-7350</v>
      </c>
      <c r="M15" s="3">
        <f>+D7-E7+E15-D15</f>
        <v>0</v>
      </c>
      <c r="N15" s="4"/>
    </row>
    <row r="16" spans="1:37" x14ac:dyDescent="0.25">
      <c r="A16" s="4"/>
      <c r="B16" t="s">
        <v>6</v>
      </c>
      <c r="C16" s="3">
        <v>0</v>
      </c>
      <c r="D16" s="25">
        <f>+D36-D18</f>
        <v>0</v>
      </c>
      <c r="E16" s="25">
        <f>+E36-E18+D18-E18+D16</f>
        <v>60000</v>
      </c>
      <c r="F16" s="4"/>
      <c r="J16" s="4"/>
      <c r="N16" s="4"/>
      <c r="AK16">
        <f>VLOOKUP(AN26,AP29:AQ54,2,FALSE)</f>
        <v>1</v>
      </c>
    </row>
    <row r="17" spans="1:43" x14ac:dyDescent="0.25">
      <c r="A17" s="4"/>
      <c r="C17" s="3"/>
      <c r="D17" s="3"/>
      <c r="E17" s="3"/>
      <c r="F17" s="4"/>
      <c r="J17" s="4"/>
      <c r="N17" s="4"/>
    </row>
    <row r="18" spans="1:43" x14ac:dyDescent="0.25">
      <c r="A18" s="4"/>
      <c r="B18" t="s">
        <v>59</v>
      </c>
      <c r="C18" s="3"/>
      <c r="D18" s="3">
        <f>+(D36*VLOOKUP(AN26,$AP$30:$AQ$66,2,FALSE))</f>
        <v>50000</v>
      </c>
      <c r="E18" s="3">
        <f>+(E36*(VLOOKUP(AN27,$AP$30:$AQ$99,2,FALSE)))</f>
        <v>0</v>
      </c>
      <c r="F18" s="4"/>
      <c r="J18" s="4"/>
      <c r="N18" s="4"/>
    </row>
    <row r="19" spans="1:43" x14ac:dyDescent="0.25">
      <c r="A19" s="4"/>
      <c r="C19" s="3"/>
      <c r="D19" s="3"/>
      <c r="E19" s="3"/>
      <c r="F19" s="4"/>
      <c r="J19" s="4"/>
      <c r="N19" s="4"/>
    </row>
    <row r="20" spans="1:43" x14ac:dyDescent="0.25">
      <c r="A20" s="4"/>
      <c r="B20" s="19" t="s">
        <v>83</v>
      </c>
      <c r="C20" s="22">
        <f>+C21+C22</f>
        <v>0</v>
      </c>
      <c r="D20" s="22">
        <f>+D21+D22</f>
        <v>8000</v>
      </c>
      <c r="E20" s="22">
        <f>+E21+E22</f>
        <v>18000</v>
      </c>
      <c r="F20" s="4"/>
      <c r="J20" s="4"/>
      <c r="N20" s="4"/>
    </row>
    <row r="21" spans="1:43" x14ac:dyDescent="0.25">
      <c r="A21" s="4"/>
      <c r="B21" t="s">
        <v>109</v>
      </c>
      <c r="C21" s="3"/>
      <c r="D21" s="3">
        <f>+H5</f>
        <v>10000</v>
      </c>
      <c r="E21" s="3">
        <f>+D21+I5</f>
        <v>22000</v>
      </c>
      <c r="F21" s="4"/>
      <c r="J21" s="4"/>
      <c r="N21" s="4"/>
    </row>
    <row r="22" spans="1:43" x14ac:dyDescent="0.25">
      <c r="A22" s="4"/>
      <c r="B22" t="s">
        <v>305</v>
      </c>
      <c r="C22" s="3"/>
      <c r="D22" s="3">
        <f>-D56</f>
        <v>-2000</v>
      </c>
      <c r="E22" s="3">
        <f>-E56+D22</f>
        <v>-4000</v>
      </c>
      <c r="F22" s="4"/>
      <c r="J22" s="4"/>
      <c r="N22" s="4"/>
    </row>
    <row r="23" spans="1:43" x14ac:dyDescent="0.25">
      <c r="A23" s="4"/>
      <c r="C23" s="3"/>
      <c r="F23" s="4"/>
      <c r="J23" s="4"/>
      <c r="N23" s="4"/>
    </row>
    <row r="24" spans="1:43" x14ac:dyDescent="0.25">
      <c r="A24" s="4"/>
      <c r="B24" t="s">
        <v>11</v>
      </c>
      <c r="C24" s="3">
        <v>0</v>
      </c>
      <c r="D24" s="2"/>
      <c r="E24" s="3">
        <f>+D25</f>
        <v>-13000</v>
      </c>
      <c r="F24" s="4"/>
      <c r="J24" s="4"/>
      <c r="N24" s="4"/>
    </row>
    <row r="25" spans="1:43" x14ac:dyDescent="0.25">
      <c r="A25" s="4"/>
      <c r="B25" t="s">
        <v>10</v>
      </c>
      <c r="C25" s="3">
        <v>0</v>
      </c>
      <c r="D25" s="3">
        <f>+H25</f>
        <v>-13000</v>
      </c>
      <c r="E25" s="3">
        <f>+I25</f>
        <v>-10000</v>
      </c>
      <c r="F25" s="4"/>
      <c r="G25" s="19" t="s">
        <v>10</v>
      </c>
      <c r="H25" s="22">
        <f>+H7-H15</f>
        <v>-13000</v>
      </c>
      <c r="I25" s="22">
        <f>+I7-I15</f>
        <v>-10000</v>
      </c>
      <c r="J25" s="4"/>
      <c r="K25" s="19" t="s">
        <v>105</v>
      </c>
      <c r="L25" s="28">
        <f>SUM(L4:L24)</f>
        <v>7650</v>
      </c>
      <c r="M25" s="28">
        <f>SUM(M4:M24)</f>
        <v>-60000</v>
      </c>
      <c r="N25" s="4"/>
    </row>
    <row r="26" spans="1:43" x14ac:dyDescent="0.25">
      <c r="A26" s="4"/>
      <c r="F26" s="4"/>
      <c r="J26" s="4"/>
      <c r="N26" s="4"/>
      <c r="AM26" t="s">
        <v>79</v>
      </c>
      <c r="AN26" t="str">
        <f>+D38&amp;" "&amp;D40</f>
        <v>dicembre 30</v>
      </c>
    </row>
    <row r="27" spans="1:43" x14ac:dyDescent="0.25">
      <c r="A27" s="4"/>
      <c r="B27" s="19" t="s">
        <v>13</v>
      </c>
      <c r="C27" s="22">
        <f>SUM(C16:C26)</f>
        <v>0</v>
      </c>
      <c r="D27" s="22">
        <f>SUM(D16:D26)</f>
        <v>53000</v>
      </c>
      <c r="E27" s="22">
        <f>SUM(E16:E26)</f>
        <v>73000</v>
      </c>
      <c r="F27" s="4"/>
      <c r="J27" s="4"/>
      <c r="K27" t="s">
        <v>43</v>
      </c>
      <c r="L27" s="3">
        <f>+((D6-D16))</f>
        <v>7650</v>
      </c>
      <c r="M27" s="3">
        <f>E6-D6+D16-E16</f>
        <v>-50000</v>
      </c>
      <c r="N27" s="4"/>
      <c r="AM27" t="s">
        <v>80</v>
      </c>
      <c r="AN27" t="str">
        <f>+E38&amp;" "&amp;E40</f>
        <v>marzo 60</v>
      </c>
    </row>
    <row r="28" spans="1:43" x14ac:dyDescent="0.25">
      <c r="A28" s="4"/>
      <c r="F28" s="4"/>
      <c r="J28" s="4"/>
      <c r="L28" s="33"/>
      <c r="N28" s="4"/>
    </row>
    <row r="29" spans="1:43" x14ac:dyDescent="0.25">
      <c r="A29" s="4"/>
      <c r="B29" s="34" t="s">
        <v>55</v>
      </c>
      <c r="C29" s="28">
        <f>+C6-C16</f>
        <v>0</v>
      </c>
      <c r="D29" s="28">
        <f t="shared" ref="D29:E29" si="1">+D6-D16</f>
        <v>7650</v>
      </c>
      <c r="E29" s="28">
        <f t="shared" si="1"/>
        <v>-42350</v>
      </c>
      <c r="F29" s="4"/>
      <c r="J29" s="4"/>
      <c r="M29" s="31"/>
      <c r="N29" s="4"/>
      <c r="AN29" t="s">
        <v>75</v>
      </c>
      <c r="AO29" t="s">
        <v>76</v>
      </c>
      <c r="AP29" t="s">
        <v>78</v>
      </c>
      <c r="AQ29" t="s">
        <v>77</v>
      </c>
    </row>
    <row r="30" spans="1:43" ht="15.75" thickBo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AK30" t="s">
        <v>63</v>
      </c>
      <c r="AN30" t="s">
        <v>74</v>
      </c>
      <c r="AO30" s="35">
        <v>0</v>
      </c>
      <c r="AP30" s="35" t="str">
        <f>+AN30&amp;" "&amp;AO30</f>
        <v>dicembre 0</v>
      </c>
      <c r="AQ30">
        <v>0</v>
      </c>
    </row>
    <row r="31" spans="1:43" x14ac:dyDescent="0.25">
      <c r="AK31" t="s">
        <v>64</v>
      </c>
      <c r="AN31" t="s">
        <v>74</v>
      </c>
      <c r="AO31" s="35">
        <v>30</v>
      </c>
      <c r="AP31" s="35" t="str">
        <f t="shared" ref="AP31:AP54" si="2">+AN31&amp;" "&amp;AO31</f>
        <v>dicembre 30</v>
      </c>
      <c r="AQ31">
        <v>1</v>
      </c>
    </row>
    <row r="32" spans="1:43" ht="15.75" thickBot="1" x14ac:dyDescent="0.3">
      <c r="B32" s="19" t="s">
        <v>57</v>
      </c>
      <c r="AK32" t="s">
        <v>65</v>
      </c>
      <c r="AN32" t="s">
        <v>74</v>
      </c>
      <c r="AO32" s="35">
        <v>60</v>
      </c>
      <c r="AP32" s="35" t="str">
        <f t="shared" si="2"/>
        <v>dicembre 60</v>
      </c>
      <c r="AQ32">
        <v>1</v>
      </c>
    </row>
    <row r="33" spans="2:43" x14ac:dyDescent="0.25">
      <c r="B33" s="5"/>
      <c r="C33" s="6"/>
      <c r="D33" s="6"/>
      <c r="E33" s="7"/>
      <c r="AK33" t="s">
        <v>66</v>
      </c>
      <c r="AN33" t="s">
        <v>74</v>
      </c>
      <c r="AO33" s="35">
        <v>90</v>
      </c>
      <c r="AP33" s="35" t="str">
        <f t="shared" si="2"/>
        <v>dicembre 90</v>
      </c>
      <c r="AQ33">
        <v>1</v>
      </c>
    </row>
    <row r="34" spans="2:43" x14ac:dyDescent="0.25">
      <c r="B34" s="8" t="s">
        <v>7</v>
      </c>
      <c r="C34" s="9"/>
      <c r="D34" s="10" t="s">
        <v>47</v>
      </c>
      <c r="E34" s="11" t="s">
        <v>48</v>
      </c>
      <c r="AK34" t="s">
        <v>67</v>
      </c>
      <c r="AN34" t="s">
        <v>74</v>
      </c>
      <c r="AO34" s="35">
        <v>120</v>
      </c>
      <c r="AP34" s="35" t="str">
        <f t="shared" si="2"/>
        <v>dicembre 120</v>
      </c>
      <c r="AQ34">
        <v>1</v>
      </c>
    </row>
    <row r="35" spans="2:43" x14ac:dyDescent="0.25">
      <c r="B35" s="8"/>
      <c r="D35" s="9"/>
      <c r="E35" s="12"/>
      <c r="AK35" t="s">
        <v>68</v>
      </c>
      <c r="AN35" t="s">
        <v>74</v>
      </c>
      <c r="AO35" s="35">
        <v>150</v>
      </c>
      <c r="AP35" s="35" t="str">
        <f t="shared" si="2"/>
        <v>dicembre 150</v>
      </c>
      <c r="AQ35">
        <v>1</v>
      </c>
    </row>
    <row r="36" spans="2:43" x14ac:dyDescent="0.25">
      <c r="B36" s="8"/>
      <c r="C36" s="9" t="s">
        <v>58</v>
      </c>
      <c r="D36" s="20">
        <v>50000</v>
      </c>
      <c r="E36" s="21">
        <v>10000</v>
      </c>
      <c r="AI36">
        <v>0</v>
      </c>
      <c r="AK36" t="s">
        <v>69</v>
      </c>
      <c r="AN36" t="s">
        <v>73</v>
      </c>
      <c r="AO36" s="35">
        <v>0</v>
      </c>
      <c r="AP36" s="35" t="str">
        <f t="shared" si="2"/>
        <v>novembre 0</v>
      </c>
      <c r="AQ36">
        <v>0</v>
      </c>
    </row>
    <row r="37" spans="2:43" x14ac:dyDescent="0.25">
      <c r="B37" s="8"/>
      <c r="C37" s="9"/>
      <c r="D37" s="13"/>
      <c r="E37" s="14"/>
      <c r="AI37">
        <v>30</v>
      </c>
      <c r="AK37" t="s">
        <v>70</v>
      </c>
      <c r="AN37" t="str">
        <f>+AN36</f>
        <v>novembre</v>
      </c>
      <c r="AO37" s="35">
        <v>30</v>
      </c>
      <c r="AP37" s="35" t="str">
        <f t="shared" si="2"/>
        <v>novembre 30</v>
      </c>
      <c r="AQ37">
        <v>0</v>
      </c>
    </row>
    <row r="38" spans="2:43" x14ac:dyDescent="0.25">
      <c r="B38" s="8"/>
      <c r="C38" s="9" t="s">
        <v>62</v>
      </c>
      <c r="D38" s="20" t="s">
        <v>74</v>
      </c>
      <c r="E38" s="21" t="s">
        <v>65</v>
      </c>
      <c r="AI38">
        <v>60</v>
      </c>
      <c r="AK38" t="s">
        <v>71</v>
      </c>
      <c r="AN38" t="str">
        <f t="shared" ref="AN38:AN40" si="3">+AN37</f>
        <v>novembre</v>
      </c>
      <c r="AO38" s="35">
        <v>60</v>
      </c>
      <c r="AP38" s="35" t="str">
        <f t="shared" si="2"/>
        <v>novembre 60</v>
      </c>
      <c r="AQ38">
        <v>1</v>
      </c>
    </row>
    <row r="39" spans="2:43" x14ac:dyDescent="0.25">
      <c r="B39" s="8"/>
      <c r="C39" s="9"/>
      <c r="D39" s="13"/>
      <c r="E39" s="14"/>
      <c r="AI39">
        <v>90</v>
      </c>
      <c r="AK39" t="s">
        <v>72</v>
      </c>
      <c r="AN39" t="str">
        <f t="shared" si="3"/>
        <v>novembre</v>
      </c>
      <c r="AO39" s="35">
        <v>90</v>
      </c>
      <c r="AP39" s="35" t="str">
        <f t="shared" si="2"/>
        <v>novembre 90</v>
      </c>
      <c r="AQ39">
        <v>1</v>
      </c>
    </row>
    <row r="40" spans="2:43" x14ac:dyDescent="0.25">
      <c r="B40" s="8"/>
      <c r="C40" s="9" t="s">
        <v>9</v>
      </c>
      <c r="D40" s="23">
        <v>30</v>
      </c>
      <c r="E40" s="24">
        <v>60</v>
      </c>
      <c r="AI40">
        <v>120</v>
      </c>
      <c r="AK40" t="s">
        <v>73</v>
      </c>
      <c r="AN40" t="str">
        <f t="shared" si="3"/>
        <v>novembre</v>
      </c>
      <c r="AO40" s="35">
        <v>120</v>
      </c>
      <c r="AP40" s="35" t="str">
        <f t="shared" si="2"/>
        <v>novembre 120</v>
      </c>
      <c r="AQ40">
        <v>1</v>
      </c>
    </row>
    <row r="41" spans="2:43" x14ac:dyDescent="0.25">
      <c r="B41" s="8"/>
      <c r="C41" s="9"/>
      <c r="D41" s="9"/>
      <c r="E41" s="12"/>
      <c r="AI41">
        <v>150</v>
      </c>
      <c r="AK41" t="s">
        <v>74</v>
      </c>
      <c r="AN41" t="str">
        <f>+AN40</f>
        <v>novembre</v>
      </c>
      <c r="AO41" s="35">
        <v>150</v>
      </c>
      <c r="AP41" s="35" t="str">
        <f t="shared" si="2"/>
        <v>novembre 150</v>
      </c>
      <c r="AQ41">
        <v>1</v>
      </c>
    </row>
    <row r="42" spans="2:43" ht="15.75" thickBot="1" x14ac:dyDescent="0.3">
      <c r="B42" s="15"/>
      <c r="C42" s="16"/>
      <c r="D42" s="16"/>
      <c r="E42" s="17"/>
      <c r="AN42" t="s">
        <v>72</v>
      </c>
      <c r="AO42" s="35">
        <v>0</v>
      </c>
      <c r="AP42" s="35" t="str">
        <f t="shared" si="2"/>
        <v>ottobre 0</v>
      </c>
      <c r="AQ42">
        <v>0</v>
      </c>
    </row>
    <row r="43" spans="2:43" x14ac:dyDescent="0.25">
      <c r="AN43" t="str">
        <f>+AN42</f>
        <v>ottobre</v>
      </c>
      <c r="AO43" s="35">
        <v>30</v>
      </c>
      <c r="AP43" s="35" t="str">
        <f t="shared" si="2"/>
        <v>ottobre 30</v>
      </c>
      <c r="AQ43">
        <v>0</v>
      </c>
    </row>
    <row r="44" spans="2:43" ht="15.75" thickBot="1" x14ac:dyDescent="0.3">
      <c r="AN44" t="str">
        <f t="shared" ref="AN44:AN47" si="4">+AN43</f>
        <v>ottobre</v>
      </c>
      <c r="AO44" s="35">
        <v>60</v>
      </c>
      <c r="AP44" s="35" t="str">
        <f t="shared" si="2"/>
        <v>ottobre 60</v>
      </c>
      <c r="AQ44">
        <v>0</v>
      </c>
    </row>
    <row r="45" spans="2:43" x14ac:dyDescent="0.25">
      <c r="B45" s="5"/>
      <c r="C45" s="6"/>
      <c r="D45" s="6"/>
      <c r="E45" s="7"/>
      <c r="AN45" t="str">
        <f t="shared" si="4"/>
        <v>ottobre</v>
      </c>
      <c r="AO45" s="35">
        <v>90</v>
      </c>
      <c r="AP45" s="35" t="str">
        <f t="shared" si="2"/>
        <v>ottobre 90</v>
      </c>
      <c r="AQ45">
        <v>1</v>
      </c>
    </row>
    <row r="46" spans="2:43" x14ac:dyDescent="0.25">
      <c r="B46" s="8" t="s">
        <v>81</v>
      </c>
      <c r="C46" s="9"/>
      <c r="D46" s="38" t="s">
        <v>47</v>
      </c>
      <c r="E46" s="39" t="s">
        <v>48</v>
      </c>
      <c r="AN46" t="str">
        <f t="shared" si="4"/>
        <v>ottobre</v>
      </c>
      <c r="AO46" s="35">
        <v>120</v>
      </c>
      <c r="AP46" s="35" t="str">
        <f t="shared" si="2"/>
        <v>ottobre 120</v>
      </c>
      <c r="AQ46">
        <v>1</v>
      </c>
    </row>
    <row r="47" spans="2:43" x14ac:dyDescent="0.25">
      <c r="B47" s="8"/>
      <c r="D47" s="9"/>
      <c r="E47" s="12"/>
      <c r="AN47" t="str">
        <f t="shared" si="4"/>
        <v>ottobre</v>
      </c>
      <c r="AO47" s="35">
        <v>150</v>
      </c>
      <c r="AP47" s="35" t="str">
        <f t="shared" si="2"/>
        <v>ottobre 150</v>
      </c>
      <c r="AQ47">
        <v>1</v>
      </c>
    </row>
    <row r="48" spans="2:43" x14ac:dyDescent="0.25">
      <c r="B48" s="8"/>
      <c r="C48" s="9" t="s">
        <v>82</v>
      </c>
      <c r="D48" s="36">
        <v>0.2</v>
      </c>
      <c r="E48" s="37">
        <v>0.2</v>
      </c>
      <c r="AN48" t="s">
        <v>71</v>
      </c>
      <c r="AO48" s="35">
        <v>0</v>
      </c>
      <c r="AP48" s="35" t="str">
        <f t="shared" si="2"/>
        <v>settembre 0</v>
      </c>
      <c r="AQ48">
        <v>0</v>
      </c>
    </row>
    <row r="49" spans="2:43" ht="15.75" thickBot="1" x14ac:dyDescent="0.3">
      <c r="B49" s="15"/>
      <c r="C49" s="16"/>
      <c r="D49" s="16"/>
      <c r="E49" s="17"/>
      <c r="AN49" t="str">
        <f>+AN48</f>
        <v>settembre</v>
      </c>
      <c r="AO49" s="35">
        <v>30</v>
      </c>
      <c r="AP49" s="35" t="str">
        <f t="shared" si="2"/>
        <v>settembre 30</v>
      </c>
      <c r="AQ49">
        <v>0</v>
      </c>
    </row>
    <row r="50" spans="2:43" ht="15.75" thickBot="1" x14ac:dyDescent="0.3">
      <c r="AN50" t="str">
        <f t="shared" ref="AN50:AN53" si="5">+AN49</f>
        <v>settembre</v>
      </c>
      <c r="AO50" s="35">
        <v>60</v>
      </c>
      <c r="AP50" s="35" t="str">
        <f t="shared" si="2"/>
        <v>settembre 60</v>
      </c>
      <c r="AQ50">
        <v>0</v>
      </c>
    </row>
    <row r="51" spans="2:43" x14ac:dyDescent="0.25">
      <c r="B51" s="5"/>
      <c r="C51" s="6"/>
      <c r="D51" s="6"/>
      <c r="E51" s="7"/>
      <c r="AN51" t="str">
        <f t="shared" si="5"/>
        <v>settembre</v>
      </c>
      <c r="AO51" s="35">
        <v>90</v>
      </c>
      <c r="AP51" s="35" t="str">
        <f t="shared" si="2"/>
        <v>settembre 90</v>
      </c>
      <c r="AQ51">
        <v>0</v>
      </c>
    </row>
    <row r="52" spans="2:43" x14ac:dyDescent="0.25">
      <c r="B52" s="8" t="s">
        <v>89</v>
      </c>
      <c r="C52" s="9"/>
      <c r="D52" s="38" t="s">
        <v>47</v>
      </c>
      <c r="E52" s="39" t="s">
        <v>48</v>
      </c>
      <c r="AN52" t="str">
        <f t="shared" si="5"/>
        <v>settembre</v>
      </c>
      <c r="AO52" s="35">
        <v>120</v>
      </c>
      <c r="AP52" s="35" t="str">
        <f t="shared" si="2"/>
        <v>settembre 120</v>
      </c>
      <c r="AQ52">
        <v>1</v>
      </c>
    </row>
    <row r="53" spans="2:43" x14ac:dyDescent="0.25">
      <c r="B53" s="8"/>
      <c r="D53" s="9"/>
      <c r="E53" s="12"/>
      <c r="AN53" t="str">
        <f t="shared" si="5"/>
        <v>settembre</v>
      </c>
      <c r="AO53" s="35">
        <v>150</v>
      </c>
      <c r="AP53" s="35" t="str">
        <f t="shared" si="2"/>
        <v>settembre 150</v>
      </c>
      <c r="AQ53">
        <v>1</v>
      </c>
    </row>
    <row r="54" spans="2:43" x14ac:dyDescent="0.25">
      <c r="B54" s="8"/>
      <c r="C54" t="s">
        <v>90</v>
      </c>
      <c r="D54" s="20">
        <v>20000</v>
      </c>
      <c r="E54" s="21">
        <v>10000</v>
      </c>
      <c r="AN54" t="s">
        <v>92</v>
      </c>
      <c r="AO54" s="35">
        <v>0</v>
      </c>
      <c r="AP54" s="35" t="str">
        <f t="shared" si="2"/>
        <v>AGOSTO 0</v>
      </c>
      <c r="AQ54">
        <v>0</v>
      </c>
    </row>
    <row r="55" spans="2:43" x14ac:dyDescent="0.25">
      <c r="B55" s="8"/>
      <c r="D55" s="9"/>
      <c r="E55" s="12"/>
      <c r="AN55" t="str">
        <f>+AN54</f>
        <v>AGOSTO</v>
      </c>
      <c r="AO55" s="35">
        <v>30</v>
      </c>
      <c r="AP55" s="35" t="str">
        <f t="shared" ref="AP55:AP60" si="6">+AN55&amp;" "&amp;AO55</f>
        <v>AGOSTO 30</v>
      </c>
      <c r="AQ55">
        <v>0</v>
      </c>
    </row>
    <row r="56" spans="2:43" x14ac:dyDescent="0.25">
      <c r="B56" s="8"/>
      <c r="C56" t="s">
        <v>91</v>
      </c>
      <c r="D56" s="20">
        <v>2000</v>
      </c>
      <c r="E56" s="21">
        <v>2000</v>
      </c>
      <c r="AN56" t="str">
        <f>+AN55</f>
        <v>AGOSTO</v>
      </c>
      <c r="AO56" s="35">
        <v>60</v>
      </c>
      <c r="AP56" s="35" t="str">
        <f t="shared" si="6"/>
        <v>AGOSTO 60</v>
      </c>
      <c r="AQ56">
        <v>0</v>
      </c>
    </row>
    <row r="57" spans="2:43" x14ac:dyDescent="0.25">
      <c r="B57" s="8"/>
      <c r="D57" s="9"/>
      <c r="E57" s="12"/>
      <c r="AN57" t="str">
        <f t="shared" ref="AN57:AN58" si="7">+AN56</f>
        <v>AGOSTO</v>
      </c>
      <c r="AO57" s="35">
        <v>90</v>
      </c>
      <c r="AP57" s="35" t="str">
        <f t="shared" si="6"/>
        <v>AGOSTO 90</v>
      </c>
      <c r="AQ57">
        <v>0</v>
      </c>
    </row>
    <row r="58" spans="2:43" x14ac:dyDescent="0.25">
      <c r="B58" s="8"/>
      <c r="C58" s="9" t="s">
        <v>88</v>
      </c>
      <c r="D58" s="20">
        <v>15000</v>
      </c>
      <c r="E58" s="21">
        <v>10000</v>
      </c>
      <c r="AN58" t="str">
        <f t="shared" si="7"/>
        <v>AGOSTO</v>
      </c>
      <c r="AO58" s="35">
        <v>120</v>
      </c>
      <c r="AP58" s="35" t="str">
        <f t="shared" si="6"/>
        <v>AGOSTO 120</v>
      </c>
      <c r="AQ58">
        <v>0</v>
      </c>
    </row>
    <row r="59" spans="2:43" ht="15.75" thickBot="1" x14ac:dyDescent="0.3">
      <c r="B59" s="15"/>
      <c r="C59" s="16"/>
      <c r="D59" s="16"/>
      <c r="E59" s="17"/>
      <c r="AN59" t="str">
        <f>+AN58</f>
        <v>AGOSTO</v>
      </c>
      <c r="AO59" s="35">
        <v>150</v>
      </c>
      <c r="AP59" s="35" t="str">
        <f t="shared" si="6"/>
        <v>AGOSTO 150</v>
      </c>
      <c r="AQ59">
        <v>1</v>
      </c>
    </row>
    <row r="60" spans="2:43" ht="15.75" thickBot="1" x14ac:dyDescent="0.3">
      <c r="AN60" t="s">
        <v>93</v>
      </c>
      <c r="AO60" s="35">
        <v>0</v>
      </c>
      <c r="AP60" s="35" t="str">
        <f t="shared" si="6"/>
        <v>LUGLIO 0</v>
      </c>
      <c r="AQ60">
        <v>0</v>
      </c>
    </row>
    <row r="61" spans="2:43" x14ac:dyDescent="0.25">
      <c r="B61" s="5"/>
      <c r="C61" s="6"/>
      <c r="D61" s="6"/>
      <c r="E61" s="7"/>
      <c r="AN61" t="str">
        <f>+AN60</f>
        <v>LUGLIO</v>
      </c>
      <c r="AO61" s="35">
        <v>30</v>
      </c>
      <c r="AP61" s="35" t="str">
        <f t="shared" ref="AP61:AP66" si="8">+AN61&amp;" "&amp;AO61</f>
        <v>LUGLIO 30</v>
      </c>
      <c r="AQ61">
        <v>0</v>
      </c>
    </row>
    <row r="62" spans="2:43" x14ac:dyDescent="0.25">
      <c r="B62" s="8" t="s">
        <v>100</v>
      </c>
      <c r="C62" s="9"/>
      <c r="D62" s="10" t="s">
        <v>47</v>
      </c>
      <c r="E62" s="11" t="s">
        <v>48</v>
      </c>
      <c r="AN62" t="str">
        <f>+AN61</f>
        <v>LUGLIO</v>
      </c>
      <c r="AO62" s="35">
        <v>60</v>
      </c>
      <c r="AP62" s="35" t="str">
        <f t="shared" si="8"/>
        <v>LUGLIO 60</v>
      </c>
      <c r="AQ62">
        <v>0</v>
      </c>
    </row>
    <row r="63" spans="2:43" x14ac:dyDescent="0.25">
      <c r="B63" s="8"/>
      <c r="C63" s="9" t="s">
        <v>8</v>
      </c>
      <c r="D63" s="9"/>
      <c r="E63" s="12"/>
      <c r="AN63" t="str">
        <f t="shared" ref="AN63:AN65" si="9">+AN62</f>
        <v>LUGLIO</v>
      </c>
      <c r="AO63" s="35">
        <v>90</v>
      </c>
      <c r="AP63" s="35" t="str">
        <f t="shared" si="8"/>
        <v>LUGLIO 90</v>
      </c>
      <c r="AQ63">
        <v>0</v>
      </c>
    </row>
    <row r="64" spans="2:43" x14ac:dyDescent="0.25">
      <c r="B64" s="8"/>
      <c r="C64" s="9" t="s">
        <v>101</v>
      </c>
      <c r="D64" s="29">
        <v>0.21</v>
      </c>
      <c r="E64" s="30">
        <v>0.21</v>
      </c>
      <c r="AN64" t="str">
        <f t="shared" si="9"/>
        <v>LUGLIO</v>
      </c>
      <c r="AO64" s="35">
        <v>120</v>
      </c>
      <c r="AP64" s="35" t="str">
        <f t="shared" si="8"/>
        <v>LUGLIO 120</v>
      </c>
      <c r="AQ64">
        <v>0</v>
      </c>
    </row>
    <row r="65" spans="2:43" x14ac:dyDescent="0.25">
      <c r="B65" s="8"/>
      <c r="C65" s="9" t="s">
        <v>102</v>
      </c>
      <c r="D65" s="29">
        <v>0.21</v>
      </c>
      <c r="E65" s="30">
        <v>0.21</v>
      </c>
      <c r="AN65" t="str">
        <f t="shared" si="9"/>
        <v>LUGLIO</v>
      </c>
      <c r="AO65" s="35">
        <v>150</v>
      </c>
      <c r="AP65" s="35" t="str">
        <f t="shared" si="8"/>
        <v>LUGLIO 150</v>
      </c>
      <c r="AQ65">
        <v>0</v>
      </c>
    </row>
    <row r="66" spans="2:43" ht="15.75" thickBot="1" x14ac:dyDescent="0.3">
      <c r="B66" s="15"/>
      <c r="C66" s="16"/>
      <c r="D66" s="16"/>
      <c r="E66" s="17"/>
      <c r="AN66" t="s">
        <v>94</v>
      </c>
      <c r="AO66" s="35">
        <v>0</v>
      </c>
      <c r="AP66" s="35" t="str">
        <f t="shared" si="8"/>
        <v>GIUGNO 0</v>
      </c>
      <c r="AQ66">
        <v>0</v>
      </c>
    </row>
    <row r="67" spans="2:43" x14ac:dyDescent="0.25">
      <c r="AN67" t="e">
        <f>+#REF!</f>
        <v>#REF!</v>
      </c>
      <c r="AO67" s="35">
        <v>90</v>
      </c>
      <c r="AP67" s="35" t="e">
        <f t="shared" ref="AP67:AP70" si="10">+AN67&amp;" "&amp;AO67</f>
        <v>#REF!</v>
      </c>
      <c r="AQ67">
        <v>0</v>
      </c>
    </row>
    <row r="68" spans="2:43" x14ac:dyDescent="0.25">
      <c r="AN68" t="e">
        <f t="shared" ref="AN68:AN69" si="11">+AN67</f>
        <v>#REF!</v>
      </c>
      <c r="AO68" s="35">
        <v>120</v>
      </c>
      <c r="AP68" s="35" t="e">
        <f t="shared" si="10"/>
        <v>#REF!</v>
      </c>
      <c r="AQ68">
        <v>0</v>
      </c>
    </row>
    <row r="69" spans="2:43" x14ac:dyDescent="0.25">
      <c r="AN69" t="e">
        <f t="shared" si="11"/>
        <v>#REF!</v>
      </c>
      <c r="AO69" s="35">
        <v>150</v>
      </c>
      <c r="AP69" s="35" t="e">
        <f t="shared" si="10"/>
        <v>#REF!</v>
      </c>
      <c r="AQ69">
        <v>0</v>
      </c>
    </row>
    <row r="70" spans="2:43" x14ac:dyDescent="0.25">
      <c r="AN70" t="s">
        <v>95</v>
      </c>
      <c r="AO70" s="35">
        <v>0</v>
      </c>
      <c r="AP70" s="35" t="str">
        <f t="shared" si="10"/>
        <v>MAGGIO 0</v>
      </c>
      <c r="AQ70">
        <v>0</v>
      </c>
    </row>
    <row r="71" spans="2:43" x14ac:dyDescent="0.25">
      <c r="AN71" t="str">
        <f>+AN70</f>
        <v>MAGGIO</v>
      </c>
      <c r="AO71" s="35">
        <v>30</v>
      </c>
      <c r="AP71" s="35" t="str">
        <f t="shared" ref="AP71:AP76" si="12">+AN71&amp;" "&amp;AO71</f>
        <v>MAGGIO 30</v>
      </c>
      <c r="AQ71">
        <v>0</v>
      </c>
    </row>
    <row r="72" spans="2:43" x14ac:dyDescent="0.25">
      <c r="AN72" t="str">
        <f>+AN71</f>
        <v>MAGGIO</v>
      </c>
      <c r="AO72" s="35">
        <v>60</v>
      </c>
      <c r="AP72" s="35" t="str">
        <f t="shared" si="12"/>
        <v>MAGGIO 60</v>
      </c>
      <c r="AQ72">
        <v>0</v>
      </c>
    </row>
    <row r="73" spans="2:43" x14ac:dyDescent="0.25">
      <c r="AN73" t="str">
        <f t="shared" ref="AN73:AN75" si="13">+AN72</f>
        <v>MAGGIO</v>
      </c>
      <c r="AO73" s="35">
        <v>90</v>
      </c>
      <c r="AP73" s="35" t="str">
        <f t="shared" si="12"/>
        <v>MAGGIO 90</v>
      </c>
      <c r="AQ73">
        <v>0</v>
      </c>
    </row>
    <row r="74" spans="2:43" x14ac:dyDescent="0.25">
      <c r="AN74" t="str">
        <f t="shared" si="13"/>
        <v>MAGGIO</v>
      </c>
      <c r="AO74" s="35">
        <v>120</v>
      </c>
      <c r="AP74" s="35" t="str">
        <f t="shared" si="12"/>
        <v>MAGGIO 120</v>
      </c>
      <c r="AQ74">
        <v>0</v>
      </c>
    </row>
    <row r="75" spans="2:43" x14ac:dyDescent="0.25">
      <c r="AN75" t="str">
        <f t="shared" si="13"/>
        <v>MAGGIO</v>
      </c>
      <c r="AO75" s="35">
        <v>150</v>
      </c>
      <c r="AP75" s="35" t="str">
        <f t="shared" si="12"/>
        <v>MAGGIO 150</v>
      </c>
      <c r="AQ75">
        <v>0</v>
      </c>
    </row>
    <row r="76" spans="2:43" x14ac:dyDescent="0.25">
      <c r="AN76" t="s">
        <v>96</v>
      </c>
      <c r="AO76" s="35">
        <v>0</v>
      </c>
      <c r="AP76" s="35" t="str">
        <f t="shared" si="12"/>
        <v>APRILE 0</v>
      </c>
      <c r="AQ76">
        <v>0</v>
      </c>
    </row>
    <row r="77" spans="2:43" x14ac:dyDescent="0.25">
      <c r="AN77" t="str">
        <f>+AN76</f>
        <v>APRILE</v>
      </c>
      <c r="AO77" s="35">
        <v>30</v>
      </c>
      <c r="AP77" s="35" t="str">
        <f t="shared" ref="AP77:AP82" si="14">+AN77&amp;" "&amp;AO77</f>
        <v>APRILE 30</v>
      </c>
      <c r="AQ77">
        <v>0</v>
      </c>
    </row>
    <row r="78" spans="2:43" x14ac:dyDescent="0.25">
      <c r="AN78" t="str">
        <f>+AN77</f>
        <v>APRILE</v>
      </c>
      <c r="AO78" s="35">
        <v>60</v>
      </c>
      <c r="AP78" s="35" t="str">
        <f t="shared" si="14"/>
        <v>APRILE 60</v>
      </c>
      <c r="AQ78">
        <v>0</v>
      </c>
    </row>
    <row r="79" spans="2:43" x14ac:dyDescent="0.25">
      <c r="AN79" t="str">
        <f t="shared" ref="AN79:AN81" si="15">+AN78</f>
        <v>APRILE</v>
      </c>
      <c r="AO79" s="35">
        <v>90</v>
      </c>
      <c r="AP79" s="35" t="str">
        <f t="shared" si="14"/>
        <v>APRILE 90</v>
      </c>
      <c r="AQ79">
        <v>0</v>
      </c>
    </row>
    <row r="80" spans="2:43" x14ac:dyDescent="0.25">
      <c r="AN80" t="str">
        <f t="shared" si="15"/>
        <v>APRILE</v>
      </c>
      <c r="AO80" s="35">
        <v>120</v>
      </c>
      <c r="AP80" s="35" t="str">
        <f t="shared" si="14"/>
        <v>APRILE 120</v>
      </c>
      <c r="AQ80">
        <v>0</v>
      </c>
    </row>
    <row r="81" spans="40:43" x14ac:dyDescent="0.25">
      <c r="AN81" t="str">
        <f t="shared" si="15"/>
        <v>APRILE</v>
      </c>
      <c r="AO81" s="35">
        <v>150</v>
      </c>
      <c r="AP81" s="35" t="str">
        <f t="shared" si="14"/>
        <v>APRILE 150</v>
      </c>
      <c r="AQ81">
        <v>0</v>
      </c>
    </row>
    <row r="82" spans="40:43" x14ac:dyDescent="0.25">
      <c r="AN82" t="s">
        <v>97</v>
      </c>
      <c r="AO82" s="35">
        <v>0</v>
      </c>
      <c r="AP82" s="35" t="str">
        <f t="shared" si="14"/>
        <v>MARZO 0</v>
      </c>
      <c r="AQ82">
        <v>0</v>
      </c>
    </row>
    <row r="83" spans="40:43" x14ac:dyDescent="0.25">
      <c r="AN83" t="str">
        <f>+AN82</f>
        <v>MARZO</v>
      </c>
      <c r="AO83" s="35">
        <v>30</v>
      </c>
      <c r="AP83" s="35" t="str">
        <f t="shared" ref="AP83:AP88" si="16">+AN83&amp;" "&amp;AO83</f>
        <v>MARZO 30</v>
      </c>
      <c r="AQ83">
        <v>0</v>
      </c>
    </row>
    <row r="84" spans="40:43" x14ac:dyDescent="0.25">
      <c r="AN84" t="str">
        <f>+AN83</f>
        <v>MARZO</v>
      </c>
      <c r="AO84" s="35">
        <v>60</v>
      </c>
      <c r="AP84" s="35" t="str">
        <f t="shared" si="16"/>
        <v>MARZO 60</v>
      </c>
      <c r="AQ84">
        <v>0</v>
      </c>
    </row>
    <row r="85" spans="40:43" x14ac:dyDescent="0.25">
      <c r="AN85" t="str">
        <f t="shared" ref="AN85:AN87" si="17">+AN84</f>
        <v>MARZO</v>
      </c>
      <c r="AO85" s="35">
        <v>90</v>
      </c>
      <c r="AP85" s="35" t="str">
        <f t="shared" si="16"/>
        <v>MARZO 90</v>
      </c>
      <c r="AQ85">
        <v>0</v>
      </c>
    </row>
    <row r="86" spans="40:43" x14ac:dyDescent="0.25">
      <c r="AN86" t="str">
        <f t="shared" si="17"/>
        <v>MARZO</v>
      </c>
      <c r="AO86" s="35">
        <v>120</v>
      </c>
      <c r="AP86" s="35" t="str">
        <f t="shared" si="16"/>
        <v>MARZO 120</v>
      </c>
      <c r="AQ86">
        <v>0</v>
      </c>
    </row>
    <row r="87" spans="40:43" x14ac:dyDescent="0.25">
      <c r="AN87" t="str">
        <f t="shared" si="17"/>
        <v>MARZO</v>
      </c>
      <c r="AO87" s="35">
        <v>150</v>
      </c>
      <c r="AP87" s="35" t="str">
        <f t="shared" si="16"/>
        <v>MARZO 150</v>
      </c>
      <c r="AQ87">
        <v>0</v>
      </c>
    </row>
    <row r="88" spans="40:43" x14ac:dyDescent="0.25">
      <c r="AN88" t="s">
        <v>98</v>
      </c>
      <c r="AO88" s="35">
        <v>0</v>
      </c>
      <c r="AP88" s="35" t="str">
        <f t="shared" si="16"/>
        <v>FEBBRAIO 0</v>
      </c>
      <c r="AQ88">
        <v>0</v>
      </c>
    </row>
    <row r="89" spans="40:43" x14ac:dyDescent="0.25">
      <c r="AN89" t="str">
        <f>+AN88</f>
        <v>FEBBRAIO</v>
      </c>
      <c r="AO89" s="35">
        <v>30</v>
      </c>
      <c r="AP89" s="35" t="str">
        <f t="shared" ref="AP89:AP94" si="18">+AN89&amp;" "&amp;AO89</f>
        <v>FEBBRAIO 30</v>
      </c>
      <c r="AQ89">
        <v>0</v>
      </c>
    </row>
    <row r="90" spans="40:43" x14ac:dyDescent="0.25">
      <c r="AN90" t="str">
        <f>+AN89</f>
        <v>FEBBRAIO</v>
      </c>
      <c r="AO90" s="35">
        <v>60</v>
      </c>
      <c r="AP90" s="35" t="str">
        <f t="shared" si="18"/>
        <v>FEBBRAIO 60</v>
      </c>
      <c r="AQ90">
        <v>0</v>
      </c>
    </row>
    <row r="91" spans="40:43" x14ac:dyDescent="0.25">
      <c r="AN91" t="str">
        <f t="shared" ref="AN91:AN93" si="19">+AN90</f>
        <v>FEBBRAIO</v>
      </c>
      <c r="AO91" s="35">
        <v>90</v>
      </c>
      <c r="AP91" s="35" t="str">
        <f t="shared" si="18"/>
        <v>FEBBRAIO 90</v>
      </c>
      <c r="AQ91">
        <v>0</v>
      </c>
    </row>
    <row r="92" spans="40:43" x14ac:dyDescent="0.25">
      <c r="AN92" t="str">
        <f t="shared" si="19"/>
        <v>FEBBRAIO</v>
      </c>
      <c r="AO92" s="35">
        <v>120</v>
      </c>
      <c r="AP92" s="35" t="str">
        <f t="shared" si="18"/>
        <v>FEBBRAIO 120</v>
      </c>
      <c r="AQ92">
        <v>0</v>
      </c>
    </row>
    <row r="93" spans="40:43" x14ac:dyDescent="0.25">
      <c r="AN93" t="str">
        <f t="shared" si="19"/>
        <v>FEBBRAIO</v>
      </c>
      <c r="AO93" s="35">
        <v>150</v>
      </c>
      <c r="AP93" s="35" t="str">
        <f t="shared" si="18"/>
        <v>FEBBRAIO 150</v>
      </c>
      <c r="AQ93">
        <v>0</v>
      </c>
    </row>
    <row r="94" spans="40:43" x14ac:dyDescent="0.25">
      <c r="AN94" t="s">
        <v>99</v>
      </c>
      <c r="AO94" s="35">
        <v>0</v>
      </c>
      <c r="AP94" s="35" t="str">
        <f t="shared" si="18"/>
        <v>GENNAIO 0</v>
      </c>
      <c r="AQ94">
        <v>0</v>
      </c>
    </row>
    <row r="95" spans="40:43" x14ac:dyDescent="0.25">
      <c r="AN95" t="str">
        <f>+AN94</f>
        <v>GENNAIO</v>
      </c>
      <c r="AO95" s="35">
        <v>30</v>
      </c>
      <c r="AP95" s="35" t="str">
        <f t="shared" ref="AP95:AP99" si="20">+AN95&amp;" "&amp;AO95</f>
        <v>GENNAIO 30</v>
      </c>
      <c r="AQ95">
        <v>0</v>
      </c>
    </row>
    <row r="96" spans="40:43" x14ac:dyDescent="0.25">
      <c r="AN96" t="str">
        <f>+AN95</f>
        <v>GENNAIO</v>
      </c>
      <c r="AO96" s="35">
        <v>60</v>
      </c>
      <c r="AP96" s="35" t="str">
        <f t="shared" si="20"/>
        <v>GENNAIO 60</v>
      </c>
      <c r="AQ96">
        <v>0</v>
      </c>
    </row>
    <row r="97" spans="40:43" x14ac:dyDescent="0.25">
      <c r="AN97" t="str">
        <f t="shared" ref="AN97:AN99" si="21">+AN96</f>
        <v>GENNAIO</v>
      </c>
      <c r="AO97" s="35">
        <v>90</v>
      </c>
      <c r="AP97" s="35" t="str">
        <f t="shared" si="20"/>
        <v>GENNAIO 90</v>
      </c>
      <c r="AQ97">
        <v>0</v>
      </c>
    </row>
    <row r="98" spans="40:43" x14ac:dyDescent="0.25">
      <c r="AN98" t="str">
        <f t="shared" si="21"/>
        <v>GENNAIO</v>
      </c>
      <c r="AO98" s="35">
        <v>120</v>
      </c>
      <c r="AP98" s="35" t="str">
        <f t="shared" si="20"/>
        <v>GENNAIO 120</v>
      </c>
      <c r="AQ98">
        <v>0</v>
      </c>
    </row>
    <row r="99" spans="40:43" x14ac:dyDescent="0.25">
      <c r="AN99" t="str">
        <f t="shared" si="21"/>
        <v>GENNAIO</v>
      </c>
      <c r="AO99" s="35">
        <v>150</v>
      </c>
      <c r="AP99" s="35" t="str">
        <f t="shared" si="20"/>
        <v>GENNAIO 150</v>
      </c>
      <c r="AQ99">
        <v>0</v>
      </c>
    </row>
  </sheetData>
  <dataValidations count="2">
    <dataValidation type="list" allowBlank="1" showInputMessage="1" showErrorMessage="1" sqref="D40:E40">
      <formula1>$AI$36:$AI$41</formula1>
    </dataValidation>
    <dataValidation type="list" allowBlank="1" showInputMessage="1" showErrorMessage="1" sqref="D38:E38">
      <formula1>$AK$30:$AK$41</formula1>
    </dataValidation>
  </dataValidations>
  <hyperlinks>
    <hyperlink ref="B1" location="'Cash flow'!A1" display="HOM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86"/>
  <sheetViews>
    <sheetView showGridLines="0" workbookViewId="0">
      <selection activeCell="B1" sqref="B1"/>
    </sheetView>
  </sheetViews>
  <sheetFormatPr defaultRowHeight="15" x14ac:dyDescent="0.25"/>
  <cols>
    <col min="1" max="1" width="2.7109375" customWidth="1"/>
    <col min="2" max="2" width="35.85546875" bestFit="1" customWidth="1"/>
    <col min="3" max="3" width="27.140625" bestFit="1" customWidth="1"/>
    <col min="4" max="4" width="11.42578125" bestFit="1" customWidth="1"/>
    <col min="5" max="5" width="15.85546875" customWidth="1"/>
    <col min="6" max="6" width="2.7109375" customWidth="1"/>
    <col min="7" max="7" width="26.140625" bestFit="1" customWidth="1"/>
    <col min="8" max="8" width="11.5703125" bestFit="1" customWidth="1"/>
    <col min="9" max="9" width="9.85546875" bestFit="1" customWidth="1"/>
    <col min="10" max="10" width="2.7109375" customWidth="1"/>
    <col min="11" max="11" width="30" bestFit="1" customWidth="1"/>
    <col min="12" max="12" width="18.42578125" bestFit="1" customWidth="1"/>
    <col min="13" max="13" width="16.5703125" bestFit="1" customWidth="1"/>
    <col min="14" max="14" width="2.7109375" customWidth="1"/>
    <col min="40" max="40" width="12.85546875" customWidth="1"/>
    <col min="42" max="42" width="15.28515625" customWidth="1"/>
    <col min="43" max="43" width="13.7109375" bestFit="1" customWidth="1"/>
  </cols>
  <sheetData>
    <row r="1" spans="1:14" x14ac:dyDescent="0.25">
      <c r="B1" s="79" t="s">
        <v>308</v>
      </c>
    </row>
    <row r="2" spans="1:14" x14ac:dyDescent="0.25">
      <c r="A2" s="4"/>
      <c r="B2" s="19" t="s">
        <v>33</v>
      </c>
      <c r="C2" s="18" t="s">
        <v>44</v>
      </c>
      <c r="D2" s="18" t="s">
        <v>45</v>
      </c>
      <c r="E2" s="18" t="s">
        <v>46</v>
      </c>
      <c r="F2" s="4"/>
      <c r="G2" s="27" t="s">
        <v>34</v>
      </c>
      <c r="H2" s="18" t="s">
        <v>45</v>
      </c>
      <c r="I2" s="18" t="s">
        <v>46</v>
      </c>
      <c r="J2" s="4"/>
      <c r="K2" s="27" t="s">
        <v>12</v>
      </c>
      <c r="L2" s="18" t="s">
        <v>45</v>
      </c>
      <c r="M2" s="18" t="s">
        <v>46</v>
      </c>
      <c r="N2" s="4"/>
    </row>
    <row r="3" spans="1:14" x14ac:dyDescent="0.25">
      <c r="A3" s="4"/>
      <c r="F3" s="4"/>
      <c r="J3" s="4"/>
      <c r="N3" s="4"/>
    </row>
    <row r="4" spans="1:14" x14ac:dyDescent="0.25">
      <c r="A4" s="4"/>
      <c r="B4" t="s">
        <v>3</v>
      </c>
      <c r="F4" s="4"/>
      <c r="H4" s="2"/>
      <c r="I4" s="2"/>
      <c r="J4" s="4"/>
      <c r="K4" s="19"/>
      <c r="L4" s="3"/>
      <c r="M4" s="3"/>
      <c r="N4" s="4"/>
    </row>
    <row r="5" spans="1:14" x14ac:dyDescent="0.25">
      <c r="A5" s="4"/>
      <c r="F5" s="4"/>
      <c r="G5" t="s">
        <v>110</v>
      </c>
      <c r="H5" s="3">
        <f>+D65</f>
        <v>15000</v>
      </c>
      <c r="I5" s="3">
        <f>+E65</f>
        <v>15000</v>
      </c>
      <c r="J5" s="4"/>
      <c r="L5" s="3"/>
      <c r="M5" s="3"/>
      <c r="N5" s="4"/>
    </row>
    <row r="6" spans="1:14" x14ac:dyDescent="0.25">
      <c r="A6" s="4"/>
      <c r="B6" t="s">
        <v>4</v>
      </c>
      <c r="C6" s="3">
        <v>0</v>
      </c>
      <c r="D6" s="25">
        <f>+D41+D59</f>
        <v>90000</v>
      </c>
      <c r="E6" s="25">
        <f>+E45+D6-E7+D7+E59</f>
        <v>90000</v>
      </c>
      <c r="F6" s="4"/>
      <c r="G6" s="19" t="s">
        <v>23</v>
      </c>
      <c r="H6" s="22">
        <f>+H5</f>
        <v>15000</v>
      </c>
      <c r="I6" s="22">
        <f>+I5</f>
        <v>15000</v>
      </c>
      <c r="J6" s="4"/>
      <c r="N6" s="4"/>
    </row>
    <row r="7" spans="1:14" x14ac:dyDescent="0.25">
      <c r="A7" s="4"/>
      <c r="C7" s="3"/>
      <c r="D7" s="3"/>
      <c r="E7" s="3"/>
      <c r="F7" s="4"/>
      <c r="G7" s="19"/>
      <c r="H7" s="26"/>
      <c r="I7" s="26"/>
      <c r="J7" s="4"/>
      <c r="L7" s="3"/>
      <c r="M7" s="3"/>
      <c r="N7" s="4"/>
    </row>
    <row r="8" spans="1:14" x14ac:dyDescent="0.25">
      <c r="A8" s="4"/>
      <c r="C8" s="3"/>
      <c r="D8" s="3"/>
      <c r="E8" s="3"/>
      <c r="F8" s="4"/>
      <c r="G8" s="19"/>
      <c r="H8" s="26"/>
      <c r="I8" s="26"/>
      <c r="J8" s="4"/>
      <c r="K8" t="s">
        <v>275</v>
      </c>
      <c r="L8" s="3">
        <f>+D23-C23</f>
        <v>60000</v>
      </c>
      <c r="M8" s="3">
        <f>+E23-D23</f>
        <v>0</v>
      </c>
      <c r="N8" s="4"/>
    </row>
    <row r="9" spans="1:14" x14ac:dyDescent="0.25">
      <c r="A9" s="4"/>
      <c r="B9" s="19"/>
      <c r="C9" s="22"/>
      <c r="D9" s="22"/>
      <c r="E9" s="22"/>
      <c r="F9" s="4"/>
      <c r="G9" s="19"/>
      <c r="H9" s="26"/>
      <c r="I9" s="26"/>
      <c r="J9" s="4"/>
      <c r="K9" t="s">
        <v>276</v>
      </c>
      <c r="L9" s="3">
        <f>+C24-D24-H11</f>
        <v>-8542.6501636418834</v>
      </c>
      <c r="M9" s="3">
        <f>+D24-E24-I11</f>
        <v>-8542.6501636418834</v>
      </c>
      <c r="N9" s="4"/>
    </row>
    <row r="10" spans="1:14" x14ac:dyDescent="0.25">
      <c r="A10" s="4"/>
      <c r="D10" s="3"/>
      <c r="E10" s="3"/>
      <c r="F10" s="4"/>
      <c r="H10" s="3"/>
      <c r="I10" s="3"/>
      <c r="J10" s="4"/>
      <c r="N10" s="4"/>
    </row>
    <row r="11" spans="1:14" x14ac:dyDescent="0.25">
      <c r="A11" s="4"/>
      <c r="D11" s="3"/>
      <c r="E11" s="3"/>
      <c r="F11" s="4"/>
      <c r="G11" t="s">
        <v>265</v>
      </c>
      <c r="H11" s="3">
        <f>+D52</f>
        <v>4200</v>
      </c>
      <c r="I11" s="3">
        <f>+E52</f>
        <v>3896.0144885450686</v>
      </c>
      <c r="J11" s="4"/>
      <c r="N11" s="4"/>
    </row>
    <row r="12" spans="1:14" x14ac:dyDescent="0.25">
      <c r="A12" s="4"/>
      <c r="C12" s="3"/>
      <c r="D12" s="3"/>
      <c r="E12" s="3"/>
      <c r="F12" s="4"/>
      <c r="G12" s="19"/>
      <c r="H12" s="22"/>
      <c r="I12" s="22"/>
      <c r="J12" s="4"/>
      <c r="L12" s="3"/>
      <c r="M12" s="3"/>
      <c r="N12" s="4"/>
    </row>
    <row r="13" spans="1:14" x14ac:dyDescent="0.25">
      <c r="A13" s="4"/>
      <c r="F13" s="4"/>
      <c r="H13" s="2"/>
      <c r="I13" s="2"/>
      <c r="J13" s="4"/>
      <c r="K13" t="s">
        <v>277</v>
      </c>
      <c r="L13" s="3">
        <f>+D26-C26</f>
        <v>30000</v>
      </c>
      <c r="M13" s="3">
        <f>+E26-D26</f>
        <v>0</v>
      </c>
      <c r="N13" s="4"/>
    </row>
    <row r="14" spans="1:14" x14ac:dyDescent="0.25">
      <c r="A14" s="4"/>
      <c r="B14" s="19" t="s">
        <v>5</v>
      </c>
      <c r="C14" s="22">
        <f>SUM(C5:C13)</f>
        <v>0</v>
      </c>
      <c r="D14" s="22">
        <f t="shared" ref="D14:E14" si="0">SUM(D5:D13)</f>
        <v>90000</v>
      </c>
      <c r="E14" s="22">
        <f t="shared" si="0"/>
        <v>90000</v>
      </c>
      <c r="F14" s="4"/>
      <c r="J14" s="4"/>
      <c r="K14" t="s">
        <v>274</v>
      </c>
      <c r="L14" s="3">
        <f>+D20-C20</f>
        <v>0</v>
      </c>
      <c r="M14" s="3">
        <f>+E20-D20</f>
        <v>-8000</v>
      </c>
      <c r="N14" s="4"/>
    </row>
    <row r="15" spans="1:14" x14ac:dyDescent="0.25">
      <c r="A15" s="4"/>
      <c r="D15" s="3"/>
      <c r="E15" s="3"/>
      <c r="F15" s="4"/>
      <c r="G15" s="19" t="s">
        <v>30</v>
      </c>
      <c r="H15" s="22">
        <f>+H11+H6</f>
        <v>19200</v>
      </c>
      <c r="I15" s="22">
        <f>+I11+I6</f>
        <v>18896.014488545068</v>
      </c>
      <c r="J15" s="4"/>
      <c r="K15" s="32"/>
      <c r="L15" s="3"/>
      <c r="M15" s="3"/>
      <c r="N15" s="4"/>
    </row>
    <row r="16" spans="1:14" x14ac:dyDescent="0.25">
      <c r="A16" s="4"/>
      <c r="B16" t="s">
        <v>6</v>
      </c>
      <c r="C16" s="3">
        <v>0</v>
      </c>
      <c r="D16" s="25">
        <f>+D53-D66</f>
        <v>8542.6501636418834</v>
      </c>
      <c r="E16" s="25">
        <f>+E53+D16+E66</f>
        <v>25085.300327283767</v>
      </c>
      <c r="F16" s="4"/>
      <c r="J16" s="4"/>
      <c r="N16" s="4"/>
    </row>
    <row r="17" spans="1:14" x14ac:dyDescent="0.25">
      <c r="A17" s="4"/>
      <c r="C17" s="3"/>
      <c r="D17" s="3"/>
      <c r="E17" s="3"/>
      <c r="F17" s="4"/>
      <c r="J17" s="4"/>
      <c r="N17" s="4"/>
    </row>
    <row r="18" spans="1:14" x14ac:dyDescent="0.25">
      <c r="A18" s="4"/>
      <c r="B18" s="19" t="s">
        <v>272</v>
      </c>
      <c r="C18" s="3"/>
      <c r="D18" s="22">
        <f>SUM(D19:D20)</f>
        <v>15000</v>
      </c>
      <c r="E18" s="22">
        <f>SUM(E19:E20)</f>
        <v>22000</v>
      </c>
      <c r="F18" s="4"/>
      <c r="J18" s="4"/>
      <c r="N18" s="4"/>
    </row>
    <row r="19" spans="1:14" x14ac:dyDescent="0.25">
      <c r="A19" s="4"/>
      <c r="B19" t="s">
        <v>271</v>
      </c>
      <c r="C19" s="3"/>
      <c r="D19" s="3">
        <f>+H5</f>
        <v>15000</v>
      </c>
      <c r="E19" s="3">
        <f>+D19+I5</f>
        <v>30000</v>
      </c>
      <c r="F19" s="4"/>
      <c r="J19" s="4"/>
      <c r="N19" s="4"/>
    </row>
    <row r="20" spans="1:14" x14ac:dyDescent="0.25">
      <c r="A20" s="4"/>
      <c r="B20" t="s">
        <v>273</v>
      </c>
      <c r="C20" s="3"/>
      <c r="D20" s="3"/>
      <c r="E20" s="3">
        <f>-E66</f>
        <v>-8000</v>
      </c>
      <c r="F20" s="4"/>
      <c r="J20" s="4"/>
      <c r="N20" s="4"/>
    </row>
    <row r="21" spans="1:14" x14ac:dyDescent="0.25">
      <c r="A21" s="4"/>
      <c r="C21" s="3"/>
      <c r="D21" s="3"/>
      <c r="E21" s="3"/>
      <c r="F21" s="4"/>
      <c r="J21" s="4"/>
      <c r="N21" s="4"/>
    </row>
    <row r="22" spans="1:14" x14ac:dyDescent="0.25">
      <c r="A22" s="4"/>
      <c r="B22" s="19" t="s">
        <v>278</v>
      </c>
      <c r="C22" s="3"/>
      <c r="D22" s="22">
        <f>+D23-D24</f>
        <v>55657.349836358117</v>
      </c>
      <c r="E22" s="22">
        <f>+E23-E24</f>
        <v>51010.714161261305</v>
      </c>
      <c r="F22" s="4"/>
      <c r="J22" s="4"/>
      <c r="N22" s="4"/>
    </row>
    <row r="23" spans="1:14" x14ac:dyDescent="0.25">
      <c r="A23" s="4"/>
      <c r="B23" s="73" t="s">
        <v>279</v>
      </c>
      <c r="C23" s="22"/>
      <c r="D23" s="3">
        <f>+D41</f>
        <v>60000</v>
      </c>
      <c r="E23" s="3">
        <f>+D23</f>
        <v>60000</v>
      </c>
      <c r="F23" s="4"/>
      <c r="J23" s="4"/>
      <c r="N23" s="4"/>
    </row>
    <row r="24" spans="1:14" ht="15.75" customHeight="1" x14ac:dyDescent="0.25">
      <c r="A24" s="4"/>
      <c r="B24" s="73" t="s">
        <v>280</v>
      </c>
      <c r="C24" s="22"/>
      <c r="D24" s="3">
        <f>+D51</f>
        <v>4342.6501636418834</v>
      </c>
      <c r="E24" s="3">
        <f>+E51+D24</f>
        <v>8989.2858387386987</v>
      </c>
      <c r="F24" s="4"/>
      <c r="J24" s="4"/>
      <c r="N24" s="4"/>
    </row>
    <row r="25" spans="1:14" ht="15.75" customHeight="1" x14ac:dyDescent="0.25">
      <c r="A25" s="4"/>
      <c r="B25" s="19"/>
      <c r="C25" s="22"/>
      <c r="D25" s="22"/>
      <c r="E25" s="22"/>
      <c r="F25" s="4"/>
      <c r="J25" s="4"/>
      <c r="N25" s="4"/>
    </row>
    <row r="26" spans="1:14" x14ac:dyDescent="0.25">
      <c r="A26" s="4"/>
      <c r="B26" t="s">
        <v>268</v>
      </c>
      <c r="C26" s="3"/>
      <c r="D26" s="3">
        <f>+D59</f>
        <v>30000</v>
      </c>
      <c r="E26" s="3">
        <f>+D26+E59</f>
        <v>30000</v>
      </c>
      <c r="F26" s="4"/>
      <c r="J26" s="4"/>
      <c r="N26" s="4"/>
    </row>
    <row r="27" spans="1:14" x14ac:dyDescent="0.25">
      <c r="A27" s="4"/>
      <c r="C27" s="3"/>
      <c r="D27" s="3"/>
      <c r="E27" s="3"/>
      <c r="F27" s="4"/>
      <c r="J27" s="4"/>
      <c r="N27" s="4"/>
    </row>
    <row r="28" spans="1:14" x14ac:dyDescent="0.25">
      <c r="A28" s="4"/>
      <c r="C28" s="3"/>
      <c r="F28" s="4"/>
      <c r="J28" s="4"/>
      <c r="N28" s="4"/>
    </row>
    <row r="29" spans="1:14" x14ac:dyDescent="0.25">
      <c r="A29" s="4"/>
      <c r="B29" t="s">
        <v>11</v>
      </c>
      <c r="C29" s="3">
        <v>0</v>
      </c>
      <c r="D29" s="2"/>
      <c r="E29" s="3">
        <f>+D30</f>
        <v>-19200</v>
      </c>
      <c r="F29" s="4"/>
      <c r="J29" s="4"/>
      <c r="N29" s="4"/>
    </row>
    <row r="30" spans="1:14" ht="30" x14ac:dyDescent="0.25">
      <c r="A30" s="4"/>
      <c r="B30" t="s">
        <v>10</v>
      </c>
      <c r="C30" s="3">
        <v>0</v>
      </c>
      <c r="D30" s="3">
        <f>+H30</f>
        <v>-19200</v>
      </c>
      <c r="E30" s="3">
        <f>+I30</f>
        <v>-18896.014488545068</v>
      </c>
      <c r="F30" s="4"/>
      <c r="G30" s="19" t="s">
        <v>10</v>
      </c>
      <c r="H30" s="22">
        <f>+H7-H15</f>
        <v>-19200</v>
      </c>
      <c r="I30" s="22">
        <f>+I7-I15</f>
        <v>-18896.014488545068</v>
      </c>
      <c r="J30" s="4"/>
      <c r="K30" s="40" t="s">
        <v>111</v>
      </c>
      <c r="L30" s="28">
        <f>SUM(L4:L29)</f>
        <v>81457.349836358117</v>
      </c>
      <c r="M30" s="28">
        <f>SUM(M4:M29)</f>
        <v>-16542.650163641883</v>
      </c>
      <c r="N30" s="4"/>
    </row>
    <row r="31" spans="1:14" x14ac:dyDescent="0.25">
      <c r="A31" s="4"/>
      <c r="F31" s="4"/>
      <c r="J31" s="4"/>
      <c r="N31" s="4"/>
    </row>
    <row r="32" spans="1:14" x14ac:dyDescent="0.25">
      <c r="A32" s="4"/>
      <c r="B32" s="19" t="s">
        <v>13</v>
      </c>
      <c r="C32" s="22">
        <f>SUM(C16:C31)</f>
        <v>0</v>
      </c>
      <c r="D32" s="22">
        <f>+D16+D18+D22+D26+D29+D30</f>
        <v>90000</v>
      </c>
      <c r="E32" s="22">
        <f>+E16+E18+E22+E26+E29+E30</f>
        <v>90000</v>
      </c>
      <c r="F32" s="4"/>
      <c r="J32" s="4"/>
      <c r="K32" t="s">
        <v>43</v>
      </c>
      <c r="L32" s="3">
        <f>+((D6-D16))</f>
        <v>81457.349836358117</v>
      </c>
      <c r="M32" s="3">
        <f>E6-D6+D16-E16</f>
        <v>-16542.650163641883</v>
      </c>
      <c r="N32" s="4"/>
    </row>
    <row r="33" spans="1:43" x14ac:dyDescent="0.25">
      <c r="A33" s="4"/>
      <c r="F33" s="4"/>
      <c r="J33" s="4"/>
      <c r="L33" s="33"/>
      <c r="N33" s="4"/>
    </row>
    <row r="34" spans="1:43" x14ac:dyDescent="0.25">
      <c r="A34" s="4"/>
      <c r="B34" s="34" t="s">
        <v>55</v>
      </c>
      <c r="C34" s="28">
        <f>+C6-C16</f>
        <v>0</v>
      </c>
      <c r="D34" s="28">
        <f t="shared" ref="D34:E34" si="1">+D6-D16</f>
        <v>81457.349836358117</v>
      </c>
      <c r="E34" s="28">
        <f t="shared" si="1"/>
        <v>64914.699672716233</v>
      </c>
      <c r="F34" s="4"/>
      <c r="J34" s="4"/>
      <c r="M34" s="31"/>
      <c r="N34" s="4"/>
      <c r="AQ34" t="s">
        <v>77</v>
      </c>
    </row>
    <row r="35" spans="1:43" ht="15.75" thickBo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AO35" s="35"/>
      <c r="AP35" s="35"/>
      <c r="AQ35">
        <v>0</v>
      </c>
    </row>
    <row r="36" spans="1:43" x14ac:dyDescent="0.25">
      <c r="AO36" s="35"/>
      <c r="AP36" s="35"/>
      <c r="AQ36">
        <v>1</v>
      </c>
    </row>
    <row r="37" spans="1:43" ht="15.75" thickBot="1" x14ac:dyDescent="0.3">
      <c r="AO37" s="35"/>
      <c r="AP37" s="35"/>
      <c r="AQ37">
        <v>0</v>
      </c>
    </row>
    <row r="38" spans="1:43" x14ac:dyDescent="0.25">
      <c r="B38" s="5"/>
      <c r="C38" s="6"/>
      <c r="D38" s="6"/>
      <c r="E38" s="7"/>
      <c r="AO38" s="35"/>
      <c r="AP38" s="35"/>
      <c r="AQ38">
        <v>0</v>
      </c>
    </row>
    <row r="39" spans="1:43" x14ac:dyDescent="0.25">
      <c r="B39" s="8" t="s">
        <v>112</v>
      </c>
      <c r="C39" s="9"/>
      <c r="D39" s="38" t="s">
        <v>47</v>
      </c>
      <c r="E39" s="39" t="s">
        <v>48</v>
      </c>
      <c r="AO39" s="35"/>
      <c r="AP39" s="35"/>
      <c r="AQ39">
        <v>1</v>
      </c>
    </row>
    <row r="40" spans="1:43" x14ac:dyDescent="0.25">
      <c r="B40" s="8"/>
      <c r="D40" s="9"/>
      <c r="E40" s="12"/>
      <c r="AO40" s="35"/>
      <c r="AP40" s="35"/>
      <c r="AQ40">
        <v>1</v>
      </c>
    </row>
    <row r="41" spans="1:43" x14ac:dyDescent="0.25">
      <c r="B41" s="8"/>
      <c r="C41" t="s">
        <v>113</v>
      </c>
      <c r="D41" s="20">
        <v>60000</v>
      </c>
      <c r="E41" s="12"/>
      <c r="AO41" s="35"/>
      <c r="AP41" s="35"/>
      <c r="AQ41">
        <v>0</v>
      </c>
    </row>
    <row r="42" spans="1:43" x14ac:dyDescent="0.25">
      <c r="B42" s="8"/>
      <c r="D42" s="9"/>
      <c r="E42" s="12"/>
      <c r="AO42" s="35"/>
      <c r="AP42" s="35"/>
      <c r="AQ42">
        <v>0</v>
      </c>
    </row>
    <row r="43" spans="1:43" x14ac:dyDescent="0.25">
      <c r="B43" s="8"/>
      <c r="C43" t="s">
        <v>114</v>
      </c>
      <c r="D43" s="36">
        <v>7.0000000000000007E-2</v>
      </c>
      <c r="E43" s="12"/>
      <c r="AO43" s="35"/>
      <c r="AP43" s="35"/>
      <c r="AQ43">
        <v>0</v>
      </c>
    </row>
    <row r="44" spans="1:43" x14ac:dyDescent="0.25">
      <c r="B44" s="8"/>
      <c r="E44" s="12"/>
      <c r="AO44" s="35"/>
      <c r="AP44" s="35"/>
      <c r="AQ44">
        <v>0</v>
      </c>
    </row>
    <row r="45" spans="1:43" x14ac:dyDescent="0.25">
      <c r="B45" s="8"/>
      <c r="C45" t="s">
        <v>115</v>
      </c>
      <c r="D45" s="70">
        <v>10</v>
      </c>
      <c r="E45" s="12"/>
      <c r="AO45" s="35"/>
      <c r="AP45" s="35"/>
      <c r="AQ45">
        <v>0</v>
      </c>
    </row>
    <row r="46" spans="1:43" ht="15.75" thickBot="1" x14ac:dyDescent="0.3">
      <c r="B46" s="15"/>
      <c r="C46" s="16"/>
      <c r="D46" s="16"/>
      <c r="E46" s="17"/>
      <c r="AO46" s="35"/>
      <c r="AP46" s="35"/>
      <c r="AQ46">
        <v>1</v>
      </c>
    </row>
    <row r="47" spans="1:43" ht="15.75" thickBot="1" x14ac:dyDescent="0.3">
      <c r="AO47" s="35"/>
      <c r="AP47" s="35"/>
      <c r="AQ47">
        <v>0</v>
      </c>
    </row>
    <row r="48" spans="1:43" x14ac:dyDescent="0.25">
      <c r="B48" s="5"/>
      <c r="C48" s="6"/>
      <c r="D48" s="6"/>
      <c r="E48" s="7"/>
      <c r="AO48" s="35"/>
      <c r="AP48" s="35"/>
      <c r="AQ48">
        <v>0</v>
      </c>
    </row>
    <row r="49" spans="2:43" x14ac:dyDescent="0.25">
      <c r="B49" s="8" t="s">
        <v>116</v>
      </c>
      <c r="C49" s="9"/>
      <c r="D49" s="38" t="s">
        <v>47</v>
      </c>
      <c r="E49" s="39" t="s">
        <v>48</v>
      </c>
      <c r="AO49" s="35"/>
      <c r="AP49" s="35"/>
      <c r="AQ49">
        <v>0</v>
      </c>
    </row>
    <row r="50" spans="2:43" x14ac:dyDescent="0.25">
      <c r="B50" s="8"/>
      <c r="C50" s="9"/>
      <c r="D50" s="9"/>
      <c r="E50" s="12"/>
      <c r="AO50" s="35"/>
      <c r="AP50" s="35"/>
      <c r="AQ50">
        <v>0</v>
      </c>
    </row>
    <row r="51" spans="2:43" x14ac:dyDescent="0.25">
      <c r="B51" s="8"/>
      <c r="C51" s="9" t="s">
        <v>168</v>
      </c>
      <c r="D51" s="71">
        <f>+fin!E19</f>
        <v>4342.6501636418834</v>
      </c>
      <c r="E51" s="72">
        <f>+fin!F19</f>
        <v>4646.6356750968152</v>
      </c>
      <c r="AO51" s="35"/>
      <c r="AP51" s="35"/>
      <c r="AQ51">
        <v>0</v>
      </c>
    </row>
    <row r="52" spans="2:43" x14ac:dyDescent="0.25">
      <c r="B52" s="8"/>
      <c r="C52" s="9" t="s">
        <v>264</v>
      </c>
      <c r="D52" s="71">
        <f>+fin!E21</f>
        <v>4200</v>
      </c>
      <c r="E52" s="72">
        <f>+fin!F21</f>
        <v>3896.0144885450686</v>
      </c>
      <c r="AO52" s="35"/>
      <c r="AP52" s="35"/>
    </row>
    <row r="53" spans="2:43" x14ac:dyDescent="0.25">
      <c r="B53" s="8"/>
      <c r="C53" s="9" t="s">
        <v>167</v>
      </c>
      <c r="D53" s="71">
        <f>+D51+D52</f>
        <v>8542.6501636418834</v>
      </c>
      <c r="E53" s="72">
        <f>+E51+E52</f>
        <v>8542.6501636418834</v>
      </c>
      <c r="AO53" s="35"/>
      <c r="AP53" s="35"/>
      <c r="AQ53">
        <v>0</v>
      </c>
    </row>
    <row r="54" spans="2:43" ht="15.75" thickBot="1" x14ac:dyDescent="0.3">
      <c r="B54" s="15"/>
      <c r="C54" s="16"/>
      <c r="D54" s="16"/>
      <c r="E54" s="17"/>
      <c r="AO54" s="35"/>
      <c r="AP54" s="35"/>
      <c r="AQ54">
        <v>0</v>
      </c>
    </row>
    <row r="55" spans="2:43" ht="15.75" thickBot="1" x14ac:dyDescent="0.3">
      <c r="AO55" s="35"/>
      <c r="AP55" s="35"/>
      <c r="AQ55">
        <v>0</v>
      </c>
    </row>
    <row r="56" spans="2:43" x14ac:dyDescent="0.25">
      <c r="B56" s="5"/>
      <c r="C56" s="6"/>
      <c r="D56" s="6"/>
      <c r="E56" s="7"/>
      <c r="AO56" s="35"/>
      <c r="AP56" s="35"/>
      <c r="AQ56">
        <v>0</v>
      </c>
    </row>
    <row r="57" spans="2:43" x14ac:dyDescent="0.25">
      <c r="B57" s="8" t="s">
        <v>266</v>
      </c>
      <c r="C57" s="9"/>
      <c r="D57" s="38" t="s">
        <v>47</v>
      </c>
      <c r="E57" s="39" t="s">
        <v>48</v>
      </c>
      <c r="AO57" s="35"/>
      <c r="AP57" s="35"/>
      <c r="AQ57">
        <v>0</v>
      </c>
    </row>
    <row r="58" spans="2:43" x14ac:dyDescent="0.25">
      <c r="B58" s="8"/>
      <c r="C58" s="9"/>
      <c r="D58" s="9"/>
      <c r="E58" s="12"/>
      <c r="AO58" s="35"/>
      <c r="AP58" s="35"/>
      <c r="AQ58">
        <v>0</v>
      </c>
    </row>
    <row r="59" spans="2:43" x14ac:dyDescent="0.25">
      <c r="B59" s="8"/>
      <c r="C59" s="9" t="s">
        <v>267</v>
      </c>
      <c r="D59" s="20">
        <v>30000</v>
      </c>
      <c r="E59" s="12"/>
      <c r="AO59" s="35"/>
      <c r="AP59" s="35"/>
      <c r="AQ59">
        <v>0</v>
      </c>
    </row>
    <row r="60" spans="2:43" ht="15.75" thickBot="1" x14ac:dyDescent="0.3">
      <c r="B60" s="15"/>
      <c r="C60" s="16"/>
      <c r="D60" s="16"/>
      <c r="E60" s="17"/>
      <c r="AO60" s="35"/>
      <c r="AP60" s="35"/>
      <c r="AQ60">
        <v>0</v>
      </c>
    </row>
    <row r="61" spans="2:43" ht="15.75" thickBot="1" x14ac:dyDescent="0.3">
      <c r="AO61" s="35"/>
      <c r="AP61" s="35"/>
      <c r="AQ61">
        <v>0</v>
      </c>
    </row>
    <row r="62" spans="2:43" x14ac:dyDescent="0.25">
      <c r="B62" s="5"/>
      <c r="C62" s="6"/>
      <c r="D62" s="6"/>
      <c r="E62" s="7"/>
      <c r="AO62" s="35"/>
      <c r="AP62" s="35"/>
      <c r="AQ62">
        <v>0</v>
      </c>
    </row>
    <row r="63" spans="2:43" x14ac:dyDescent="0.25">
      <c r="B63" s="8" t="s">
        <v>269</v>
      </c>
      <c r="C63" s="9"/>
      <c r="D63" s="38" t="s">
        <v>47</v>
      </c>
      <c r="E63" s="39" t="s">
        <v>48</v>
      </c>
      <c r="AO63" s="35"/>
      <c r="AP63" s="35"/>
      <c r="AQ63">
        <v>0</v>
      </c>
    </row>
    <row r="64" spans="2:43" x14ac:dyDescent="0.25">
      <c r="B64" s="8"/>
      <c r="C64" s="9"/>
      <c r="D64" s="9"/>
      <c r="E64" s="12"/>
      <c r="AO64" s="35"/>
      <c r="AP64" s="35"/>
      <c r="AQ64">
        <v>0</v>
      </c>
    </row>
    <row r="65" spans="2:43" x14ac:dyDescent="0.25">
      <c r="B65" s="8"/>
      <c r="C65" s="9" t="s">
        <v>270</v>
      </c>
      <c r="D65" s="20">
        <v>15000</v>
      </c>
      <c r="E65" s="21">
        <v>15000</v>
      </c>
      <c r="AO65" s="35"/>
      <c r="AP65" s="35"/>
      <c r="AQ65">
        <v>0</v>
      </c>
    </row>
    <row r="66" spans="2:43" x14ac:dyDescent="0.25">
      <c r="B66" s="8"/>
      <c r="C66" s="9" t="s">
        <v>274</v>
      </c>
      <c r="D66" s="20"/>
      <c r="E66" s="21">
        <v>8000</v>
      </c>
      <c r="AO66" s="35"/>
      <c r="AP66" s="35"/>
    </row>
    <row r="67" spans="2:43" ht="15.75" thickBot="1" x14ac:dyDescent="0.3">
      <c r="B67" s="15"/>
      <c r="C67" s="16"/>
      <c r="D67" s="16"/>
      <c r="E67" s="17"/>
      <c r="AO67" s="35"/>
      <c r="AP67" s="35"/>
      <c r="AQ67">
        <v>0</v>
      </c>
    </row>
    <row r="68" spans="2:43" x14ac:dyDescent="0.25">
      <c r="AO68" s="35"/>
      <c r="AP68" s="35"/>
      <c r="AQ68">
        <v>0</v>
      </c>
    </row>
    <row r="69" spans="2:43" x14ac:dyDescent="0.25">
      <c r="AO69" s="35"/>
      <c r="AP69" s="35"/>
      <c r="AQ69">
        <v>0</v>
      </c>
    </row>
    <row r="70" spans="2:43" x14ac:dyDescent="0.25">
      <c r="AO70" s="35"/>
      <c r="AP70" s="35"/>
      <c r="AQ70">
        <v>0</v>
      </c>
    </row>
    <row r="71" spans="2:43" x14ac:dyDescent="0.25">
      <c r="AO71" s="35"/>
      <c r="AP71" s="35"/>
      <c r="AQ71">
        <v>0</v>
      </c>
    </row>
    <row r="72" spans="2:43" x14ac:dyDescent="0.25">
      <c r="AO72" s="35"/>
      <c r="AP72" s="35"/>
      <c r="AQ72">
        <v>0</v>
      </c>
    </row>
    <row r="73" spans="2:43" x14ac:dyDescent="0.25">
      <c r="AO73" s="35"/>
      <c r="AP73" s="35"/>
      <c r="AQ73">
        <v>0</v>
      </c>
    </row>
    <row r="74" spans="2:43" x14ac:dyDescent="0.25">
      <c r="AO74" s="35"/>
      <c r="AP74" s="35"/>
      <c r="AQ74">
        <v>0</v>
      </c>
    </row>
    <row r="75" spans="2:43" x14ac:dyDescent="0.25">
      <c r="AO75" s="35"/>
      <c r="AP75" s="35"/>
      <c r="AQ75">
        <v>0</v>
      </c>
    </row>
    <row r="76" spans="2:43" x14ac:dyDescent="0.25">
      <c r="AO76" s="35"/>
      <c r="AP76" s="35"/>
      <c r="AQ76">
        <v>0</v>
      </c>
    </row>
    <row r="77" spans="2:43" x14ac:dyDescent="0.25">
      <c r="AO77" s="35"/>
      <c r="AP77" s="35"/>
      <c r="AQ77">
        <v>0</v>
      </c>
    </row>
    <row r="78" spans="2:43" x14ac:dyDescent="0.25">
      <c r="AO78" s="35"/>
      <c r="AP78" s="35"/>
      <c r="AQ78">
        <v>0</v>
      </c>
    </row>
    <row r="79" spans="2:43" x14ac:dyDescent="0.25">
      <c r="AO79" s="35"/>
      <c r="AP79" s="35"/>
      <c r="AQ79">
        <v>0</v>
      </c>
    </row>
    <row r="80" spans="2:43" x14ac:dyDescent="0.25">
      <c r="AO80" s="35"/>
      <c r="AP80" s="35"/>
      <c r="AQ80">
        <v>0</v>
      </c>
    </row>
    <row r="81" spans="41:43" x14ac:dyDescent="0.25">
      <c r="AO81" s="35"/>
      <c r="AP81" s="35"/>
      <c r="AQ81">
        <v>0</v>
      </c>
    </row>
    <row r="82" spans="41:43" x14ac:dyDescent="0.25">
      <c r="AO82" s="35"/>
      <c r="AP82" s="35"/>
      <c r="AQ82">
        <v>0</v>
      </c>
    </row>
    <row r="83" spans="41:43" x14ac:dyDescent="0.25">
      <c r="AO83" s="35"/>
      <c r="AP83" s="35"/>
      <c r="AQ83">
        <v>0</v>
      </c>
    </row>
    <row r="84" spans="41:43" x14ac:dyDescent="0.25">
      <c r="AO84" s="35"/>
      <c r="AP84" s="35"/>
      <c r="AQ84">
        <v>0</v>
      </c>
    </row>
    <row r="85" spans="41:43" x14ac:dyDescent="0.25">
      <c r="AO85" s="35"/>
      <c r="AP85" s="35"/>
      <c r="AQ85">
        <v>0</v>
      </c>
    </row>
    <row r="86" spans="41:43" x14ac:dyDescent="0.25">
      <c r="AO86" s="35"/>
      <c r="AP86" s="35"/>
      <c r="AQ86">
        <v>0</v>
      </c>
    </row>
  </sheetData>
  <hyperlinks>
    <hyperlink ref="B1" location="'Cash flow'!A1" display="HOM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74"/>
  <sheetViews>
    <sheetView showGridLines="0" workbookViewId="0">
      <selection activeCell="B1" sqref="B1"/>
    </sheetView>
  </sheetViews>
  <sheetFormatPr defaultRowHeight="15" x14ac:dyDescent="0.25"/>
  <cols>
    <col min="1" max="1" width="2.7109375" customWidth="1"/>
    <col min="2" max="2" width="35.85546875" bestFit="1" customWidth="1"/>
    <col min="3" max="3" width="27.140625" bestFit="1" customWidth="1"/>
    <col min="4" max="4" width="11.42578125" bestFit="1" customWidth="1"/>
    <col min="5" max="5" width="15.85546875" customWidth="1"/>
    <col min="6" max="6" width="2.7109375" customWidth="1"/>
    <col min="7" max="7" width="26.140625" bestFit="1" customWidth="1"/>
    <col min="8" max="8" width="11.5703125" bestFit="1" customWidth="1"/>
    <col min="9" max="9" width="9.85546875" bestFit="1" customWidth="1"/>
    <col min="10" max="10" width="2.7109375" customWidth="1"/>
    <col min="11" max="11" width="30" bestFit="1" customWidth="1"/>
    <col min="12" max="12" width="18.42578125" bestFit="1" customWidth="1"/>
    <col min="13" max="13" width="16.5703125" bestFit="1" customWidth="1"/>
    <col min="14" max="14" width="2.7109375" customWidth="1"/>
    <col min="40" max="40" width="12.85546875" customWidth="1"/>
    <col min="42" max="42" width="15.28515625" customWidth="1"/>
    <col min="43" max="43" width="13.7109375" bestFit="1" customWidth="1"/>
  </cols>
  <sheetData>
    <row r="1" spans="1:14" x14ac:dyDescent="0.25">
      <c r="B1" s="79" t="s">
        <v>308</v>
      </c>
    </row>
    <row r="2" spans="1:14" x14ac:dyDescent="0.25">
      <c r="A2" s="4"/>
      <c r="B2" s="19" t="s">
        <v>33</v>
      </c>
      <c r="C2" s="18" t="s">
        <v>44</v>
      </c>
      <c r="D2" s="18" t="s">
        <v>45</v>
      </c>
      <c r="E2" s="18" t="s">
        <v>46</v>
      </c>
      <c r="F2" s="4"/>
      <c r="G2" s="27" t="s">
        <v>34</v>
      </c>
      <c r="H2" s="18" t="s">
        <v>45</v>
      </c>
      <c r="I2" s="18" t="s">
        <v>46</v>
      </c>
      <c r="J2" s="4"/>
      <c r="K2" s="27" t="s">
        <v>12</v>
      </c>
      <c r="L2" s="18" t="s">
        <v>45</v>
      </c>
      <c r="M2" s="18" t="s">
        <v>46</v>
      </c>
      <c r="N2" s="4"/>
    </row>
    <row r="3" spans="1:14" x14ac:dyDescent="0.25">
      <c r="A3" s="4"/>
      <c r="F3" s="4"/>
      <c r="J3" s="4"/>
      <c r="N3" s="4"/>
    </row>
    <row r="4" spans="1:14" x14ac:dyDescent="0.25">
      <c r="A4" s="4"/>
      <c r="B4" t="s">
        <v>3</v>
      </c>
      <c r="F4" s="4"/>
      <c r="H4" s="2"/>
      <c r="I4" s="2"/>
      <c r="J4" s="4"/>
      <c r="K4" s="19"/>
      <c r="L4" s="3"/>
      <c r="M4" s="3"/>
      <c r="N4" s="4"/>
    </row>
    <row r="5" spans="1:14" x14ac:dyDescent="0.25">
      <c r="A5" s="4"/>
      <c r="F5" s="4"/>
      <c r="H5" s="3"/>
      <c r="I5" s="3"/>
      <c r="J5" s="4"/>
      <c r="L5" s="3"/>
      <c r="M5" s="3"/>
      <c r="N5" s="4"/>
    </row>
    <row r="6" spans="1:14" x14ac:dyDescent="0.25">
      <c r="A6" s="4"/>
      <c r="B6" t="s">
        <v>4</v>
      </c>
      <c r="C6" s="3">
        <v>0</v>
      </c>
      <c r="D6" s="25">
        <f>+D41+H30</f>
        <v>140000</v>
      </c>
      <c r="E6" s="25">
        <f>+D6+E41+I30-D54</f>
        <v>235000</v>
      </c>
      <c r="F6" s="4"/>
      <c r="G6" s="19"/>
      <c r="H6" s="22"/>
      <c r="I6" s="22"/>
      <c r="J6" s="4"/>
      <c r="N6" s="4"/>
    </row>
    <row r="7" spans="1:14" x14ac:dyDescent="0.25">
      <c r="A7" s="4"/>
      <c r="C7" s="3"/>
      <c r="D7" s="3"/>
      <c r="E7" s="3"/>
      <c r="F7" s="4"/>
      <c r="G7" s="19"/>
      <c r="H7" s="26"/>
      <c r="I7" s="26"/>
      <c r="J7" s="4"/>
      <c r="L7" s="3"/>
      <c r="M7" s="3"/>
      <c r="N7" s="4"/>
    </row>
    <row r="8" spans="1:14" x14ac:dyDescent="0.25">
      <c r="A8" s="4"/>
      <c r="C8" s="3"/>
      <c r="D8" s="3"/>
      <c r="E8" s="3"/>
      <c r="F8" s="4"/>
      <c r="G8" s="19"/>
      <c r="H8" s="26"/>
      <c r="I8" s="26"/>
      <c r="J8" s="4"/>
      <c r="L8" s="3"/>
      <c r="M8" s="3"/>
      <c r="N8" s="4"/>
    </row>
    <row r="9" spans="1:14" x14ac:dyDescent="0.25">
      <c r="A9" s="4"/>
      <c r="B9" s="19"/>
      <c r="C9" s="22"/>
      <c r="D9" s="22"/>
      <c r="E9" s="22"/>
      <c r="F9" s="4"/>
      <c r="G9" s="19"/>
      <c r="H9" s="26"/>
      <c r="I9" s="26"/>
      <c r="J9" s="4"/>
      <c r="L9" s="3"/>
      <c r="M9" s="3"/>
      <c r="N9" s="4"/>
    </row>
    <row r="10" spans="1:14" x14ac:dyDescent="0.25">
      <c r="A10" s="4"/>
      <c r="D10" s="3"/>
      <c r="E10" s="3"/>
      <c r="F10" s="4"/>
      <c r="H10" s="3"/>
      <c r="I10" s="3"/>
      <c r="J10" s="4"/>
      <c r="N10" s="4"/>
    </row>
    <row r="11" spans="1:14" x14ac:dyDescent="0.25">
      <c r="A11" s="4"/>
      <c r="D11" s="3"/>
      <c r="E11" s="3"/>
      <c r="F11" s="4"/>
      <c r="H11" s="3"/>
      <c r="I11" s="3"/>
      <c r="J11" s="4"/>
      <c r="N11" s="4"/>
    </row>
    <row r="12" spans="1:14" x14ac:dyDescent="0.25">
      <c r="A12" s="4"/>
      <c r="C12" s="3"/>
      <c r="D12" s="3"/>
      <c r="E12" s="3"/>
      <c r="F12" s="4"/>
      <c r="G12" s="19"/>
      <c r="H12" s="22"/>
      <c r="I12" s="22"/>
      <c r="J12" s="4"/>
      <c r="L12" s="3"/>
      <c r="M12" s="3"/>
      <c r="N12" s="4"/>
    </row>
    <row r="13" spans="1:14" x14ac:dyDescent="0.25">
      <c r="A13" s="4"/>
      <c r="F13" s="4"/>
      <c r="H13" s="2"/>
      <c r="I13" s="2"/>
      <c r="J13" s="4"/>
      <c r="L13" s="3"/>
      <c r="M13" s="3"/>
      <c r="N13" s="4"/>
    </row>
    <row r="14" spans="1:14" x14ac:dyDescent="0.25">
      <c r="A14" s="4"/>
      <c r="B14" s="19" t="s">
        <v>5</v>
      </c>
      <c r="C14" s="22">
        <f>SUM(C5:C13)</f>
        <v>0</v>
      </c>
      <c r="D14" s="22">
        <f t="shared" ref="D14:E14" si="0">SUM(D5:D13)</f>
        <v>140000</v>
      </c>
      <c r="E14" s="22">
        <f t="shared" si="0"/>
        <v>235000</v>
      </c>
      <c r="F14" s="4"/>
      <c r="J14" s="4"/>
      <c r="N14" s="4"/>
    </row>
    <row r="15" spans="1:14" x14ac:dyDescent="0.25">
      <c r="A15" s="4"/>
      <c r="D15" s="3"/>
      <c r="E15" s="3"/>
      <c r="F15" s="4"/>
      <c r="G15" s="19"/>
      <c r="H15" s="22"/>
      <c r="I15" s="22"/>
      <c r="J15" s="4"/>
      <c r="K15" s="32"/>
      <c r="L15" s="3"/>
      <c r="M15" s="3"/>
      <c r="N15" s="4"/>
    </row>
    <row r="16" spans="1:14" x14ac:dyDescent="0.25">
      <c r="A16" s="4"/>
      <c r="B16" t="s">
        <v>6</v>
      </c>
      <c r="C16" s="3">
        <v>0</v>
      </c>
      <c r="D16" s="25"/>
      <c r="E16" s="25"/>
      <c r="F16" s="4"/>
      <c r="J16" s="4"/>
      <c r="N16" s="4"/>
    </row>
    <row r="17" spans="1:14" x14ac:dyDescent="0.25">
      <c r="A17" s="4"/>
      <c r="C17" s="3"/>
      <c r="D17" s="3"/>
      <c r="E17" s="3"/>
      <c r="F17" s="4"/>
      <c r="J17" s="4"/>
      <c r="N17" s="4"/>
    </row>
    <row r="18" spans="1:14" x14ac:dyDescent="0.25">
      <c r="A18" s="4"/>
      <c r="B18" s="19"/>
      <c r="C18" s="3"/>
      <c r="D18" s="22"/>
      <c r="E18" s="22"/>
      <c r="F18" s="4"/>
      <c r="J18" s="4"/>
      <c r="K18" t="s">
        <v>292</v>
      </c>
      <c r="L18" s="3">
        <f>+H23</f>
        <v>60000</v>
      </c>
      <c r="M18" s="3">
        <f>+I23</f>
        <v>80000</v>
      </c>
      <c r="N18" s="4"/>
    </row>
    <row r="19" spans="1:14" x14ac:dyDescent="0.25">
      <c r="A19" s="4"/>
      <c r="C19" s="3"/>
      <c r="D19" s="3"/>
      <c r="E19" s="3"/>
      <c r="F19" s="4"/>
      <c r="J19" s="4"/>
      <c r="L19" s="35"/>
      <c r="M19" s="35"/>
      <c r="N19" s="4"/>
    </row>
    <row r="20" spans="1:14" x14ac:dyDescent="0.25">
      <c r="A20" s="4"/>
      <c r="C20" s="3"/>
      <c r="D20" s="3"/>
      <c r="E20" s="3"/>
      <c r="F20" s="4"/>
      <c r="J20" s="4"/>
      <c r="K20" t="s">
        <v>289</v>
      </c>
      <c r="L20" s="3">
        <f>+D24-C24</f>
        <v>80000</v>
      </c>
      <c r="M20" s="3">
        <f>+E24-D24</f>
        <v>30000</v>
      </c>
      <c r="N20" s="4"/>
    </row>
    <row r="21" spans="1:14" x14ac:dyDescent="0.25">
      <c r="A21" s="4"/>
      <c r="C21" s="3"/>
      <c r="D21" s="3"/>
      <c r="E21" s="3"/>
      <c r="F21" s="4"/>
      <c r="J21" s="4"/>
      <c r="L21" s="3"/>
      <c r="M21" s="3"/>
      <c r="N21" s="4"/>
    </row>
    <row r="22" spans="1:14" x14ac:dyDescent="0.25">
      <c r="A22" s="4"/>
      <c r="B22" s="19"/>
      <c r="C22" s="3"/>
      <c r="D22" s="22"/>
      <c r="E22" s="22"/>
      <c r="F22" s="4"/>
      <c r="J22" s="4"/>
      <c r="K22" t="s">
        <v>290</v>
      </c>
      <c r="L22" s="3">
        <f>+D29-C30</f>
        <v>0</v>
      </c>
      <c r="M22" s="3">
        <f>+E29-D30+E25-D25-D29</f>
        <v>-15000</v>
      </c>
      <c r="N22" s="4"/>
    </row>
    <row r="23" spans="1:14" x14ac:dyDescent="0.25">
      <c r="A23" s="4"/>
      <c r="B23" s="73" t="s">
        <v>282</v>
      </c>
      <c r="C23" s="22">
        <f>+SUM(C24:C26)</f>
        <v>0</v>
      </c>
      <c r="D23" s="22">
        <f t="shared" ref="D23:E23" si="1">+SUM(D24:D26)</f>
        <v>80000</v>
      </c>
      <c r="E23" s="22">
        <f t="shared" si="1"/>
        <v>120000</v>
      </c>
      <c r="F23" s="4"/>
      <c r="G23" t="s">
        <v>0</v>
      </c>
      <c r="H23" s="75">
        <v>60000</v>
      </c>
      <c r="I23" s="75">
        <v>80000</v>
      </c>
      <c r="J23" s="4"/>
      <c r="N23" s="4"/>
    </row>
    <row r="24" spans="1:14" x14ac:dyDescent="0.25">
      <c r="A24" s="4"/>
      <c r="B24" s="73" t="s">
        <v>283</v>
      </c>
      <c r="C24" s="22">
        <v>0</v>
      </c>
      <c r="D24" s="3">
        <f>+D41</f>
        <v>80000</v>
      </c>
      <c r="E24" s="3">
        <f>+E41+D24</f>
        <v>110000</v>
      </c>
      <c r="F24" s="4"/>
      <c r="J24" s="4"/>
      <c r="N24" s="4"/>
    </row>
    <row r="25" spans="1:14" x14ac:dyDescent="0.25">
      <c r="A25" s="4"/>
      <c r="B25" s="73" t="s">
        <v>286</v>
      </c>
      <c r="C25" s="22"/>
      <c r="D25" s="3">
        <v>0</v>
      </c>
      <c r="E25" s="3">
        <f>+D48</f>
        <v>10000</v>
      </c>
      <c r="F25" s="4"/>
      <c r="J25" s="4"/>
      <c r="N25" s="4"/>
    </row>
    <row r="26" spans="1:14" x14ac:dyDescent="0.25">
      <c r="A26" s="4"/>
      <c r="C26" s="3"/>
      <c r="D26" s="3"/>
      <c r="E26" s="3"/>
      <c r="F26" s="4"/>
      <c r="J26" s="4"/>
      <c r="N26" s="4"/>
    </row>
    <row r="27" spans="1:14" x14ac:dyDescent="0.25">
      <c r="A27" s="4"/>
      <c r="C27" s="3"/>
      <c r="D27" s="3"/>
      <c r="E27" s="3"/>
      <c r="F27" s="4"/>
      <c r="J27" s="4"/>
      <c r="N27" s="4"/>
    </row>
    <row r="28" spans="1:14" x14ac:dyDescent="0.25">
      <c r="A28" s="4"/>
      <c r="C28" s="3"/>
      <c r="F28" s="4"/>
      <c r="J28" s="4"/>
      <c r="N28" s="4"/>
    </row>
    <row r="29" spans="1:14" x14ac:dyDescent="0.25">
      <c r="A29" s="4"/>
      <c r="B29" t="s">
        <v>11</v>
      </c>
      <c r="C29" s="3">
        <v>0</v>
      </c>
      <c r="D29" s="2"/>
      <c r="E29" s="3">
        <f>+D30-D54-D48</f>
        <v>35000</v>
      </c>
      <c r="F29" s="4"/>
      <c r="J29" s="4"/>
      <c r="N29" s="4"/>
    </row>
    <row r="30" spans="1:14" x14ac:dyDescent="0.25">
      <c r="A30" s="4"/>
      <c r="B30" t="s">
        <v>10</v>
      </c>
      <c r="C30" s="3">
        <v>0</v>
      </c>
      <c r="D30" s="3">
        <f>+H30</f>
        <v>60000</v>
      </c>
      <c r="E30" s="3">
        <f>+I30</f>
        <v>80000</v>
      </c>
      <c r="F30" s="4"/>
      <c r="G30" s="19" t="s">
        <v>10</v>
      </c>
      <c r="H30" s="22">
        <f>+H23</f>
        <v>60000</v>
      </c>
      <c r="I30" s="22">
        <f>+I23</f>
        <v>80000</v>
      </c>
      <c r="J30" s="4"/>
      <c r="K30" s="40" t="s">
        <v>291</v>
      </c>
      <c r="L30" s="28">
        <f>SUM(L18:L22)</f>
        <v>140000</v>
      </c>
      <c r="M30" s="28">
        <f>SUM(M18:M22)</f>
        <v>95000</v>
      </c>
      <c r="N30" s="4"/>
    </row>
    <row r="31" spans="1:14" x14ac:dyDescent="0.25">
      <c r="A31" s="4"/>
      <c r="F31" s="4"/>
      <c r="J31" s="4"/>
      <c r="N31" s="4"/>
    </row>
    <row r="32" spans="1:14" x14ac:dyDescent="0.25">
      <c r="A32" s="4"/>
      <c r="B32" s="19" t="s">
        <v>13</v>
      </c>
      <c r="C32" s="22">
        <f>+C16+C18+C23+C26+C29+C30</f>
        <v>0</v>
      </c>
      <c r="D32" s="22">
        <f>+D16+D18+D23+D26+D29+D30</f>
        <v>140000</v>
      </c>
      <c r="E32" s="22">
        <f>+E16+E18+E23+E26+E29+E30</f>
        <v>235000</v>
      </c>
      <c r="F32" s="4"/>
      <c r="J32" s="4"/>
      <c r="K32" t="s">
        <v>43</v>
      </c>
      <c r="L32" s="3">
        <f>+((D6-D16))</f>
        <v>140000</v>
      </c>
      <c r="M32" s="3">
        <f>E6-D6+D16-E16</f>
        <v>95000</v>
      </c>
      <c r="N32" s="4"/>
    </row>
    <row r="33" spans="1:43" x14ac:dyDescent="0.25">
      <c r="A33" s="4"/>
      <c r="F33" s="4"/>
      <c r="J33" s="4"/>
      <c r="L33" s="33"/>
      <c r="N33" s="4"/>
    </row>
    <row r="34" spans="1:43" x14ac:dyDescent="0.25">
      <c r="A34" s="4"/>
      <c r="B34" s="34" t="s">
        <v>55</v>
      </c>
      <c r="C34" s="28">
        <f>+C6-C16</f>
        <v>0</v>
      </c>
      <c r="D34" s="28">
        <f t="shared" ref="D34:E34" si="2">+D6-D16</f>
        <v>140000</v>
      </c>
      <c r="E34" s="28">
        <f t="shared" si="2"/>
        <v>235000</v>
      </c>
      <c r="F34" s="4"/>
      <c r="J34" s="4"/>
      <c r="M34" s="31"/>
      <c r="N34" s="4"/>
      <c r="AQ34" t="s">
        <v>77</v>
      </c>
    </row>
    <row r="35" spans="1:43" ht="15.75" thickBo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AO35" s="35"/>
      <c r="AP35" s="35"/>
      <c r="AQ35">
        <v>0</v>
      </c>
    </row>
    <row r="36" spans="1:43" x14ac:dyDescent="0.25">
      <c r="AO36" s="35"/>
      <c r="AP36" s="35"/>
      <c r="AQ36">
        <v>1</v>
      </c>
    </row>
    <row r="37" spans="1:43" ht="15.75" thickBot="1" x14ac:dyDescent="0.3">
      <c r="AO37" s="35"/>
      <c r="AP37" s="35"/>
      <c r="AQ37">
        <v>0</v>
      </c>
    </row>
    <row r="38" spans="1:43" x14ac:dyDescent="0.25">
      <c r="B38" s="5"/>
      <c r="C38" s="6"/>
      <c r="D38" s="6"/>
      <c r="E38" s="7"/>
      <c r="AO38" s="35"/>
      <c r="AP38" s="35"/>
      <c r="AQ38">
        <v>0</v>
      </c>
    </row>
    <row r="39" spans="1:43" x14ac:dyDescent="0.25">
      <c r="B39" s="8" t="s">
        <v>281</v>
      </c>
      <c r="C39" s="9"/>
      <c r="D39" s="38" t="s">
        <v>47</v>
      </c>
      <c r="E39" s="39" t="s">
        <v>48</v>
      </c>
      <c r="AO39" s="35"/>
      <c r="AP39" s="35"/>
      <c r="AQ39">
        <v>1</v>
      </c>
    </row>
    <row r="40" spans="1:43" x14ac:dyDescent="0.25">
      <c r="B40" s="8"/>
      <c r="D40" s="9"/>
      <c r="E40" s="12"/>
      <c r="AO40" s="35"/>
      <c r="AP40" s="35"/>
      <c r="AQ40">
        <v>1</v>
      </c>
    </row>
    <row r="41" spans="1:43" x14ac:dyDescent="0.25">
      <c r="B41" s="8"/>
      <c r="C41" t="s">
        <v>113</v>
      </c>
      <c r="D41" s="20">
        <v>80000</v>
      </c>
      <c r="E41" s="21">
        <v>30000</v>
      </c>
      <c r="AO41" s="35"/>
      <c r="AP41" s="35"/>
      <c r="AQ41">
        <v>0</v>
      </c>
    </row>
    <row r="42" spans="1:43" ht="15.75" thickBot="1" x14ac:dyDescent="0.3">
      <c r="B42" s="15"/>
      <c r="C42" s="16"/>
      <c r="D42" s="16"/>
      <c r="E42" s="17"/>
      <c r="AO42" s="35"/>
      <c r="AP42" s="35"/>
      <c r="AQ42">
        <v>1</v>
      </c>
    </row>
    <row r="43" spans="1:43" x14ac:dyDescent="0.25">
      <c r="AO43" s="35"/>
      <c r="AP43" s="35"/>
      <c r="AQ43">
        <v>0</v>
      </c>
    </row>
    <row r="44" spans="1:43" ht="15.75" thickBot="1" x14ac:dyDescent="0.3">
      <c r="AO44" s="35"/>
      <c r="AP44" s="35"/>
      <c r="AQ44">
        <v>0</v>
      </c>
    </row>
    <row r="45" spans="1:43" x14ac:dyDescent="0.25">
      <c r="B45" s="5"/>
      <c r="C45" s="6"/>
      <c r="D45" s="6"/>
      <c r="E45" s="7"/>
      <c r="AO45" s="35"/>
      <c r="AP45" s="35"/>
      <c r="AQ45">
        <v>0</v>
      </c>
    </row>
    <row r="46" spans="1:43" x14ac:dyDescent="0.25">
      <c r="B46" s="8" t="s">
        <v>284</v>
      </c>
      <c r="C46" s="9"/>
      <c r="D46" s="38" t="s">
        <v>47</v>
      </c>
      <c r="E46" s="39" t="s">
        <v>48</v>
      </c>
      <c r="AO46" s="35"/>
      <c r="AP46" s="35"/>
      <c r="AQ46">
        <v>0</v>
      </c>
    </row>
    <row r="47" spans="1:43" x14ac:dyDescent="0.25">
      <c r="B47" s="8"/>
      <c r="C47" s="9"/>
      <c r="D47" s="9"/>
      <c r="E47" s="12"/>
      <c r="AO47" s="35"/>
      <c r="AP47" s="35"/>
      <c r="AQ47">
        <v>0</v>
      </c>
    </row>
    <row r="48" spans="1:43" x14ac:dyDescent="0.25">
      <c r="B48" s="8" t="s">
        <v>285</v>
      </c>
      <c r="C48" s="9"/>
      <c r="D48" s="20">
        <v>10000</v>
      </c>
      <c r="E48" s="74"/>
      <c r="AO48" s="35"/>
      <c r="AP48" s="35"/>
      <c r="AQ48">
        <v>0</v>
      </c>
    </row>
    <row r="49" spans="2:43" ht="15.75" thickBot="1" x14ac:dyDescent="0.3">
      <c r="B49" s="15"/>
      <c r="C49" s="16"/>
      <c r="D49" s="16"/>
      <c r="E49" s="17"/>
      <c r="AO49" s="35"/>
      <c r="AP49" s="35"/>
      <c r="AQ49">
        <v>0</v>
      </c>
    </row>
    <row r="50" spans="2:43" ht="15.75" thickBot="1" x14ac:dyDescent="0.3">
      <c r="AO50" s="35"/>
      <c r="AP50" s="35"/>
      <c r="AQ50">
        <v>0</v>
      </c>
    </row>
    <row r="51" spans="2:43" x14ac:dyDescent="0.25">
      <c r="B51" s="5"/>
      <c r="C51" s="6"/>
      <c r="D51" s="6"/>
      <c r="E51" s="7"/>
      <c r="AO51" s="35"/>
      <c r="AP51" s="35"/>
      <c r="AQ51">
        <v>0</v>
      </c>
    </row>
    <row r="52" spans="2:43" x14ac:dyDescent="0.25">
      <c r="B52" s="8" t="s">
        <v>287</v>
      </c>
      <c r="C52" s="9"/>
      <c r="D52" s="38" t="s">
        <v>47</v>
      </c>
      <c r="E52" s="39" t="s">
        <v>48</v>
      </c>
      <c r="AO52" s="35"/>
      <c r="AP52" s="35"/>
      <c r="AQ52">
        <v>0</v>
      </c>
    </row>
    <row r="53" spans="2:43" x14ac:dyDescent="0.25">
      <c r="B53" s="8"/>
      <c r="C53" s="9"/>
      <c r="D53" s="9"/>
      <c r="E53" s="12"/>
      <c r="AO53" s="35"/>
      <c r="AP53" s="35"/>
      <c r="AQ53">
        <v>0</v>
      </c>
    </row>
    <row r="54" spans="2:43" x14ac:dyDescent="0.25">
      <c r="B54" s="8" t="s">
        <v>288</v>
      </c>
      <c r="C54" s="9"/>
      <c r="D54" s="20">
        <v>15000</v>
      </c>
      <c r="E54" s="74"/>
      <c r="AO54" s="35"/>
      <c r="AP54" s="35"/>
      <c r="AQ54">
        <v>0</v>
      </c>
    </row>
    <row r="55" spans="2:43" ht="15.75" thickBot="1" x14ac:dyDescent="0.3">
      <c r="B55" s="15"/>
      <c r="C55" s="16"/>
      <c r="D55" s="16"/>
      <c r="E55" s="17"/>
      <c r="AO55" s="35"/>
      <c r="AP55" s="35"/>
      <c r="AQ55">
        <v>0</v>
      </c>
    </row>
    <row r="56" spans="2:43" x14ac:dyDescent="0.25">
      <c r="AO56" s="35"/>
      <c r="AP56" s="35"/>
      <c r="AQ56">
        <v>0</v>
      </c>
    </row>
    <row r="57" spans="2:43" x14ac:dyDescent="0.25">
      <c r="AO57" s="35"/>
      <c r="AP57" s="35"/>
      <c r="AQ57">
        <v>0</v>
      </c>
    </row>
    <row r="58" spans="2:43" x14ac:dyDescent="0.25">
      <c r="AO58" s="35"/>
      <c r="AP58" s="35"/>
      <c r="AQ58">
        <v>0</v>
      </c>
    </row>
    <row r="59" spans="2:43" x14ac:dyDescent="0.25">
      <c r="AO59" s="35"/>
      <c r="AP59" s="35"/>
      <c r="AQ59">
        <v>0</v>
      </c>
    </row>
    <row r="60" spans="2:43" x14ac:dyDescent="0.25">
      <c r="AO60" s="35"/>
      <c r="AP60" s="35"/>
      <c r="AQ60">
        <v>0</v>
      </c>
    </row>
    <row r="61" spans="2:43" x14ac:dyDescent="0.25">
      <c r="AO61" s="35"/>
      <c r="AP61" s="35"/>
      <c r="AQ61">
        <v>0</v>
      </c>
    </row>
    <row r="62" spans="2:43" x14ac:dyDescent="0.25">
      <c r="AO62" s="35"/>
      <c r="AP62" s="35"/>
      <c r="AQ62">
        <v>0</v>
      </c>
    </row>
    <row r="63" spans="2:43" x14ac:dyDescent="0.25">
      <c r="AO63" s="35"/>
      <c r="AP63" s="35"/>
      <c r="AQ63">
        <v>0</v>
      </c>
    </row>
    <row r="64" spans="2:43" x14ac:dyDescent="0.25">
      <c r="AO64" s="35"/>
      <c r="AP64" s="35"/>
      <c r="AQ64">
        <v>0</v>
      </c>
    </row>
    <row r="65" spans="41:43" x14ac:dyDescent="0.25">
      <c r="AO65" s="35"/>
      <c r="AP65" s="35"/>
      <c r="AQ65">
        <v>0</v>
      </c>
    </row>
    <row r="66" spans="41:43" x14ac:dyDescent="0.25">
      <c r="AO66" s="35"/>
      <c r="AP66" s="35"/>
      <c r="AQ66">
        <v>0</v>
      </c>
    </row>
    <row r="67" spans="41:43" x14ac:dyDescent="0.25">
      <c r="AO67" s="35"/>
      <c r="AP67" s="35"/>
      <c r="AQ67">
        <v>0</v>
      </c>
    </row>
    <row r="68" spans="41:43" x14ac:dyDescent="0.25">
      <c r="AO68" s="35"/>
      <c r="AP68" s="35"/>
      <c r="AQ68">
        <v>0</v>
      </c>
    </row>
    <row r="69" spans="41:43" x14ac:dyDescent="0.25">
      <c r="AO69" s="35"/>
      <c r="AP69" s="35"/>
      <c r="AQ69">
        <v>0</v>
      </c>
    </row>
    <row r="70" spans="41:43" x14ac:dyDescent="0.25">
      <c r="AO70" s="35"/>
      <c r="AP70" s="35"/>
      <c r="AQ70">
        <v>0</v>
      </c>
    </row>
    <row r="71" spans="41:43" x14ac:dyDescent="0.25">
      <c r="AO71" s="35"/>
      <c r="AP71" s="35"/>
      <c r="AQ71">
        <v>0</v>
      </c>
    </row>
    <row r="72" spans="41:43" x14ac:dyDescent="0.25">
      <c r="AO72" s="35"/>
      <c r="AP72" s="35"/>
      <c r="AQ72">
        <v>0</v>
      </c>
    </row>
    <row r="73" spans="41:43" x14ac:dyDescent="0.25">
      <c r="AO73" s="35"/>
      <c r="AP73" s="35"/>
      <c r="AQ73">
        <v>0</v>
      </c>
    </row>
    <row r="74" spans="41:43" x14ac:dyDescent="0.25">
      <c r="AO74" s="35"/>
      <c r="AP74" s="35"/>
      <c r="AQ74">
        <v>0</v>
      </c>
    </row>
  </sheetData>
  <hyperlinks>
    <hyperlink ref="B1" location="'Cash flow'!A1" display="HOM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75"/>
  <sheetViews>
    <sheetView showGridLines="0" workbookViewId="0">
      <selection activeCell="E50" sqref="E50"/>
    </sheetView>
  </sheetViews>
  <sheetFormatPr defaultRowHeight="15" x14ac:dyDescent="0.25"/>
  <cols>
    <col min="1" max="1" width="2.7109375" customWidth="1"/>
    <col min="2" max="2" width="35.85546875" bestFit="1" customWidth="1"/>
    <col min="3" max="3" width="27.140625" bestFit="1" customWidth="1"/>
    <col min="4" max="4" width="11.42578125" bestFit="1" customWidth="1"/>
    <col min="5" max="5" width="15.85546875" customWidth="1"/>
    <col min="6" max="6" width="2.7109375" customWidth="1"/>
    <col min="7" max="7" width="26.140625" bestFit="1" customWidth="1"/>
    <col min="8" max="8" width="11.5703125" bestFit="1" customWidth="1"/>
    <col min="9" max="9" width="9.85546875" bestFit="1" customWidth="1"/>
    <col min="10" max="10" width="2.7109375" customWidth="1"/>
    <col min="11" max="11" width="30" bestFit="1" customWidth="1"/>
    <col min="12" max="12" width="18.42578125" bestFit="1" customWidth="1"/>
    <col min="13" max="13" width="16.5703125" bestFit="1" customWidth="1"/>
    <col min="14" max="14" width="2.7109375" customWidth="1"/>
    <col min="40" max="40" width="12.85546875" customWidth="1"/>
    <col min="42" max="42" width="15.28515625" customWidth="1"/>
    <col min="43" max="43" width="13.7109375" bestFit="1" customWidth="1"/>
  </cols>
  <sheetData>
    <row r="1" spans="1:14" x14ac:dyDescent="0.25">
      <c r="B1" s="79" t="s">
        <v>308</v>
      </c>
    </row>
    <row r="2" spans="1:14" x14ac:dyDescent="0.25">
      <c r="A2" s="4"/>
      <c r="B2" s="19" t="s">
        <v>33</v>
      </c>
      <c r="C2" s="18" t="s">
        <v>44</v>
      </c>
      <c r="D2" s="18" t="s">
        <v>45</v>
      </c>
      <c r="E2" s="18" t="s">
        <v>46</v>
      </c>
      <c r="F2" s="4"/>
      <c r="G2" s="27" t="s">
        <v>34</v>
      </c>
      <c r="H2" s="18" t="s">
        <v>45</v>
      </c>
      <c r="I2" s="18" t="s">
        <v>46</v>
      </c>
      <c r="J2" s="4"/>
      <c r="K2" s="27" t="s">
        <v>12</v>
      </c>
      <c r="L2" s="18" t="s">
        <v>45</v>
      </c>
      <c r="M2" s="18" t="s">
        <v>46</v>
      </c>
      <c r="N2" s="4"/>
    </row>
    <row r="3" spans="1:14" x14ac:dyDescent="0.25">
      <c r="A3" s="4"/>
      <c r="F3" s="4"/>
      <c r="J3" s="4"/>
      <c r="N3" s="4"/>
    </row>
    <row r="4" spans="1:14" x14ac:dyDescent="0.25">
      <c r="A4" s="4"/>
      <c r="B4" t="s">
        <v>3</v>
      </c>
      <c r="F4" s="4"/>
      <c r="H4" s="2"/>
      <c r="I4" s="2"/>
      <c r="J4" s="4"/>
      <c r="K4" s="19"/>
      <c r="L4" s="3"/>
      <c r="M4" s="3"/>
      <c r="N4" s="4"/>
    </row>
    <row r="5" spans="1:14" x14ac:dyDescent="0.25">
      <c r="A5" s="4"/>
      <c r="F5" s="4"/>
      <c r="H5" s="3"/>
      <c r="I5" s="3"/>
      <c r="J5" s="4"/>
      <c r="L5" s="3"/>
      <c r="M5" s="3"/>
      <c r="N5" s="4"/>
    </row>
    <row r="6" spans="1:14" x14ac:dyDescent="0.25">
      <c r="A6" s="4"/>
      <c r="B6" t="s">
        <v>4</v>
      </c>
      <c r="C6" s="3">
        <v>0</v>
      </c>
      <c r="D6" s="25">
        <f>+IF(D41&lt;0,0,D41)+IF(D48&lt;0,0,D48)</f>
        <v>5000</v>
      </c>
      <c r="E6" s="25">
        <f>+IF(E41&lt;0,0,E41)+D6+IF(E48&lt;0,0,E48)</f>
        <v>5000</v>
      </c>
      <c r="F6" s="4"/>
      <c r="G6" s="19"/>
      <c r="H6" s="22"/>
      <c r="I6" s="22"/>
      <c r="J6" s="4"/>
      <c r="N6" s="4"/>
    </row>
    <row r="7" spans="1:14" x14ac:dyDescent="0.25">
      <c r="A7" s="4"/>
      <c r="C7" s="3"/>
      <c r="D7" s="3"/>
      <c r="E7" s="3"/>
      <c r="F7" s="4"/>
      <c r="G7" s="19"/>
      <c r="H7" s="26"/>
      <c r="I7" s="26"/>
      <c r="J7" s="4"/>
      <c r="L7" s="3"/>
      <c r="M7" s="3"/>
      <c r="N7" s="4"/>
    </row>
    <row r="8" spans="1:14" x14ac:dyDescent="0.25">
      <c r="A8" s="4"/>
      <c r="C8" s="3"/>
      <c r="D8" s="3"/>
      <c r="E8" s="3"/>
      <c r="F8" s="4"/>
      <c r="G8" s="19"/>
      <c r="H8" s="26"/>
      <c r="I8" s="26"/>
      <c r="J8" s="4"/>
      <c r="L8" s="3"/>
      <c r="M8" s="3"/>
      <c r="N8" s="4"/>
    </row>
    <row r="9" spans="1:14" x14ac:dyDescent="0.25">
      <c r="A9" s="4"/>
      <c r="B9" s="19"/>
      <c r="C9" s="22"/>
      <c r="D9" s="22"/>
      <c r="E9" s="22"/>
      <c r="F9" s="4"/>
      <c r="G9" s="19"/>
      <c r="H9" s="26"/>
      <c r="I9" s="26"/>
      <c r="J9" s="4"/>
      <c r="L9" s="3"/>
      <c r="M9" s="3"/>
      <c r="N9" s="4"/>
    </row>
    <row r="10" spans="1:14" x14ac:dyDescent="0.25">
      <c r="A10" s="4"/>
      <c r="D10" s="3"/>
      <c r="E10" s="3"/>
      <c r="F10" s="4"/>
      <c r="H10" s="3"/>
      <c r="I10" s="3"/>
      <c r="J10" s="4"/>
      <c r="N10" s="4"/>
    </row>
    <row r="11" spans="1:14" x14ac:dyDescent="0.25">
      <c r="A11" s="4"/>
      <c r="D11" s="3"/>
      <c r="E11" s="3"/>
      <c r="F11" s="4"/>
      <c r="H11" s="3"/>
      <c r="I11" s="3"/>
      <c r="J11" s="4"/>
      <c r="N11" s="4"/>
    </row>
    <row r="12" spans="1:14" x14ac:dyDescent="0.25">
      <c r="A12" s="4"/>
      <c r="C12" s="3"/>
      <c r="D12" s="3"/>
      <c r="E12" s="3"/>
      <c r="F12" s="4"/>
      <c r="G12" s="19"/>
      <c r="H12" s="22"/>
      <c r="I12" s="22"/>
      <c r="J12" s="4"/>
      <c r="L12" s="3"/>
      <c r="M12" s="3"/>
      <c r="N12" s="4"/>
    </row>
    <row r="13" spans="1:14" x14ac:dyDescent="0.25">
      <c r="A13" s="4"/>
      <c r="F13" s="4"/>
      <c r="H13" s="2"/>
      <c r="I13" s="2"/>
      <c r="J13" s="4"/>
      <c r="L13" s="3"/>
      <c r="M13" s="3"/>
      <c r="N13" s="4"/>
    </row>
    <row r="14" spans="1:14" x14ac:dyDescent="0.25">
      <c r="A14" s="4"/>
      <c r="B14" s="19" t="s">
        <v>5</v>
      </c>
      <c r="C14" s="22">
        <f>SUM(C6:C13)</f>
        <v>0</v>
      </c>
      <c r="D14" s="22">
        <f t="shared" ref="D14:E14" si="0">SUM(D6:D13)</f>
        <v>5000</v>
      </c>
      <c r="E14" s="22">
        <f t="shared" si="0"/>
        <v>5000</v>
      </c>
      <c r="F14" s="4"/>
      <c r="J14" s="4"/>
      <c r="N14" s="4"/>
    </row>
    <row r="15" spans="1:14" x14ac:dyDescent="0.25">
      <c r="A15" s="4"/>
      <c r="D15" s="3"/>
      <c r="E15" s="3"/>
      <c r="F15" s="4"/>
      <c r="G15" s="77" t="s">
        <v>309</v>
      </c>
      <c r="H15" s="3">
        <f>+D41</f>
        <v>-10000</v>
      </c>
      <c r="I15" s="3">
        <f>+E41</f>
        <v>-15000</v>
      </c>
      <c r="J15" s="4"/>
      <c r="K15" s="77" t="s">
        <v>300</v>
      </c>
      <c r="L15" s="3">
        <f>+H15</f>
        <v>-10000</v>
      </c>
      <c r="M15" s="3">
        <f>+I15</f>
        <v>-15000</v>
      </c>
      <c r="N15" s="4"/>
    </row>
    <row r="16" spans="1:14" x14ac:dyDescent="0.25">
      <c r="A16" s="4"/>
      <c r="B16" t="s">
        <v>6</v>
      </c>
      <c r="C16" s="3">
        <v>0</v>
      </c>
      <c r="D16" s="25">
        <f>+IF(D41&lt;0,-D41,0)+IF(D48&lt;0,-D48,0)+D55</f>
        <v>20000</v>
      </c>
      <c r="E16" s="25">
        <f>+IF(E41&lt;0,-E41,0)+D16+IF(E48&lt;0,-E48,0)+E55</f>
        <v>56000</v>
      </c>
      <c r="F16" s="4"/>
      <c r="J16" s="4"/>
      <c r="N16" s="4"/>
    </row>
    <row r="17" spans="1:14" x14ac:dyDescent="0.25">
      <c r="A17" s="4"/>
      <c r="C17" s="3"/>
      <c r="D17" s="3"/>
      <c r="E17" s="3"/>
      <c r="F17" s="4"/>
      <c r="G17" s="77" t="s">
        <v>301</v>
      </c>
      <c r="H17" s="3">
        <f>+D48</f>
        <v>5000</v>
      </c>
      <c r="I17" s="3">
        <f>+E48</f>
        <v>-8000</v>
      </c>
      <c r="J17" s="4"/>
      <c r="K17" s="77" t="s">
        <v>301</v>
      </c>
      <c r="L17" s="3">
        <f>+H17</f>
        <v>5000</v>
      </c>
      <c r="M17" s="3">
        <f>+I17</f>
        <v>-8000</v>
      </c>
      <c r="N17" s="4"/>
    </row>
    <row r="18" spans="1:14" x14ac:dyDescent="0.25">
      <c r="A18" s="4"/>
      <c r="B18" t="s">
        <v>304</v>
      </c>
      <c r="C18" s="3">
        <v>0</v>
      </c>
      <c r="D18" s="3">
        <f>+D54-D55</f>
        <v>5000</v>
      </c>
      <c r="E18" s="3">
        <f>+E54-E55+D18</f>
        <v>10000</v>
      </c>
      <c r="F18" s="4"/>
      <c r="J18" s="4"/>
      <c r="L18" s="3"/>
      <c r="M18" s="3"/>
      <c r="N18" s="4"/>
    </row>
    <row r="19" spans="1:14" x14ac:dyDescent="0.25">
      <c r="A19" s="4"/>
      <c r="C19" s="3"/>
      <c r="D19" s="3"/>
      <c r="E19" s="3"/>
      <c r="F19" s="4"/>
      <c r="G19" s="77" t="s">
        <v>302</v>
      </c>
      <c r="H19" s="3">
        <f>+D54</f>
        <v>15000</v>
      </c>
      <c r="I19" s="3">
        <f>+E54</f>
        <v>18000</v>
      </c>
      <c r="J19" s="4"/>
      <c r="K19" s="77" t="s">
        <v>302</v>
      </c>
      <c r="L19" s="3">
        <f>-H19-C18+D18</f>
        <v>-10000</v>
      </c>
      <c r="M19" s="3">
        <f>-I19-D18+E18</f>
        <v>-13000</v>
      </c>
      <c r="N19" s="4"/>
    </row>
    <row r="20" spans="1:14" x14ac:dyDescent="0.25">
      <c r="A20" s="4"/>
      <c r="C20" s="3"/>
      <c r="D20" s="3"/>
      <c r="E20" s="3"/>
      <c r="F20" s="4"/>
      <c r="J20" s="4"/>
      <c r="L20" s="3"/>
      <c r="M20" s="3"/>
      <c r="N20" s="4"/>
    </row>
    <row r="21" spans="1:14" x14ac:dyDescent="0.25">
      <c r="A21" s="4"/>
      <c r="C21" s="3"/>
      <c r="D21" s="3"/>
      <c r="E21" s="3"/>
      <c r="F21" s="4"/>
      <c r="J21" s="4"/>
      <c r="L21" s="3"/>
      <c r="M21" s="3"/>
      <c r="N21" s="4"/>
    </row>
    <row r="22" spans="1:14" x14ac:dyDescent="0.25">
      <c r="A22" s="4"/>
      <c r="B22" s="19"/>
      <c r="C22" s="3"/>
      <c r="D22" s="22"/>
      <c r="E22" s="22"/>
      <c r="F22" s="4"/>
      <c r="J22" s="4"/>
      <c r="L22" s="3"/>
      <c r="M22" s="3"/>
      <c r="N22" s="4"/>
    </row>
    <row r="23" spans="1:14" x14ac:dyDescent="0.25">
      <c r="A23" s="4"/>
      <c r="B23" s="73"/>
      <c r="C23" s="22"/>
      <c r="D23" s="22"/>
      <c r="E23" s="22"/>
      <c r="F23" s="4"/>
      <c r="H23" s="75"/>
      <c r="I23" s="75"/>
      <c r="J23" s="4"/>
      <c r="N23" s="4"/>
    </row>
    <row r="24" spans="1:14" x14ac:dyDescent="0.25">
      <c r="A24" s="4"/>
      <c r="B24" s="73"/>
      <c r="C24" s="22"/>
      <c r="D24" s="3"/>
      <c r="E24" s="3"/>
      <c r="F24" s="4"/>
      <c r="J24" s="4"/>
      <c r="N24" s="4"/>
    </row>
    <row r="25" spans="1:14" x14ac:dyDescent="0.25">
      <c r="A25" s="4"/>
      <c r="B25" s="73"/>
      <c r="C25" s="22"/>
      <c r="D25" s="3"/>
      <c r="E25" s="3"/>
      <c r="F25" s="4"/>
      <c r="J25" s="4"/>
      <c r="N25" s="4"/>
    </row>
    <row r="26" spans="1:14" x14ac:dyDescent="0.25">
      <c r="A26" s="4"/>
      <c r="C26" s="3"/>
      <c r="D26" s="3"/>
      <c r="E26" s="3"/>
      <c r="F26" s="4"/>
      <c r="J26" s="4"/>
      <c r="N26" s="4"/>
    </row>
    <row r="27" spans="1:14" x14ac:dyDescent="0.25">
      <c r="A27" s="4"/>
      <c r="C27" s="3"/>
      <c r="D27" s="3"/>
      <c r="E27" s="3"/>
      <c r="F27" s="4"/>
      <c r="J27" s="4"/>
      <c r="N27" s="4"/>
    </row>
    <row r="28" spans="1:14" x14ac:dyDescent="0.25">
      <c r="A28" s="4"/>
      <c r="C28" s="3"/>
      <c r="F28" s="4"/>
      <c r="J28" s="4"/>
      <c r="N28" s="4"/>
    </row>
    <row r="29" spans="1:14" x14ac:dyDescent="0.25">
      <c r="A29" s="4"/>
      <c r="B29" t="s">
        <v>11</v>
      </c>
      <c r="C29" s="3">
        <v>0</v>
      </c>
      <c r="D29" s="2"/>
      <c r="E29" s="3">
        <f>+D30</f>
        <v>-20000</v>
      </c>
      <c r="F29" s="4"/>
      <c r="J29" s="4"/>
      <c r="N29" s="4"/>
    </row>
    <row r="30" spans="1:14" x14ac:dyDescent="0.25">
      <c r="A30" s="4"/>
      <c r="B30" t="s">
        <v>10</v>
      </c>
      <c r="C30" s="3">
        <v>0</v>
      </c>
      <c r="D30" s="3">
        <f>+H30</f>
        <v>-20000</v>
      </c>
      <c r="E30" s="3">
        <f>+I30</f>
        <v>-41000</v>
      </c>
      <c r="F30" s="4"/>
      <c r="G30" s="77" t="s">
        <v>303</v>
      </c>
      <c r="H30" s="22">
        <f>+H15+H17-H19</f>
        <v>-20000</v>
      </c>
      <c r="I30" s="22">
        <f>+I15+I17-I19</f>
        <v>-41000</v>
      </c>
      <c r="J30" s="4"/>
      <c r="K30" s="40" t="s">
        <v>291</v>
      </c>
      <c r="L30" s="28">
        <f>SUM(L15:L29)</f>
        <v>-15000</v>
      </c>
      <c r="M30" s="28">
        <f>SUM(M15:M29)</f>
        <v>-36000</v>
      </c>
      <c r="N30" s="4"/>
    </row>
    <row r="31" spans="1:14" x14ac:dyDescent="0.25">
      <c r="A31" s="4"/>
      <c r="F31" s="4"/>
      <c r="J31" s="4"/>
      <c r="N31" s="4"/>
    </row>
    <row r="32" spans="1:14" x14ac:dyDescent="0.25">
      <c r="A32" s="4"/>
      <c r="B32" s="19" t="s">
        <v>13</v>
      </c>
      <c r="C32" s="22">
        <f>SUM(C16:C31)</f>
        <v>0</v>
      </c>
      <c r="D32" s="22">
        <f t="shared" ref="D32:E32" si="1">SUM(D16:D31)</f>
        <v>5000</v>
      </c>
      <c r="E32" s="22">
        <f t="shared" si="1"/>
        <v>5000</v>
      </c>
      <c r="F32" s="4"/>
      <c r="J32" s="4"/>
      <c r="K32" t="s">
        <v>43</v>
      </c>
      <c r="L32" s="3">
        <f>+((D6-D16))</f>
        <v>-15000</v>
      </c>
      <c r="M32" s="3">
        <f>E6-D6+D16-E16</f>
        <v>-36000</v>
      </c>
      <c r="N32" s="4"/>
    </row>
    <row r="33" spans="1:43" x14ac:dyDescent="0.25">
      <c r="A33" s="4"/>
      <c r="F33" s="4"/>
      <c r="J33" s="4"/>
      <c r="L33" s="33"/>
      <c r="N33" s="4"/>
    </row>
    <row r="34" spans="1:43" x14ac:dyDescent="0.25">
      <c r="A34" s="4"/>
      <c r="B34" s="34" t="s">
        <v>55</v>
      </c>
      <c r="C34" s="28">
        <f>+C6-C16</f>
        <v>0</v>
      </c>
      <c r="D34" s="28">
        <f t="shared" ref="D34:E34" si="2">+D6-D16</f>
        <v>-15000</v>
      </c>
      <c r="E34" s="28">
        <f t="shared" si="2"/>
        <v>-51000</v>
      </c>
      <c r="F34" s="4"/>
      <c r="J34" s="4"/>
      <c r="M34" s="31"/>
      <c r="N34" s="4"/>
      <c r="AQ34" t="s">
        <v>77</v>
      </c>
    </row>
    <row r="35" spans="1:43" ht="15.75" thickBo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AO35" s="35"/>
      <c r="AP35" s="35"/>
      <c r="AQ35">
        <v>0</v>
      </c>
    </row>
    <row r="36" spans="1:43" x14ac:dyDescent="0.25">
      <c r="AO36" s="35"/>
      <c r="AP36" s="35"/>
      <c r="AQ36">
        <v>1</v>
      </c>
    </row>
    <row r="37" spans="1:43" ht="15.75" thickBot="1" x14ac:dyDescent="0.3">
      <c r="AO37" s="35"/>
      <c r="AP37" s="35"/>
      <c r="AQ37">
        <v>0</v>
      </c>
    </row>
    <row r="38" spans="1:43" x14ac:dyDescent="0.25">
      <c r="B38" s="5"/>
      <c r="C38" s="6"/>
      <c r="D38" s="6"/>
      <c r="E38" s="7"/>
      <c r="AO38" s="35"/>
      <c r="AP38" s="35"/>
      <c r="AQ38">
        <v>0</v>
      </c>
    </row>
    <row r="39" spans="1:43" x14ac:dyDescent="0.25">
      <c r="B39" s="8" t="s">
        <v>293</v>
      </c>
      <c r="C39" s="9"/>
      <c r="D39" s="38" t="s">
        <v>47</v>
      </c>
      <c r="E39" s="39" t="s">
        <v>48</v>
      </c>
      <c r="AO39" s="35"/>
      <c r="AP39" s="35"/>
      <c r="AQ39">
        <v>1</v>
      </c>
    </row>
    <row r="40" spans="1:43" x14ac:dyDescent="0.25">
      <c r="B40" s="8"/>
      <c r="D40" s="9"/>
      <c r="E40" s="12"/>
      <c r="AO40" s="35"/>
      <c r="AP40" s="35"/>
      <c r="AQ40">
        <v>1</v>
      </c>
    </row>
    <row r="41" spans="1:43" x14ac:dyDescent="0.25">
      <c r="B41" s="76" t="s">
        <v>298</v>
      </c>
      <c r="D41" s="20">
        <v>-10000</v>
      </c>
      <c r="E41" s="21">
        <v>-15000</v>
      </c>
      <c r="AO41" s="35"/>
      <c r="AP41" s="35"/>
      <c r="AQ41">
        <v>0</v>
      </c>
    </row>
    <row r="42" spans="1:43" ht="15.75" thickBot="1" x14ac:dyDescent="0.3">
      <c r="B42" s="15"/>
      <c r="C42" s="16"/>
      <c r="D42" s="16"/>
      <c r="E42" s="17"/>
      <c r="AO42" s="35"/>
      <c r="AP42" s="35"/>
      <c r="AQ42">
        <v>1</v>
      </c>
    </row>
    <row r="43" spans="1:43" x14ac:dyDescent="0.25">
      <c r="AO43" s="35"/>
      <c r="AP43" s="35"/>
      <c r="AQ43">
        <v>0</v>
      </c>
    </row>
    <row r="44" spans="1:43" ht="15.75" thickBot="1" x14ac:dyDescent="0.3">
      <c r="AO44" s="35"/>
      <c r="AP44" s="35"/>
      <c r="AQ44">
        <v>0</v>
      </c>
    </row>
    <row r="45" spans="1:43" x14ac:dyDescent="0.25">
      <c r="B45" s="5"/>
      <c r="C45" s="6"/>
      <c r="D45" s="6"/>
      <c r="E45" s="7"/>
      <c r="AO45" s="35"/>
      <c r="AP45" s="35"/>
      <c r="AQ45">
        <v>0</v>
      </c>
    </row>
    <row r="46" spans="1:43" x14ac:dyDescent="0.25">
      <c r="B46" s="8" t="s">
        <v>294</v>
      </c>
      <c r="C46" s="9"/>
      <c r="D46" s="38" t="s">
        <v>47</v>
      </c>
      <c r="E46" s="39" t="s">
        <v>48</v>
      </c>
      <c r="AO46" s="35"/>
      <c r="AP46" s="35"/>
      <c r="AQ46">
        <v>0</v>
      </c>
    </row>
    <row r="47" spans="1:43" x14ac:dyDescent="0.25">
      <c r="B47" s="8"/>
      <c r="C47" s="9"/>
      <c r="D47" s="9"/>
      <c r="E47" s="12"/>
      <c r="AO47" s="35"/>
      <c r="AP47" s="35"/>
      <c r="AQ47">
        <v>0</v>
      </c>
    </row>
    <row r="48" spans="1:43" x14ac:dyDescent="0.25">
      <c r="B48" s="76" t="s">
        <v>299</v>
      </c>
      <c r="C48" s="9"/>
      <c r="D48" s="20">
        <v>5000</v>
      </c>
      <c r="E48" s="21">
        <v>-8000</v>
      </c>
      <c r="AO48" s="35"/>
      <c r="AP48" s="35"/>
      <c r="AQ48">
        <v>0</v>
      </c>
    </row>
    <row r="49" spans="2:43" ht="15.75" thickBot="1" x14ac:dyDescent="0.3">
      <c r="B49" s="15"/>
      <c r="C49" s="16"/>
      <c r="D49" s="16"/>
      <c r="E49" s="17"/>
      <c r="AO49" s="35"/>
      <c r="AP49" s="35"/>
      <c r="AQ49">
        <v>0</v>
      </c>
    </row>
    <row r="50" spans="2:43" ht="15.75" thickBot="1" x14ac:dyDescent="0.3">
      <c r="AO50" s="35"/>
      <c r="AP50" s="35"/>
      <c r="AQ50">
        <v>0</v>
      </c>
    </row>
    <row r="51" spans="2:43" x14ac:dyDescent="0.25">
      <c r="B51" s="5"/>
      <c r="C51" s="6"/>
      <c r="D51" s="6"/>
      <c r="E51" s="7"/>
      <c r="AO51" s="35"/>
      <c r="AP51" s="35"/>
      <c r="AQ51">
        <v>0</v>
      </c>
    </row>
    <row r="52" spans="2:43" x14ac:dyDescent="0.25">
      <c r="B52" s="8" t="s">
        <v>296</v>
      </c>
      <c r="C52" s="9"/>
      <c r="D52" s="38" t="s">
        <v>47</v>
      </c>
      <c r="E52" s="39" t="s">
        <v>48</v>
      </c>
      <c r="AO52" s="35"/>
      <c r="AP52" s="35"/>
      <c r="AQ52">
        <v>0</v>
      </c>
    </row>
    <row r="53" spans="2:43" x14ac:dyDescent="0.25">
      <c r="B53" s="8"/>
      <c r="C53" s="9"/>
      <c r="D53" s="9"/>
      <c r="E53" s="12"/>
      <c r="AO53" s="35"/>
      <c r="AP53" s="35"/>
      <c r="AQ53">
        <v>0</v>
      </c>
    </row>
    <row r="54" spans="2:43" x14ac:dyDescent="0.25">
      <c r="B54" s="8" t="s">
        <v>295</v>
      </c>
      <c r="C54" s="9"/>
      <c r="D54" s="20">
        <v>15000</v>
      </c>
      <c r="E54" s="21">
        <v>18000</v>
      </c>
      <c r="AO54" s="35"/>
      <c r="AP54" s="35"/>
      <c r="AQ54">
        <v>0</v>
      </c>
    </row>
    <row r="55" spans="2:43" x14ac:dyDescent="0.25">
      <c r="B55" s="8" t="s">
        <v>297</v>
      </c>
      <c r="C55" s="9"/>
      <c r="D55" s="20">
        <v>10000</v>
      </c>
      <c r="E55" s="21">
        <v>13000</v>
      </c>
      <c r="AO55" s="35"/>
      <c r="AP55" s="35"/>
    </row>
    <row r="56" spans="2:43" ht="15.75" thickBot="1" x14ac:dyDescent="0.3">
      <c r="B56" s="15"/>
      <c r="C56" s="16"/>
      <c r="D56" s="16"/>
      <c r="E56" s="17"/>
      <c r="AO56" s="35"/>
      <c r="AP56" s="35"/>
      <c r="AQ56">
        <v>0</v>
      </c>
    </row>
    <row r="57" spans="2:43" x14ac:dyDescent="0.25">
      <c r="AO57" s="35"/>
      <c r="AP57" s="35"/>
      <c r="AQ57">
        <v>0</v>
      </c>
    </row>
    <row r="58" spans="2:43" x14ac:dyDescent="0.25">
      <c r="AO58" s="35"/>
      <c r="AP58" s="35"/>
      <c r="AQ58">
        <v>0</v>
      </c>
    </row>
    <row r="59" spans="2:43" x14ac:dyDescent="0.25">
      <c r="AO59" s="35"/>
      <c r="AP59" s="35"/>
      <c r="AQ59">
        <v>0</v>
      </c>
    </row>
    <row r="60" spans="2:43" x14ac:dyDescent="0.25">
      <c r="AO60" s="35"/>
      <c r="AP60" s="35"/>
      <c r="AQ60">
        <v>0</v>
      </c>
    </row>
    <row r="61" spans="2:43" x14ac:dyDescent="0.25">
      <c r="AO61" s="35"/>
      <c r="AP61" s="35"/>
      <c r="AQ61">
        <v>0</v>
      </c>
    </row>
    <row r="62" spans="2:43" x14ac:dyDescent="0.25">
      <c r="AO62" s="35"/>
      <c r="AP62" s="35"/>
      <c r="AQ62">
        <v>0</v>
      </c>
    </row>
    <row r="63" spans="2:43" x14ac:dyDescent="0.25">
      <c r="AO63" s="35"/>
      <c r="AP63" s="35"/>
      <c r="AQ63">
        <v>0</v>
      </c>
    </row>
    <row r="64" spans="2:43" x14ac:dyDescent="0.25">
      <c r="AO64" s="35"/>
      <c r="AP64" s="35"/>
      <c r="AQ64">
        <v>0</v>
      </c>
    </row>
    <row r="65" spans="41:43" x14ac:dyDescent="0.25">
      <c r="AO65" s="35"/>
      <c r="AP65" s="35"/>
      <c r="AQ65">
        <v>0</v>
      </c>
    </row>
    <row r="66" spans="41:43" x14ac:dyDescent="0.25">
      <c r="AO66" s="35"/>
      <c r="AP66" s="35"/>
      <c r="AQ66">
        <v>0</v>
      </c>
    </row>
    <row r="67" spans="41:43" x14ac:dyDescent="0.25">
      <c r="AO67" s="35"/>
      <c r="AP67" s="35"/>
      <c r="AQ67">
        <v>0</v>
      </c>
    </row>
    <row r="68" spans="41:43" x14ac:dyDescent="0.25">
      <c r="AO68" s="35"/>
      <c r="AP68" s="35"/>
      <c r="AQ68">
        <v>0</v>
      </c>
    </row>
    <row r="69" spans="41:43" x14ac:dyDescent="0.25">
      <c r="AO69" s="35"/>
      <c r="AP69" s="35"/>
      <c r="AQ69">
        <v>0</v>
      </c>
    </row>
    <row r="70" spans="41:43" x14ac:dyDescent="0.25">
      <c r="AO70" s="35"/>
      <c r="AP70" s="35"/>
      <c r="AQ70">
        <v>0</v>
      </c>
    </row>
    <row r="71" spans="41:43" x14ac:dyDescent="0.25">
      <c r="AO71" s="35"/>
      <c r="AP71" s="35"/>
      <c r="AQ71">
        <v>0</v>
      </c>
    </row>
    <row r="72" spans="41:43" x14ac:dyDescent="0.25">
      <c r="AO72" s="35"/>
      <c r="AP72" s="35"/>
      <c r="AQ72">
        <v>0</v>
      </c>
    </row>
    <row r="73" spans="41:43" x14ac:dyDescent="0.25">
      <c r="AO73" s="35"/>
      <c r="AP73" s="35"/>
      <c r="AQ73">
        <v>0</v>
      </c>
    </row>
    <row r="74" spans="41:43" x14ac:dyDescent="0.25">
      <c r="AO74" s="35"/>
      <c r="AP74" s="35"/>
      <c r="AQ74">
        <v>0</v>
      </c>
    </row>
    <row r="75" spans="41:43" x14ac:dyDescent="0.25">
      <c r="AO75" s="35"/>
      <c r="AP75" s="35"/>
      <c r="AQ75">
        <v>0</v>
      </c>
    </row>
  </sheetData>
  <hyperlinks>
    <hyperlink ref="B1" location="'Cash flow'!A1" display="HOM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381"/>
  <sheetViews>
    <sheetView workbookViewId="0">
      <selection activeCell="G30" sqref="G30"/>
    </sheetView>
  </sheetViews>
  <sheetFormatPr defaultRowHeight="15" x14ac:dyDescent="0.25"/>
  <cols>
    <col min="2" max="2" width="33.7109375" customWidth="1"/>
    <col min="3" max="3" width="14.42578125" customWidth="1"/>
    <col min="4" max="4" width="9.85546875" bestFit="1" customWidth="1"/>
    <col min="5" max="5" width="10.5703125" bestFit="1" customWidth="1"/>
    <col min="6" max="6" width="11.28515625" bestFit="1" customWidth="1"/>
    <col min="7" max="11" width="9.5703125" bestFit="1" customWidth="1"/>
    <col min="12" max="12" width="10.42578125" bestFit="1" customWidth="1"/>
    <col min="13" max="13" width="9.5703125" bestFit="1" customWidth="1"/>
    <col min="14" max="14" width="10.28515625" bestFit="1" customWidth="1"/>
    <col min="15" max="15" width="9.7109375" bestFit="1" customWidth="1"/>
    <col min="16" max="23" width="9.5703125" bestFit="1" customWidth="1"/>
    <col min="24" max="24" width="10.42578125" bestFit="1" customWidth="1"/>
    <col min="25" max="25" width="9.5703125" bestFit="1" customWidth="1"/>
    <col min="26" max="26" width="10.28515625" bestFit="1" customWidth="1"/>
    <col min="27" max="27" width="9.7109375" bestFit="1" customWidth="1"/>
    <col min="28" max="35" width="9.5703125" bestFit="1" customWidth="1"/>
    <col min="36" max="36" width="10.42578125" bestFit="1" customWidth="1"/>
    <col min="37" max="37" width="9.5703125" bestFit="1" customWidth="1"/>
    <col min="38" max="38" width="10.28515625" bestFit="1" customWidth="1"/>
    <col min="39" max="39" width="9.7109375" bestFit="1" customWidth="1"/>
    <col min="258" max="258" width="33.7109375" customWidth="1"/>
    <col min="259" max="259" width="14.42578125" customWidth="1"/>
    <col min="260" max="260" width="9.85546875" bestFit="1" customWidth="1"/>
    <col min="261" max="261" width="10.5703125" bestFit="1" customWidth="1"/>
    <col min="262" max="262" width="11.28515625" bestFit="1" customWidth="1"/>
    <col min="263" max="267" width="9.5703125" bestFit="1" customWidth="1"/>
    <col min="268" max="268" width="10.42578125" bestFit="1" customWidth="1"/>
    <col min="269" max="269" width="9.5703125" bestFit="1" customWidth="1"/>
    <col min="270" max="270" width="10.28515625" bestFit="1" customWidth="1"/>
    <col min="271" max="271" width="9.7109375" bestFit="1" customWidth="1"/>
    <col min="272" max="279" width="9.5703125" bestFit="1" customWidth="1"/>
    <col min="280" max="280" width="10.42578125" bestFit="1" customWidth="1"/>
    <col min="281" max="281" width="9.5703125" bestFit="1" customWidth="1"/>
    <col min="282" max="282" width="10.28515625" bestFit="1" customWidth="1"/>
    <col min="283" max="283" width="9.7109375" bestFit="1" customWidth="1"/>
    <col min="284" max="291" width="9.5703125" bestFit="1" customWidth="1"/>
    <col min="292" max="292" width="10.42578125" bestFit="1" customWidth="1"/>
    <col min="293" max="293" width="9.5703125" bestFit="1" customWidth="1"/>
    <col min="294" max="294" width="10.28515625" bestFit="1" customWidth="1"/>
    <col min="295" max="295" width="9.7109375" bestFit="1" customWidth="1"/>
    <col min="514" max="514" width="33.7109375" customWidth="1"/>
    <col min="515" max="515" width="14.42578125" customWidth="1"/>
    <col min="516" max="516" width="9.85546875" bestFit="1" customWidth="1"/>
    <col min="517" max="517" width="10.5703125" bestFit="1" customWidth="1"/>
    <col min="518" max="518" width="11.28515625" bestFit="1" customWidth="1"/>
    <col min="519" max="523" width="9.5703125" bestFit="1" customWidth="1"/>
    <col min="524" max="524" width="10.42578125" bestFit="1" customWidth="1"/>
    <col min="525" max="525" width="9.5703125" bestFit="1" customWidth="1"/>
    <col min="526" max="526" width="10.28515625" bestFit="1" customWidth="1"/>
    <col min="527" max="527" width="9.7109375" bestFit="1" customWidth="1"/>
    <col min="528" max="535" width="9.5703125" bestFit="1" customWidth="1"/>
    <col min="536" max="536" width="10.42578125" bestFit="1" customWidth="1"/>
    <col min="537" max="537" width="9.5703125" bestFit="1" customWidth="1"/>
    <col min="538" max="538" width="10.28515625" bestFit="1" customWidth="1"/>
    <col min="539" max="539" width="9.7109375" bestFit="1" customWidth="1"/>
    <col min="540" max="547" width="9.5703125" bestFit="1" customWidth="1"/>
    <col min="548" max="548" width="10.42578125" bestFit="1" customWidth="1"/>
    <col min="549" max="549" width="9.5703125" bestFit="1" customWidth="1"/>
    <col min="550" max="550" width="10.28515625" bestFit="1" customWidth="1"/>
    <col min="551" max="551" width="9.7109375" bestFit="1" customWidth="1"/>
    <col min="770" max="770" width="33.7109375" customWidth="1"/>
    <col min="771" max="771" width="14.42578125" customWidth="1"/>
    <col min="772" max="772" width="9.85546875" bestFit="1" customWidth="1"/>
    <col min="773" max="773" width="10.5703125" bestFit="1" customWidth="1"/>
    <col min="774" max="774" width="11.28515625" bestFit="1" customWidth="1"/>
    <col min="775" max="779" width="9.5703125" bestFit="1" customWidth="1"/>
    <col min="780" max="780" width="10.42578125" bestFit="1" customWidth="1"/>
    <col min="781" max="781" width="9.5703125" bestFit="1" customWidth="1"/>
    <col min="782" max="782" width="10.28515625" bestFit="1" customWidth="1"/>
    <col min="783" max="783" width="9.7109375" bestFit="1" customWidth="1"/>
    <col min="784" max="791" width="9.5703125" bestFit="1" customWidth="1"/>
    <col min="792" max="792" width="10.42578125" bestFit="1" customWidth="1"/>
    <col min="793" max="793" width="9.5703125" bestFit="1" customWidth="1"/>
    <col min="794" max="794" width="10.28515625" bestFit="1" customWidth="1"/>
    <col min="795" max="795" width="9.7109375" bestFit="1" customWidth="1"/>
    <col min="796" max="803" width="9.5703125" bestFit="1" customWidth="1"/>
    <col min="804" max="804" width="10.42578125" bestFit="1" customWidth="1"/>
    <col min="805" max="805" width="9.5703125" bestFit="1" customWidth="1"/>
    <col min="806" max="806" width="10.28515625" bestFit="1" customWidth="1"/>
    <col min="807" max="807" width="9.7109375" bestFit="1" customWidth="1"/>
    <col min="1026" max="1026" width="33.7109375" customWidth="1"/>
    <col min="1027" max="1027" width="14.42578125" customWidth="1"/>
    <col min="1028" max="1028" width="9.85546875" bestFit="1" customWidth="1"/>
    <col min="1029" max="1029" width="10.5703125" bestFit="1" customWidth="1"/>
    <col min="1030" max="1030" width="11.28515625" bestFit="1" customWidth="1"/>
    <col min="1031" max="1035" width="9.5703125" bestFit="1" customWidth="1"/>
    <col min="1036" max="1036" width="10.42578125" bestFit="1" customWidth="1"/>
    <col min="1037" max="1037" width="9.5703125" bestFit="1" customWidth="1"/>
    <col min="1038" max="1038" width="10.28515625" bestFit="1" customWidth="1"/>
    <col min="1039" max="1039" width="9.7109375" bestFit="1" customWidth="1"/>
    <col min="1040" max="1047" width="9.5703125" bestFit="1" customWidth="1"/>
    <col min="1048" max="1048" width="10.42578125" bestFit="1" customWidth="1"/>
    <col min="1049" max="1049" width="9.5703125" bestFit="1" customWidth="1"/>
    <col min="1050" max="1050" width="10.28515625" bestFit="1" customWidth="1"/>
    <col min="1051" max="1051" width="9.7109375" bestFit="1" customWidth="1"/>
    <col min="1052" max="1059" width="9.5703125" bestFit="1" customWidth="1"/>
    <col min="1060" max="1060" width="10.42578125" bestFit="1" customWidth="1"/>
    <col min="1061" max="1061" width="9.5703125" bestFit="1" customWidth="1"/>
    <col min="1062" max="1062" width="10.28515625" bestFit="1" customWidth="1"/>
    <col min="1063" max="1063" width="9.7109375" bestFit="1" customWidth="1"/>
    <col min="1282" max="1282" width="33.7109375" customWidth="1"/>
    <col min="1283" max="1283" width="14.42578125" customWidth="1"/>
    <col min="1284" max="1284" width="9.85546875" bestFit="1" customWidth="1"/>
    <col min="1285" max="1285" width="10.5703125" bestFit="1" customWidth="1"/>
    <col min="1286" max="1286" width="11.28515625" bestFit="1" customWidth="1"/>
    <col min="1287" max="1291" width="9.5703125" bestFit="1" customWidth="1"/>
    <col min="1292" max="1292" width="10.42578125" bestFit="1" customWidth="1"/>
    <col min="1293" max="1293" width="9.5703125" bestFit="1" customWidth="1"/>
    <col min="1294" max="1294" width="10.28515625" bestFit="1" customWidth="1"/>
    <col min="1295" max="1295" width="9.7109375" bestFit="1" customWidth="1"/>
    <col min="1296" max="1303" width="9.5703125" bestFit="1" customWidth="1"/>
    <col min="1304" max="1304" width="10.42578125" bestFit="1" customWidth="1"/>
    <col min="1305" max="1305" width="9.5703125" bestFit="1" customWidth="1"/>
    <col min="1306" max="1306" width="10.28515625" bestFit="1" customWidth="1"/>
    <col min="1307" max="1307" width="9.7109375" bestFit="1" customWidth="1"/>
    <col min="1308" max="1315" width="9.5703125" bestFit="1" customWidth="1"/>
    <col min="1316" max="1316" width="10.42578125" bestFit="1" customWidth="1"/>
    <col min="1317" max="1317" width="9.5703125" bestFit="1" customWidth="1"/>
    <col min="1318" max="1318" width="10.28515625" bestFit="1" customWidth="1"/>
    <col min="1319" max="1319" width="9.7109375" bestFit="1" customWidth="1"/>
    <col min="1538" max="1538" width="33.7109375" customWidth="1"/>
    <col min="1539" max="1539" width="14.42578125" customWidth="1"/>
    <col min="1540" max="1540" width="9.85546875" bestFit="1" customWidth="1"/>
    <col min="1541" max="1541" width="10.5703125" bestFit="1" customWidth="1"/>
    <col min="1542" max="1542" width="11.28515625" bestFit="1" customWidth="1"/>
    <col min="1543" max="1547" width="9.5703125" bestFit="1" customWidth="1"/>
    <col min="1548" max="1548" width="10.42578125" bestFit="1" customWidth="1"/>
    <col min="1549" max="1549" width="9.5703125" bestFit="1" customWidth="1"/>
    <col min="1550" max="1550" width="10.28515625" bestFit="1" customWidth="1"/>
    <col min="1551" max="1551" width="9.7109375" bestFit="1" customWidth="1"/>
    <col min="1552" max="1559" width="9.5703125" bestFit="1" customWidth="1"/>
    <col min="1560" max="1560" width="10.42578125" bestFit="1" customWidth="1"/>
    <col min="1561" max="1561" width="9.5703125" bestFit="1" customWidth="1"/>
    <col min="1562" max="1562" width="10.28515625" bestFit="1" customWidth="1"/>
    <col min="1563" max="1563" width="9.7109375" bestFit="1" customWidth="1"/>
    <col min="1564" max="1571" width="9.5703125" bestFit="1" customWidth="1"/>
    <col min="1572" max="1572" width="10.42578125" bestFit="1" customWidth="1"/>
    <col min="1573" max="1573" width="9.5703125" bestFit="1" customWidth="1"/>
    <col min="1574" max="1574" width="10.28515625" bestFit="1" customWidth="1"/>
    <col min="1575" max="1575" width="9.7109375" bestFit="1" customWidth="1"/>
    <col min="1794" max="1794" width="33.7109375" customWidth="1"/>
    <col min="1795" max="1795" width="14.42578125" customWidth="1"/>
    <col min="1796" max="1796" width="9.85546875" bestFit="1" customWidth="1"/>
    <col min="1797" max="1797" width="10.5703125" bestFit="1" customWidth="1"/>
    <col min="1798" max="1798" width="11.28515625" bestFit="1" customWidth="1"/>
    <col min="1799" max="1803" width="9.5703125" bestFit="1" customWidth="1"/>
    <col min="1804" max="1804" width="10.42578125" bestFit="1" customWidth="1"/>
    <col min="1805" max="1805" width="9.5703125" bestFit="1" customWidth="1"/>
    <col min="1806" max="1806" width="10.28515625" bestFit="1" customWidth="1"/>
    <col min="1807" max="1807" width="9.7109375" bestFit="1" customWidth="1"/>
    <col min="1808" max="1815" width="9.5703125" bestFit="1" customWidth="1"/>
    <col min="1816" max="1816" width="10.42578125" bestFit="1" customWidth="1"/>
    <col min="1817" max="1817" width="9.5703125" bestFit="1" customWidth="1"/>
    <col min="1818" max="1818" width="10.28515625" bestFit="1" customWidth="1"/>
    <col min="1819" max="1819" width="9.7109375" bestFit="1" customWidth="1"/>
    <col min="1820" max="1827" width="9.5703125" bestFit="1" customWidth="1"/>
    <col min="1828" max="1828" width="10.42578125" bestFit="1" customWidth="1"/>
    <col min="1829" max="1829" width="9.5703125" bestFit="1" customWidth="1"/>
    <col min="1830" max="1830" width="10.28515625" bestFit="1" customWidth="1"/>
    <col min="1831" max="1831" width="9.7109375" bestFit="1" customWidth="1"/>
    <col min="2050" max="2050" width="33.7109375" customWidth="1"/>
    <col min="2051" max="2051" width="14.42578125" customWidth="1"/>
    <col min="2052" max="2052" width="9.85546875" bestFit="1" customWidth="1"/>
    <col min="2053" max="2053" width="10.5703125" bestFit="1" customWidth="1"/>
    <col min="2054" max="2054" width="11.28515625" bestFit="1" customWidth="1"/>
    <col min="2055" max="2059" width="9.5703125" bestFit="1" customWidth="1"/>
    <col min="2060" max="2060" width="10.42578125" bestFit="1" customWidth="1"/>
    <col min="2061" max="2061" width="9.5703125" bestFit="1" customWidth="1"/>
    <col min="2062" max="2062" width="10.28515625" bestFit="1" customWidth="1"/>
    <col min="2063" max="2063" width="9.7109375" bestFit="1" customWidth="1"/>
    <col min="2064" max="2071" width="9.5703125" bestFit="1" customWidth="1"/>
    <col min="2072" max="2072" width="10.42578125" bestFit="1" customWidth="1"/>
    <col min="2073" max="2073" width="9.5703125" bestFit="1" customWidth="1"/>
    <col min="2074" max="2074" width="10.28515625" bestFit="1" customWidth="1"/>
    <col min="2075" max="2075" width="9.7109375" bestFit="1" customWidth="1"/>
    <col min="2076" max="2083" width="9.5703125" bestFit="1" customWidth="1"/>
    <col min="2084" max="2084" width="10.42578125" bestFit="1" customWidth="1"/>
    <col min="2085" max="2085" width="9.5703125" bestFit="1" customWidth="1"/>
    <col min="2086" max="2086" width="10.28515625" bestFit="1" customWidth="1"/>
    <col min="2087" max="2087" width="9.7109375" bestFit="1" customWidth="1"/>
    <col min="2306" max="2306" width="33.7109375" customWidth="1"/>
    <col min="2307" max="2307" width="14.42578125" customWidth="1"/>
    <col min="2308" max="2308" width="9.85546875" bestFit="1" customWidth="1"/>
    <col min="2309" max="2309" width="10.5703125" bestFit="1" customWidth="1"/>
    <col min="2310" max="2310" width="11.28515625" bestFit="1" customWidth="1"/>
    <col min="2311" max="2315" width="9.5703125" bestFit="1" customWidth="1"/>
    <col min="2316" max="2316" width="10.42578125" bestFit="1" customWidth="1"/>
    <col min="2317" max="2317" width="9.5703125" bestFit="1" customWidth="1"/>
    <col min="2318" max="2318" width="10.28515625" bestFit="1" customWidth="1"/>
    <col min="2319" max="2319" width="9.7109375" bestFit="1" customWidth="1"/>
    <col min="2320" max="2327" width="9.5703125" bestFit="1" customWidth="1"/>
    <col min="2328" max="2328" width="10.42578125" bestFit="1" customWidth="1"/>
    <col min="2329" max="2329" width="9.5703125" bestFit="1" customWidth="1"/>
    <col min="2330" max="2330" width="10.28515625" bestFit="1" customWidth="1"/>
    <col min="2331" max="2331" width="9.7109375" bestFit="1" customWidth="1"/>
    <col min="2332" max="2339" width="9.5703125" bestFit="1" customWidth="1"/>
    <col min="2340" max="2340" width="10.42578125" bestFit="1" customWidth="1"/>
    <col min="2341" max="2341" width="9.5703125" bestFit="1" customWidth="1"/>
    <col min="2342" max="2342" width="10.28515625" bestFit="1" customWidth="1"/>
    <col min="2343" max="2343" width="9.7109375" bestFit="1" customWidth="1"/>
    <col min="2562" max="2562" width="33.7109375" customWidth="1"/>
    <col min="2563" max="2563" width="14.42578125" customWidth="1"/>
    <col min="2564" max="2564" width="9.85546875" bestFit="1" customWidth="1"/>
    <col min="2565" max="2565" width="10.5703125" bestFit="1" customWidth="1"/>
    <col min="2566" max="2566" width="11.28515625" bestFit="1" customWidth="1"/>
    <col min="2567" max="2571" width="9.5703125" bestFit="1" customWidth="1"/>
    <col min="2572" max="2572" width="10.42578125" bestFit="1" customWidth="1"/>
    <col min="2573" max="2573" width="9.5703125" bestFit="1" customWidth="1"/>
    <col min="2574" max="2574" width="10.28515625" bestFit="1" customWidth="1"/>
    <col min="2575" max="2575" width="9.7109375" bestFit="1" customWidth="1"/>
    <col min="2576" max="2583" width="9.5703125" bestFit="1" customWidth="1"/>
    <col min="2584" max="2584" width="10.42578125" bestFit="1" customWidth="1"/>
    <col min="2585" max="2585" width="9.5703125" bestFit="1" customWidth="1"/>
    <col min="2586" max="2586" width="10.28515625" bestFit="1" customWidth="1"/>
    <col min="2587" max="2587" width="9.7109375" bestFit="1" customWidth="1"/>
    <col min="2588" max="2595" width="9.5703125" bestFit="1" customWidth="1"/>
    <col min="2596" max="2596" width="10.42578125" bestFit="1" customWidth="1"/>
    <col min="2597" max="2597" width="9.5703125" bestFit="1" customWidth="1"/>
    <col min="2598" max="2598" width="10.28515625" bestFit="1" customWidth="1"/>
    <col min="2599" max="2599" width="9.7109375" bestFit="1" customWidth="1"/>
    <col min="2818" max="2818" width="33.7109375" customWidth="1"/>
    <col min="2819" max="2819" width="14.42578125" customWidth="1"/>
    <col min="2820" max="2820" width="9.85546875" bestFit="1" customWidth="1"/>
    <col min="2821" max="2821" width="10.5703125" bestFit="1" customWidth="1"/>
    <col min="2822" max="2822" width="11.28515625" bestFit="1" customWidth="1"/>
    <col min="2823" max="2827" width="9.5703125" bestFit="1" customWidth="1"/>
    <col min="2828" max="2828" width="10.42578125" bestFit="1" customWidth="1"/>
    <col min="2829" max="2829" width="9.5703125" bestFit="1" customWidth="1"/>
    <col min="2830" max="2830" width="10.28515625" bestFit="1" customWidth="1"/>
    <col min="2831" max="2831" width="9.7109375" bestFit="1" customWidth="1"/>
    <col min="2832" max="2839" width="9.5703125" bestFit="1" customWidth="1"/>
    <col min="2840" max="2840" width="10.42578125" bestFit="1" customWidth="1"/>
    <col min="2841" max="2841" width="9.5703125" bestFit="1" customWidth="1"/>
    <col min="2842" max="2842" width="10.28515625" bestFit="1" customWidth="1"/>
    <col min="2843" max="2843" width="9.7109375" bestFit="1" customWidth="1"/>
    <col min="2844" max="2851" width="9.5703125" bestFit="1" customWidth="1"/>
    <col min="2852" max="2852" width="10.42578125" bestFit="1" customWidth="1"/>
    <col min="2853" max="2853" width="9.5703125" bestFit="1" customWidth="1"/>
    <col min="2854" max="2854" width="10.28515625" bestFit="1" customWidth="1"/>
    <col min="2855" max="2855" width="9.7109375" bestFit="1" customWidth="1"/>
    <col min="3074" max="3074" width="33.7109375" customWidth="1"/>
    <col min="3075" max="3075" width="14.42578125" customWidth="1"/>
    <col min="3076" max="3076" width="9.85546875" bestFit="1" customWidth="1"/>
    <col min="3077" max="3077" width="10.5703125" bestFit="1" customWidth="1"/>
    <col min="3078" max="3078" width="11.28515625" bestFit="1" customWidth="1"/>
    <col min="3079" max="3083" width="9.5703125" bestFit="1" customWidth="1"/>
    <col min="3084" max="3084" width="10.42578125" bestFit="1" customWidth="1"/>
    <col min="3085" max="3085" width="9.5703125" bestFit="1" customWidth="1"/>
    <col min="3086" max="3086" width="10.28515625" bestFit="1" customWidth="1"/>
    <col min="3087" max="3087" width="9.7109375" bestFit="1" customWidth="1"/>
    <col min="3088" max="3095" width="9.5703125" bestFit="1" customWidth="1"/>
    <col min="3096" max="3096" width="10.42578125" bestFit="1" customWidth="1"/>
    <col min="3097" max="3097" width="9.5703125" bestFit="1" customWidth="1"/>
    <col min="3098" max="3098" width="10.28515625" bestFit="1" customWidth="1"/>
    <col min="3099" max="3099" width="9.7109375" bestFit="1" customWidth="1"/>
    <col min="3100" max="3107" width="9.5703125" bestFit="1" customWidth="1"/>
    <col min="3108" max="3108" width="10.42578125" bestFit="1" customWidth="1"/>
    <col min="3109" max="3109" width="9.5703125" bestFit="1" customWidth="1"/>
    <col min="3110" max="3110" width="10.28515625" bestFit="1" customWidth="1"/>
    <col min="3111" max="3111" width="9.7109375" bestFit="1" customWidth="1"/>
    <col min="3330" max="3330" width="33.7109375" customWidth="1"/>
    <col min="3331" max="3331" width="14.42578125" customWidth="1"/>
    <col min="3332" max="3332" width="9.85546875" bestFit="1" customWidth="1"/>
    <col min="3333" max="3333" width="10.5703125" bestFit="1" customWidth="1"/>
    <col min="3334" max="3334" width="11.28515625" bestFit="1" customWidth="1"/>
    <col min="3335" max="3339" width="9.5703125" bestFit="1" customWidth="1"/>
    <col min="3340" max="3340" width="10.42578125" bestFit="1" customWidth="1"/>
    <col min="3341" max="3341" width="9.5703125" bestFit="1" customWidth="1"/>
    <col min="3342" max="3342" width="10.28515625" bestFit="1" customWidth="1"/>
    <col min="3343" max="3343" width="9.7109375" bestFit="1" customWidth="1"/>
    <col min="3344" max="3351" width="9.5703125" bestFit="1" customWidth="1"/>
    <col min="3352" max="3352" width="10.42578125" bestFit="1" customWidth="1"/>
    <col min="3353" max="3353" width="9.5703125" bestFit="1" customWidth="1"/>
    <col min="3354" max="3354" width="10.28515625" bestFit="1" customWidth="1"/>
    <col min="3355" max="3355" width="9.7109375" bestFit="1" customWidth="1"/>
    <col min="3356" max="3363" width="9.5703125" bestFit="1" customWidth="1"/>
    <col min="3364" max="3364" width="10.42578125" bestFit="1" customWidth="1"/>
    <col min="3365" max="3365" width="9.5703125" bestFit="1" customWidth="1"/>
    <col min="3366" max="3366" width="10.28515625" bestFit="1" customWidth="1"/>
    <col min="3367" max="3367" width="9.7109375" bestFit="1" customWidth="1"/>
    <col min="3586" max="3586" width="33.7109375" customWidth="1"/>
    <col min="3587" max="3587" width="14.42578125" customWidth="1"/>
    <col min="3588" max="3588" width="9.85546875" bestFit="1" customWidth="1"/>
    <col min="3589" max="3589" width="10.5703125" bestFit="1" customWidth="1"/>
    <col min="3590" max="3590" width="11.28515625" bestFit="1" customWidth="1"/>
    <col min="3591" max="3595" width="9.5703125" bestFit="1" customWidth="1"/>
    <col min="3596" max="3596" width="10.42578125" bestFit="1" customWidth="1"/>
    <col min="3597" max="3597" width="9.5703125" bestFit="1" customWidth="1"/>
    <col min="3598" max="3598" width="10.28515625" bestFit="1" customWidth="1"/>
    <col min="3599" max="3599" width="9.7109375" bestFit="1" customWidth="1"/>
    <col min="3600" max="3607" width="9.5703125" bestFit="1" customWidth="1"/>
    <col min="3608" max="3608" width="10.42578125" bestFit="1" customWidth="1"/>
    <col min="3609" max="3609" width="9.5703125" bestFit="1" customWidth="1"/>
    <col min="3610" max="3610" width="10.28515625" bestFit="1" customWidth="1"/>
    <col min="3611" max="3611" width="9.7109375" bestFit="1" customWidth="1"/>
    <col min="3612" max="3619" width="9.5703125" bestFit="1" customWidth="1"/>
    <col min="3620" max="3620" width="10.42578125" bestFit="1" customWidth="1"/>
    <col min="3621" max="3621" width="9.5703125" bestFit="1" customWidth="1"/>
    <col min="3622" max="3622" width="10.28515625" bestFit="1" customWidth="1"/>
    <col min="3623" max="3623" width="9.7109375" bestFit="1" customWidth="1"/>
    <col min="3842" max="3842" width="33.7109375" customWidth="1"/>
    <col min="3843" max="3843" width="14.42578125" customWidth="1"/>
    <col min="3844" max="3844" width="9.85546875" bestFit="1" customWidth="1"/>
    <col min="3845" max="3845" width="10.5703125" bestFit="1" customWidth="1"/>
    <col min="3846" max="3846" width="11.28515625" bestFit="1" customWidth="1"/>
    <col min="3847" max="3851" width="9.5703125" bestFit="1" customWidth="1"/>
    <col min="3852" max="3852" width="10.42578125" bestFit="1" customWidth="1"/>
    <col min="3853" max="3853" width="9.5703125" bestFit="1" customWidth="1"/>
    <col min="3854" max="3854" width="10.28515625" bestFit="1" customWidth="1"/>
    <col min="3855" max="3855" width="9.7109375" bestFit="1" customWidth="1"/>
    <col min="3856" max="3863" width="9.5703125" bestFit="1" customWidth="1"/>
    <col min="3864" max="3864" width="10.42578125" bestFit="1" customWidth="1"/>
    <col min="3865" max="3865" width="9.5703125" bestFit="1" customWidth="1"/>
    <col min="3866" max="3866" width="10.28515625" bestFit="1" customWidth="1"/>
    <col min="3867" max="3867" width="9.7109375" bestFit="1" customWidth="1"/>
    <col min="3868" max="3875" width="9.5703125" bestFit="1" customWidth="1"/>
    <col min="3876" max="3876" width="10.42578125" bestFit="1" customWidth="1"/>
    <col min="3877" max="3877" width="9.5703125" bestFit="1" customWidth="1"/>
    <col min="3878" max="3878" width="10.28515625" bestFit="1" customWidth="1"/>
    <col min="3879" max="3879" width="9.7109375" bestFit="1" customWidth="1"/>
    <col min="4098" max="4098" width="33.7109375" customWidth="1"/>
    <col min="4099" max="4099" width="14.42578125" customWidth="1"/>
    <col min="4100" max="4100" width="9.85546875" bestFit="1" customWidth="1"/>
    <col min="4101" max="4101" width="10.5703125" bestFit="1" customWidth="1"/>
    <col min="4102" max="4102" width="11.28515625" bestFit="1" customWidth="1"/>
    <col min="4103" max="4107" width="9.5703125" bestFit="1" customWidth="1"/>
    <col min="4108" max="4108" width="10.42578125" bestFit="1" customWidth="1"/>
    <col min="4109" max="4109" width="9.5703125" bestFit="1" customWidth="1"/>
    <col min="4110" max="4110" width="10.28515625" bestFit="1" customWidth="1"/>
    <col min="4111" max="4111" width="9.7109375" bestFit="1" customWidth="1"/>
    <col min="4112" max="4119" width="9.5703125" bestFit="1" customWidth="1"/>
    <col min="4120" max="4120" width="10.42578125" bestFit="1" customWidth="1"/>
    <col min="4121" max="4121" width="9.5703125" bestFit="1" customWidth="1"/>
    <col min="4122" max="4122" width="10.28515625" bestFit="1" customWidth="1"/>
    <col min="4123" max="4123" width="9.7109375" bestFit="1" customWidth="1"/>
    <col min="4124" max="4131" width="9.5703125" bestFit="1" customWidth="1"/>
    <col min="4132" max="4132" width="10.42578125" bestFit="1" customWidth="1"/>
    <col min="4133" max="4133" width="9.5703125" bestFit="1" customWidth="1"/>
    <col min="4134" max="4134" width="10.28515625" bestFit="1" customWidth="1"/>
    <col min="4135" max="4135" width="9.7109375" bestFit="1" customWidth="1"/>
    <col min="4354" max="4354" width="33.7109375" customWidth="1"/>
    <col min="4355" max="4355" width="14.42578125" customWidth="1"/>
    <col min="4356" max="4356" width="9.85546875" bestFit="1" customWidth="1"/>
    <col min="4357" max="4357" width="10.5703125" bestFit="1" customWidth="1"/>
    <col min="4358" max="4358" width="11.28515625" bestFit="1" customWidth="1"/>
    <col min="4359" max="4363" width="9.5703125" bestFit="1" customWidth="1"/>
    <col min="4364" max="4364" width="10.42578125" bestFit="1" customWidth="1"/>
    <col min="4365" max="4365" width="9.5703125" bestFit="1" customWidth="1"/>
    <col min="4366" max="4366" width="10.28515625" bestFit="1" customWidth="1"/>
    <col min="4367" max="4367" width="9.7109375" bestFit="1" customWidth="1"/>
    <col min="4368" max="4375" width="9.5703125" bestFit="1" customWidth="1"/>
    <col min="4376" max="4376" width="10.42578125" bestFit="1" customWidth="1"/>
    <col min="4377" max="4377" width="9.5703125" bestFit="1" customWidth="1"/>
    <col min="4378" max="4378" width="10.28515625" bestFit="1" customWidth="1"/>
    <col min="4379" max="4379" width="9.7109375" bestFit="1" customWidth="1"/>
    <col min="4380" max="4387" width="9.5703125" bestFit="1" customWidth="1"/>
    <col min="4388" max="4388" width="10.42578125" bestFit="1" customWidth="1"/>
    <col min="4389" max="4389" width="9.5703125" bestFit="1" customWidth="1"/>
    <col min="4390" max="4390" width="10.28515625" bestFit="1" customWidth="1"/>
    <col min="4391" max="4391" width="9.7109375" bestFit="1" customWidth="1"/>
    <col min="4610" max="4610" width="33.7109375" customWidth="1"/>
    <col min="4611" max="4611" width="14.42578125" customWidth="1"/>
    <col min="4612" max="4612" width="9.85546875" bestFit="1" customWidth="1"/>
    <col min="4613" max="4613" width="10.5703125" bestFit="1" customWidth="1"/>
    <col min="4614" max="4614" width="11.28515625" bestFit="1" customWidth="1"/>
    <col min="4615" max="4619" width="9.5703125" bestFit="1" customWidth="1"/>
    <col min="4620" max="4620" width="10.42578125" bestFit="1" customWidth="1"/>
    <col min="4621" max="4621" width="9.5703125" bestFit="1" customWidth="1"/>
    <col min="4622" max="4622" width="10.28515625" bestFit="1" customWidth="1"/>
    <col min="4623" max="4623" width="9.7109375" bestFit="1" customWidth="1"/>
    <col min="4624" max="4631" width="9.5703125" bestFit="1" customWidth="1"/>
    <col min="4632" max="4632" width="10.42578125" bestFit="1" customWidth="1"/>
    <col min="4633" max="4633" width="9.5703125" bestFit="1" customWidth="1"/>
    <col min="4634" max="4634" width="10.28515625" bestFit="1" customWidth="1"/>
    <col min="4635" max="4635" width="9.7109375" bestFit="1" customWidth="1"/>
    <col min="4636" max="4643" width="9.5703125" bestFit="1" customWidth="1"/>
    <col min="4644" max="4644" width="10.42578125" bestFit="1" customWidth="1"/>
    <col min="4645" max="4645" width="9.5703125" bestFit="1" customWidth="1"/>
    <col min="4646" max="4646" width="10.28515625" bestFit="1" customWidth="1"/>
    <col min="4647" max="4647" width="9.7109375" bestFit="1" customWidth="1"/>
    <col min="4866" max="4866" width="33.7109375" customWidth="1"/>
    <col min="4867" max="4867" width="14.42578125" customWidth="1"/>
    <col min="4868" max="4868" width="9.85546875" bestFit="1" customWidth="1"/>
    <col min="4869" max="4869" width="10.5703125" bestFit="1" customWidth="1"/>
    <col min="4870" max="4870" width="11.28515625" bestFit="1" customWidth="1"/>
    <col min="4871" max="4875" width="9.5703125" bestFit="1" customWidth="1"/>
    <col min="4876" max="4876" width="10.42578125" bestFit="1" customWidth="1"/>
    <col min="4877" max="4877" width="9.5703125" bestFit="1" customWidth="1"/>
    <col min="4878" max="4878" width="10.28515625" bestFit="1" customWidth="1"/>
    <col min="4879" max="4879" width="9.7109375" bestFit="1" customWidth="1"/>
    <col min="4880" max="4887" width="9.5703125" bestFit="1" customWidth="1"/>
    <col min="4888" max="4888" width="10.42578125" bestFit="1" customWidth="1"/>
    <col min="4889" max="4889" width="9.5703125" bestFit="1" customWidth="1"/>
    <col min="4890" max="4890" width="10.28515625" bestFit="1" customWidth="1"/>
    <col min="4891" max="4891" width="9.7109375" bestFit="1" customWidth="1"/>
    <col min="4892" max="4899" width="9.5703125" bestFit="1" customWidth="1"/>
    <col min="4900" max="4900" width="10.42578125" bestFit="1" customWidth="1"/>
    <col min="4901" max="4901" width="9.5703125" bestFit="1" customWidth="1"/>
    <col min="4902" max="4902" width="10.28515625" bestFit="1" customWidth="1"/>
    <col min="4903" max="4903" width="9.7109375" bestFit="1" customWidth="1"/>
    <col min="5122" max="5122" width="33.7109375" customWidth="1"/>
    <col min="5123" max="5123" width="14.42578125" customWidth="1"/>
    <col min="5124" max="5124" width="9.85546875" bestFit="1" customWidth="1"/>
    <col min="5125" max="5125" width="10.5703125" bestFit="1" customWidth="1"/>
    <col min="5126" max="5126" width="11.28515625" bestFit="1" customWidth="1"/>
    <col min="5127" max="5131" width="9.5703125" bestFit="1" customWidth="1"/>
    <col min="5132" max="5132" width="10.42578125" bestFit="1" customWidth="1"/>
    <col min="5133" max="5133" width="9.5703125" bestFit="1" customWidth="1"/>
    <col min="5134" max="5134" width="10.28515625" bestFit="1" customWidth="1"/>
    <col min="5135" max="5135" width="9.7109375" bestFit="1" customWidth="1"/>
    <col min="5136" max="5143" width="9.5703125" bestFit="1" customWidth="1"/>
    <col min="5144" max="5144" width="10.42578125" bestFit="1" customWidth="1"/>
    <col min="5145" max="5145" width="9.5703125" bestFit="1" customWidth="1"/>
    <col min="5146" max="5146" width="10.28515625" bestFit="1" customWidth="1"/>
    <col min="5147" max="5147" width="9.7109375" bestFit="1" customWidth="1"/>
    <col min="5148" max="5155" width="9.5703125" bestFit="1" customWidth="1"/>
    <col min="5156" max="5156" width="10.42578125" bestFit="1" customWidth="1"/>
    <col min="5157" max="5157" width="9.5703125" bestFit="1" customWidth="1"/>
    <col min="5158" max="5158" width="10.28515625" bestFit="1" customWidth="1"/>
    <col min="5159" max="5159" width="9.7109375" bestFit="1" customWidth="1"/>
    <col min="5378" max="5378" width="33.7109375" customWidth="1"/>
    <col min="5379" max="5379" width="14.42578125" customWidth="1"/>
    <col min="5380" max="5380" width="9.85546875" bestFit="1" customWidth="1"/>
    <col min="5381" max="5381" width="10.5703125" bestFit="1" customWidth="1"/>
    <col min="5382" max="5382" width="11.28515625" bestFit="1" customWidth="1"/>
    <col min="5383" max="5387" width="9.5703125" bestFit="1" customWidth="1"/>
    <col min="5388" max="5388" width="10.42578125" bestFit="1" customWidth="1"/>
    <col min="5389" max="5389" width="9.5703125" bestFit="1" customWidth="1"/>
    <col min="5390" max="5390" width="10.28515625" bestFit="1" customWidth="1"/>
    <col min="5391" max="5391" width="9.7109375" bestFit="1" customWidth="1"/>
    <col min="5392" max="5399" width="9.5703125" bestFit="1" customWidth="1"/>
    <col min="5400" max="5400" width="10.42578125" bestFit="1" customWidth="1"/>
    <col min="5401" max="5401" width="9.5703125" bestFit="1" customWidth="1"/>
    <col min="5402" max="5402" width="10.28515625" bestFit="1" customWidth="1"/>
    <col min="5403" max="5403" width="9.7109375" bestFit="1" customWidth="1"/>
    <col min="5404" max="5411" width="9.5703125" bestFit="1" customWidth="1"/>
    <col min="5412" max="5412" width="10.42578125" bestFit="1" customWidth="1"/>
    <col min="5413" max="5413" width="9.5703125" bestFit="1" customWidth="1"/>
    <col min="5414" max="5414" width="10.28515625" bestFit="1" customWidth="1"/>
    <col min="5415" max="5415" width="9.7109375" bestFit="1" customWidth="1"/>
    <col min="5634" max="5634" width="33.7109375" customWidth="1"/>
    <col min="5635" max="5635" width="14.42578125" customWidth="1"/>
    <col min="5636" max="5636" width="9.85546875" bestFit="1" customWidth="1"/>
    <col min="5637" max="5637" width="10.5703125" bestFit="1" customWidth="1"/>
    <col min="5638" max="5638" width="11.28515625" bestFit="1" customWidth="1"/>
    <col min="5639" max="5643" width="9.5703125" bestFit="1" customWidth="1"/>
    <col min="5644" max="5644" width="10.42578125" bestFit="1" customWidth="1"/>
    <col min="5645" max="5645" width="9.5703125" bestFit="1" customWidth="1"/>
    <col min="5646" max="5646" width="10.28515625" bestFit="1" customWidth="1"/>
    <col min="5647" max="5647" width="9.7109375" bestFit="1" customWidth="1"/>
    <col min="5648" max="5655" width="9.5703125" bestFit="1" customWidth="1"/>
    <col min="5656" max="5656" width="10.42578125" bestFit="1" customWidth="1"/>
    <col min="5657" max="5657" width="9.5703125" bestFit="1" customWidth="1"/>
    <col min="5658" max="5658" width="10.28515625" bestFit="1" customWidth="1"/>
    <col min="5659" max="5659" width="9.7109375" bestFit="1" customWidth="1"/>
    <col min="5660" max="5667" width="9.5703125" bestFit="1" customWidth="1"/>
    <col min="5668" max="5668" width="10.42578125" bestFit="1" customWidth="1"/>
    <col min="5669" max="5669" width="9.5703125" bestFit="1" customWidth="1"/>
    <col min="5670" max="5670" width="10.28515625" bestFit="1" customWidth="1"/>
    <col min="5671" max="5671" width="9.7109375" bestFit="1" customWidth="1"/>
    <col min="5890" max="5890" width="33.7109375" customWidth="1"/>
    <col min="5891" max="5891" width="14.42578125" customWidth="1"/>
    <col min="5892" max="5892" width="9.85546875" bestFit="1" customWidth="1"/>
    <col min="5893" max="5893" width="10.5703125" bestFit="1" customWidth="1"/>
    <col min="5894" max="5894" width="11.28515625" bestFit="1" customWidth="1"/>
    <col min="5895" max="5899" width="9.5703125" bestFit="1" customWidth="1"/>
    <col min="5900" max="5900" width="10.42578125" bestFit="1" customWidth="1"/>
    <col min="5901" max="5901" width="9.5703125" bestFit="1" customWidth="1"/>
    <col min="5902" max="5902" width="10.28515625" bestFit="1" customWidth="1"/>
    <col min="5903" max="5903" width="9.7109375" bestFit="1" customWidth="1"/>
    <col min="5904" max="5911" width="9.5703125" bestFit="1" customWidth="1"/>
    <col min="5912" max="5912" width="10.42578125" bestFit="1" customWidth="1"/>
    <col min="5913" max="5913" width="9.5703125" bestFit="1" customWidth="1"/>
    <col min="5914" max="5914" width="10.28515625" bestFit="1" customWidth="1"/>
    <col min="5915" max="5915" width="9.7109375" bestFit="1" customWidth="1"/>
    <col min="5916" max="5923" width="9.5703125" bestFit="1" customWidth="1"/>
    <col min="5924" max="5924" width="10.42578125" bestFit="1" customWidth="1"/>
    <col min="5925" max="5925" width="9.5703125" bestFit="1" customWidth="1"/>
    <col min="5926" max="5926" width="10.28515625" bestFit="1" customWidth="1"/>
    <col min="5927" max="5927" width="9.7109375" bestFit="1" customWidth="1"/>
    <col min="6146" max="6146" width="33.7109375" customWidth="1"/>
    <col min="6147" max="6147" width="14.42578125" customWidth="1"/>
    <col min="6148" max="6148" width="9.85546875" bestFit="1" customWidth="1"/>
    <col min="6149" max="6149" width="10.5703125" bestFit="1" customWidth="1"/>
    <col min="6150" max="6150" width="11.28515625" bestFit="1" customWidth="1"/>
    <col min="6151" max="6155" width="9.5703125" bestFit="1" customWidth="1"/>
    <col min="6156" max="6156" width="10.42578125" bestFit="1" customWidth="1"/>
    <col min="6157" max="6157" width="9.5703125" bestFit="1" customWidth="1"/>
    <col min="6158" max="6158" width="10.28515625" bestFit="1" customWidth="1"/>
    <col min="6159" max="6159" width="9.7109375" bestFit="1" customWidth="1"/>
    <col min="6160" max="6167" width="9.5703125" bestFit="1" customWidth="1"/>
    <col min="6168" max="6168" width="10.42578125" bestFit="1" customWidth="1"/>
    <col min="6169" max="6169" width="9.5703125" bestFit="1" customWidth="1"/>
    <col min="6170" max="6170" width="10.28515625" bestFit="1" customWidth="1"/>
    <col min="6171" max="6171" width="9.7109375" bestFit="1" customWidth="1"/>
    <col min="6172" max="6179" width="9.5703125" bestFit="1" customWidth="1"/>
    <col min="6180" max="6180" width="10.42578125" bestFit="1" customWidth="1"/>
    <col min="6181" max="6181" width="9.5703125" bestFit="1" customWidth="1"/>
    <col min="6182" max="6182" width="10.28515625" bestFit="1" customWidth="1"/>
    <col min="6183" max="6183" width="9.7109375" bestFit="1" customWidth="1"/>
    <col min="6402" max="6402" width="33.7109375" customWidth="1"/>
    <col min="6403" max="6403" width="14.42578125" customWidth="1"/>
    <col min="6404" max="6404" width="9.85546875" bestFit="1" customWidth="1"/>
    <col min="6405" max="6405" width="10.5703125" bestFit="1" customWidth="1"/>
    <col min="6406" max="6406" width="11.28515625" bestFit="1" customWidth="1"/>
    <col min="6407" max="6411" width="9.5703125" bestFit="1" customWidth="1"/>
    <col min="6412" max="6412" width="10.42578125" bestFit="1" customWidth="1"/>
    <col min="6413" max="6413" width="9.5703125" bestFit="1" customWidth="1"/>
    <col min="6414" max="6414" width="10.28515625" bestFit="1" customWidth="1"/>
    <col min="6415" max="6415" width="9.7109375" bestFit="1" customWidth="1"/>
    <col min="6416" max="6423" width="9.5703125" bestFit="1" customWidth="1"/>
    <col min="6424" max="6424" width="10.42578125" bestFit="1" customWidth="1"/>
    <col min="6425" max="6425" width="9.5703125" bestFit="1" customWidth="1"/>
    <col min="6426" max="6426" width="10.28515625" bestFit="1" customWidth="1"/>
    <col min="6427" max="6427" width="9.7109375" bestFit="1" customWidth="1"/>
    <col min="6428" max="6435" width="9.5703125" bestFit="1" customWidth="1"/>
    <col min="6436" max="6436" width="10.42578125" bestFit="1" customWidth="1"/>
    <col min="6437" max="6437" width="9.5703125" bestFit="1" customWidth="1"/>
    <col min="6438" max="6438" width="10.28515625" bestFit="1" customWidth="1"/>
    <col min="6439" max="6439" width="9.7109375" bestFit="1" customWidth="1"/>
    <col min="6658" max="6658" width="33.7109375" customWidth="1"/>
    <col min="6659" max="6659" width="14.42578125" customWidth="1"/>
    <col min="6660" max="6660" width="9.85546875" bestFit="1" customWidth="1"/>
    <col min="6661" max="6661" width="10.5703125" bestFit="1" customWidth="1"/>
    <col min="6662" max="6662" width="11.28515625" bestFit="1" customWidth="1"/>
    <col min="6663" max="6667" width="9.5703125" bestFit="1" customWidth="1"/>
    <col min="6668" max="6668" width="10.42578125" bestFit="1" customWidth="1"/>
    <col min="6669" max="6669" width="9.5703125" bestFit="1" customWidth="1"/>
    <col min="6670" max="6670" width="10.28515625" bestFit="1" customWidth="1"/>
    <col min="6671" max="6671" width="9.7109375" bestFit="1" customWidth="1"/>
    <col min="6672" max="6679" width="9.5703125" bestFit="1" customWidth="1"/>
    <col min="6680" max="6680" width="10.42578125" bestFit="1" customWidth="1"/>
    <col min="6681" max="6681" width="9.5703125" bestFit="1" customWidth="1"/>
    <col min="6682" max="6682" width="10.28515625" bestFit="1" customWidth="1"/>
    <col min="6683" max="6683" width="9.7109375" bestFit="1" customWidth="1"/>
    <col min="6684" max="6691" width="9.5703125" bestFit="1" customWidth="1"/>
    <col min="6692" max="6692" width="10.42578125" bestFit="1" customWidth="1"/>
    <col min="6693" max="6693" width="9.5703125" bestFit="1" customWidth="1"/>
    <col min="6694" max="6694" width="10.28515625" bestFit="1" customWidth="1"/>
    <col min="6695" max="6695" width="9.7109375" bestFit="1" customWidth="1"/>
    <col min="6914" max="6914" width="33.7109375" customWidth="1"/>
    <col min="6915" max="6915" width="14.42578125" customWidth="1"/>
    <col min="6916" max="6916" width="9.85546875" bestFit="1" customWidth="1"/>
    <col min="6917" max="6917" width="10.5703125" bestFit="1" customWidth="1"/>
    <col min="6918" max="6918" width="11.28515625" bestFit="1" customWidth="1"/>
    <col min="6919" max="6923" width="9.5703125" bestFit="1" customWidth="1"/>
    <col min="6924" max="6924" width="10.42578125" bestFit="1" customWidth="1"/>
    <col min="6925" max="6925" width="9.5703125" bestFit="1" customWidth="1"/>
    <col min="6926" max="6926" width="10.28515625" bestFit="1" customWidth="1"/>
    <col min="6927" max="6927" width="9.7109375" bestFit="1" customWidth="1"/>
    <col min="6928" max="6935" width="9.5703125" bestFit="1" customWidth="1"/>
    <col min="6936" max="6936" width="10.42578125" bestFit="1" customWidth="1"/>
    <col min="6937" max="6937" width="9.5703125" bestFit="1" customWidth="1"/>
    <col min="6938" max="6938" width="10.28515625" bestFit="1" customWidth="1"/>
    <col min="6939" max="6939" width="9.7109375" bestFit="1" customWidth="1"/>
    <col min="6940" max="6947" width="9.5703125" bestFit="1" customWidth="1"/>
    <col min="6948" max="6948" width="10.42578125" bestFit="1" customWidth="1"/>
    <col min="6949" max="6949" width="9.5703125" bestFit="1" customWidth="1"/>
    <col min="6950" max="6950" width="10.28515625" bestFit="1" customWidth="1"/>
    <col min="6951" max="6951" width="9.7109375" bestFit="1" customWidth="1"/>
    <col min="7170" max="7170" width="33.7109375" customWidth="1"/>
    <col min="7171" max="7171" width="14.42578125" customWidth="1"/>
    <col min="7172" max="7172" width="9.85546875" bestFit="1" customWidth="1"/>
    <col min="7173" max="7173" width="10.5703125" bestFit="1" customWidth="1"/>
    <col min="7174" max="7174" width="11.28515625" bestFit="1" customWidth="1"/>
    <col min="7175" max="7179" width="9.5703125" bestFit="1" customWidth="1"/>
    <col min="7180" max="7180" width="10.42578125" bestFit="1" customWidth="1"/>
    <col min="7181" max="7181" width="9.5703125" bestFit="1" customWidth="1"/>
    <col min="7182" max="7182" width="10.28515625" bestFit="1" customWidth="1"/>
    <col min="7183" max="7183" width="9.7109375" bestFit="1" customWidth="1"/>
    <col min="7184" max="7191" width="9.5703125" bestFit="1" customWidth="1"/>
    <col min="7192" max="7192" width="10.42578125" bestFit="1" customWidth="1"/>
    <col min="7193" max="7193" width="9.5703125" bestFit="1" customWidth="1"/>
    <col min="7194" max="7194" width="10.28515625" bestFit="1" customWidth="1"/>
    <col min="7195" max="7195" width="9.7109375" bestFit="1" customWidth="1"/>
    <col min="7196" max="7203" width="9.5703125" bestFit="1" customWidth="1"/>
    <col min="7204" max="7204" width="10.42578125" bestFit="1" customWidth="1"/>
    <col min="7205" max="7205" width="9.5703125" bestFit="1" customWidth="1"/>
    <col min="7206" max="7206" width="10.28515625" bestFit="1" customWidth="1"/>
    <col min="7207" max="7207" width="9.7109375" bestFit="1" customWidth="1"/>
    <col min="7426" max="7426" width="33.7109375" customWidth="1"/>
    <col min="7427" max="7427" width="14.42578125" customWidth="1"/>
    <col min="7428" max="7428" width="9.85546875" bestFit="1" customWidth="1"/>
    <col min="7429" max="7429" width="10.5703125" bestFit="1" customWidth="1"/>
    <col min="7430" max="7430" width="11.28515625" bestFit="1" customWidth="1"/>
    <col min="7431" max="7435" width="9.5703125" bestFit="1" customWidth="1"/>
    <col min="7436" max="7436" width="10.42578125" bestFit="1" customWidth="1"/>
    <col min="7437" max="7437" width="9.5703125" bestFit="1" customWidth="1"/>
    <col min="7438" max="7438" width="10.28515625" bestFit="1" customWidth="1"/>
    <col min="7439" max="7439" width="9.7109375" bestFit="1" customWidth="1"/>
    <col min="7440" max="7447" width="9.5703125" bestFit="1" customWidth="1"/>
    <col min="7448" max="7448" width="10.42578125" bestFit="1" customWidth="1"/>
    <col min="7449" max="7449" width="9.5703125" bestFit="1" customWidth="1"/>
    <col min="7450" max="7450" width="10.28515625" bestFit="1" customWidth="1"/>
    <col min="7451" max="7451" width="9.7109375" bestFit="1" customWidth="1"/>
    <col min="7452" max="7459" width="9.5703125" bestFit="1" customWidth="1"/>
    <col min="7460" max="7460" width="10.42578125" bestFit="1" customWidth="1"/>
    <col min="7461" max="7461" width="9.5703125" bestFit="1" customWidth="1"/>
    <col min="7462" max="7462" width="10.28515625" bestFit="1" customWidth="1"/>
    <col min="7463" max="7463" width="9.7109375" bestFit="1" customWidth="1"/>
    <col min="7682" max="7682" width="33.7109375" customWidth="1"/>
    <col min="7683" max="7683" width="14.42578125" customWidth="1"/>
    <col min="7684" max="7684" width="9.85546875" bestFit="1" customWidth="1"/>
    <col min="7685" max="7685" width="10.5703125" bestFit="1" customWidth="1"/>
    <col min="7686" max="7686" width="11.28515625" bestFit="1" customWidth="1"/>
    <col min="7687" max="7691" width="9.5703125" bestFit="1" customWidth="1"/>
    <col min="7692" max="7692" width="10.42578125" bestFit="1" customWidth="1"/>
    <col min="7693" max="7693" width="9.5703125" bestFit="1" customWidth="1"/>
    <col min="7694" max="7694" width="10.28515625" bestFit="1" customWidth="1"/>
    <col min="7695" max="7695" width="9.7109375" bestFit="1" customWidth="1"/>
    <col min="7696" max="7703" width="9.5703125" bestFit="1" customWidth="1"/>
    <col min="7704" max="7704" width="10.42578125" bestFit="1" customWidth="1"/>
    <col min="7705" max="7705" width="9.5703125" bestFit="1" customWidth="1"/>
    <col min="7706" max="7706" width="10.28515625" bestFit="1" customWidth="1"/>
    <col min="7707" max="7707" width="9.7109375" bestFit="1" customWidth="1"/>
    <col min="7708" max="7715" width="9.5703125" bestFit="1" customWidth="1"/>
    <col min="7716" max="7716" width="10.42578125" bestFit="1" customWidth="1"/>
    <col min="7717" max="7717" width="9.5703125" bestFit="1" customWidth="1"/>
    <col min="7718" max="7718" width="10.28515625" bestFit="1" customWidth="1"/>
    <col min="7719" max="7719" width="9.7109375" bestFit="1" customWidth="1"/>
    <col min="7938" max="7938" width="33.7109375" customWidth="1"/>
    <col min="7939" max="7939" width="14.42578125" customWidth="1"/>
    <col min="7940" max="7940" width="9.85546875" bestFit="1" customWidth="1"/>
    <col min="7941" max="7941" width="10.5703125" bestFit="1" customWidth="1"/>
    <col min="7942" max="7942" width="11.28515625" bestFit="1" customWidth="1"/>
    <col min="7943" max="7947" width="9.5703125" bestFit="1" customWidth="1"/>
    <col min="7948" max="7948" width="10.42578125" bestFit="1" customWidth="1"/>
    <col min="7949" max="7949" width="9.5703125" bestFit="1" customWidth="1"/>
    <col min="7950" max="7950" width="10.28515625" bestFit="1" customWidth="1"/>
    <col min="7951" max="7951" width="9.7109375" bestFit="1" customWidth="1"/>
    <col min="7952" max="7959" width="9.5703125" bestFit="1" customWidth="1"/>
    <col min="7960" max="7960" width="10.42578125" bestFit="1" customWidth="1"/>
    <col min="7961" max="7961" width="9.5703125" bestFit="1" customWidth="1"/>
    <col min="7962" max="7962" width="10.28515625" bestFit="1" customWidth="1"/>
    <col min="7963" max="7963" width="9.7109375" bestFit="1" customWidth="1"/>
    <col min="7964" max="7971" width="9.5703125" bestFit="1" customWidth="1"/>
    <col min="7972" max="7972" width="10.42578125" bestFit="1" customWidth="1"/>
    <col min="7973" max="7973" width="9.5703125" bestFit="1" customWidth="1"/>
    <col min="7974" max="7974" width="10.28515625" bestFit="1" customWidth="1"/>
    <col min="7975" max="7975" width="9.7109375" bestFit="1" customWidth="1"/>
    <col min="8194" max="8194" width="33.7109375" customWidth="1"/>
    <col min="8195" max="8195" width="14.42578125" customWidth="1"/>
    <col min="8196" max="8196" width="9.85546875" bestFit="1" customWidth="1"/>
    <col min="8197" max="8197" width="10.5703125" bestFit="1" customWidth="1"/>
    <col min="8198" max="8198" width="11.28515625" bestFit="1" customWidth="1"/>
    <col min="8199" max="8203" width="9.5703125" bestFit="1" customWidth="1"/>
    <col min="8204" max="8204" width="10.42578125" bestFit="1" customWidth="1"/>
    <col min="8205" max="8205" width="9.5703125" bestFit="1" customWidth="1"/>
    <col min="8206" max="8206" width="10.28515625" bestFit="1" customWidth="1"/>
    <col min="8207" max="8207" width="9.7109375" bestFit="1" customWidth="1"/>
    <col min="8208" max="8215" width="9.5703125" bestFit="1" customWidth="1"/>
    <col min="8216" max="8216" width="10.42578125" bestFit="1" customWidth="1"/>
    <col min="8217" max="8217" width="9.5703125" bestFit="1" customWidth="1"/>
    <col min="8218" max="8218" width="10.28515625" bestFit="1" customWidth="1"/>
    <col min="8219" max="8219" width="9.7109375" bestFit="1" customWidth="1"/>
    <col min="8220" max="8227" width="9.5703125" bestFit="1" customWidth="1"/>
    <col min="8228" max="8228" width="10.42578125" bestFit="1" customWidth="1"/>
    <col min="8229" max="8229" width="9.5703125" bestFit="1" customWidth="1"/>
    <col min="8230" max="8230" width="10.28515625" bestFit="1" customWidth="1"/>
    <col min="8231" max="8231" width="9.7109375" bestFit="1" customWidth="1"/>
    <col min="8450" max="8450" width="33.7109375" customWidth="1"/>
    <col min="8451" max="8451" width="14.42578125" customWidth="1"/>
    <col min="8452" max="8452" width="9.85546875" bestFit="1" customWidth="1"/>
    <col min="8453" max="8453" width="10.5703125" bestFit="1" customWidth="1"/>
    <col min="8454" max="8454" width="11.28515625" bestFit="1" customWidth="1"/>
    <col min="8455" max="8459" width="9.5703125" bestFit="1" customWidth="1"/>
    <col min="8460" max="8460" width="10.42578125" bestFit="1" customWidth="1"/>
    <col min="8461" max="8461" width="9.5703125" bestFit="1" customWidth="1"/>
    <col min="8462" max="8462" width="10.28515625" bestFit="1" customWidth="1"/>
    <col min="8463" max="8463" width="9.7109375" bestFit="1" customWidth="1"/>
    <col min="8464" max="8471" width="9.5703125" bestFit="1" customWidth="1"/>
    <col min="8472" max="8472" width="10.42578125" bestFit="1" customWidth="1"/>
    <col min="8473" max="8473" width="9.5703125" bestFit="1" customWidth="1"/>
    <col min="8474" max="8474" width="10.28515625" bestFit="1" customWidth="1"/>
    <col min="8475" max="8475" width="9.7109375" bestFit="1" customWidth="1"/>
    <col min="8476" max="8483" width="9.5703125" bestFit="1" customWidth="1"/>
    <col min="8484" max="8484" width="10.42578125" bestFit="1" customWidth="1"/>
    <col min="8485" max="8485" width="9.5703125" bestFit="1" customWidth="1"/>
    <col min="8486" max="8486" width="10.28515625" bestFit="1" customWidth="1"/>
    <col min="8487" max="8487" width="9.7109375" bestFit="1" customWidth="1"/>
    <col min="8706" max="8706" width="33.7109375" customWidth="1"/>
    <col min="8707" max="8707" width="14.42578125" customWidth="1"/>
    <col min="8708" max="8708" width="9.85546875" bestFit="1" customWidth="1"/>
    <col min="8709" max="8709" width="10.5703125" bestFit="1" customWidth="1"/>
    <col min="8710" max="8710" width="11.28515625" bestFit="1" customWidth="1"/>
    <col min="8711" max="8715" width="9.5703125" bestFit="1" customWidth="1"/>
    <col min="8716" max="8716" width="10.42578125" bestFit="1" customWidth="1"/>
    <col min="8717" max="8717" width="9.5703125" bestFit="1" customWidth="1"/>
    <col min="8718" max="8718" width="10.28515625" bestFit="1" customWidth="1"/>
    <col min="8719" max="8719" width="9.7109375" bestFit="1" customWidth="1"/>
    <col min="8720" max="8727" width="9.5703125" bestFit="1" customWidth="1"/>
    <col min="8728" max="8728" width="10.42578125" bestFit="1" customWidth="1"/>
    <col min="8729" max="8729" width="9.5703125" bestFit="1" customWidth="1"/>
    <col min="8730" max="8730" width="10.28515625" bestFit="1" customWidth="1"/>
    <col min="8731" max="8731" width="9.7109375" bestFit="1" customWidth="1"/>
    <col min="8732" max="8739" width="9.5703125" bestFit="1" customWidth="1"/>
    <col min="8740" max="8740" width="10.42578125" bestFit="1" customWidth="1"/>
    <col min="8741" max="8741" width="9.5703125" bestFit="1" customWidth="1"/>
    <col min="8742" max="8742" width="10.28515625" bestFit="1" customWidth="1"/>
    <col min="8743" max="8743" width="9.7109375" bestFit="1" customWidth="1"/>
    <col min="8962" max="8962" width="33.7109375" customWidth="1"/>
    <col min="8963" max="8963" width="14.42578125" customWidth="1"/>
    <col min="8964" max="8964" width="9.85546875" bestFit="1" customWidth="1"/>
    <col min="8965" max="8965" width="10.5703125" bestFit="1" customWidth="1"/>
    <col min="8966" max="8966" width="11.28515625" bestFit="1" customWidth="1"/>
    <col min="8967" max="8971" width="9.5703125" bestFit="1" customWidth="1"/>
    <col min="8972" max="8972" width="10.42578125" bestFit="1" customWidth="1"/>
    <col min="8973" max="8973" width="9.5703125" bestFit="1" customWidth="1"/>
    <col min="8974" max="8974" width="10.28515625" bestFit="1" customWidth="1"/>
    <col min="8975" max="8975" width="9.7109375" bestFit="1" customWidth="1"/>
    <col min="8976" max="8983" width="9.5703125" bestFit="1" customWidth="1"/>
    <col min="8984" max="8984" width="10.42578125" bestFit="1" customWidth="1"/>
    <col min="8985" max="8985" width="9.5703125" bestFit="1" customWidth="1"/>
    <col min="8986" max="8986" width="10.28515625" bestFit="1" customWidth="1"/>
    <col min="8987" max="8987" width="9.7109375" bestFit="1" customWidth="1"/>
    <col min="8988" max="8995" width="9.5703125" bestFit="1" customWidth="1"/>
    <col min="8996" max="8996" width="10.42578125" bestFit="1" customWidth="1"/>
    <col min="8997" max="8997" width="9.5703125" bestFit="1" customWidth="1"/>
    <col min="8998" max="8998" width="10.28515625" bestFit="1" customWidth="1"/>
    <col min="8999" max="8999" width="9.7109375" bestFit="1" customWidth="1"/>
    <col min="9218" max="9218" width="33.7109375" customWidth="1"/>
    <col min="9219" max="9219" width="14.42578125" customWidth="1"/>
    <col min="9220" max="9220" width="9.85546875" bestFit="1" customWidth="1"/>
    <col min="9221" max="9221" width="10.5703125" bestFit="1" customWidth="1"/>
    <col min="9222" max="9222" width="11.28515625" bestFit="1" customWidth="1"/>
    <col min="9223" max="9227" width="9.5703125" bestFit="1" customWidth="1"/>
    <col min="9228" max="9228" width="10.42578125" bestFit="1" customWidth="1"/>
    <col min="9229" max="9229" width="9.5703125" bestFit="1" customWidth="1"/>
    <col min="9230" max="9230" width="10.28515625" bestFit="1" customWidth="1"/>
    <col min="9231" max="9231" width="9.7109375" bestFit="1" customWidth="1"/>
    <col min="9232" max="9239" width="9.5703125" bestFit="1" customWidth="1"/>
    <col min="9240" max="9240" width="10.42578125" bestFit="1" customWidth="1"/>
    <col min="9241" max="9241" width="9.5703125" bestFit="1" customWidth="1"/>
    <col min="9242" max="9242" width="10.28515625" bestFit="1" customWidth="1"/>
    <col min="9243" max="9243" width="9.7109375" bestFit="1" customWidth="1"/>
    <col min="9244" max="9251" width="9.5703125" bestFit="1" customWidth="1"/>
    <col min="9252" max="9252" width="10.42578125" bestFit="1" customWidth="1"/>
    <col min="9253" max="9253" width="9.5703125" bestFit="1" customWidth="1"/>
    <col min="9254" max="9254" width="10.28515625" bestFit="1" customWidth="1"/>
    <col min="9255" max="9255" width="9.7109375" bestFit="1" customWidth="1"/>
    <col min="9474" max="9474" width="33.7109375" customWidth="1"/>
    <col min="9475" max="9475" width="14.42578125" customWidth="1"/>
    <col min="9476" max="9476" width="9.85546875" bestFit="1" customWidth="1"/>
    <col min="9477" max="9477" width="10.5703125" bestFit="1" customWidth="1"/>
    <col min="9478" max="9478" width="11.28515625" bestFit="1" customWidth="1"/>
    <col min="9479" max="9483" width="9.5703125" bestFit="1" customWidth="1"/>
    <col min="9484" max="9484" width="10.42578125" bestFit="1" customWidth="1"/>
    <col min="9485" max="9485" width="9.5703125" bestFit="1" customWidth="1"/>
    <col min="9486" max="9486" width="10.28515625" bestFit="1" customWidth="1"/>
    <col min="9487" max="9487" width="9.7109375" bestFit="1" customWidth="1"/>
    <col min="9488" max="9495" width="9.5703125" bestFit="1" customWidth="1"/>
    <col min="9496" max="9496" width="10.42578125" bestFit="1" customWidth="1"/>
    <col min="9497" max="9497" width="9.5703125" bestFit="1" customWidth="1"/>
    <col min="9498" max="9498" width="10.28515625" bestFit="1" customWidth="1"/>
    <col min="9499" max="9499" width="9.7109375" bestFit="1" customWidth="1"/>
    <col min="9500" max="9507" width="9.5703125" bestFit="1" customWidth="1"/>
    <col min="9508" max="9508" width="10.42578125" bestFit="1" customWidth="1"/>
    <col min="9509" max="9509" width="9.5703125" bestFit="1" customWidth="1"/>
    <col min="9510" max="9510" width="10.28515625" bestFit="1" customWidth="1"/>
    <col min="9511" max="9511" width="9.7109375" bestFit="1" customWidth="1"/>
    <col min="9730" max="9730" width="33.7109375" customWidth="1"/>
    <col min="9731" max="9731" width="14.42578125" customWidth="1"/>
    <col min="9732" max="9732" width="9.85546875" bestFit="1" customWidth="1"/>
    <col min="9733" max="9733" width="10.5703125" bestFit="1" customWidth="1"/>
    <col min="9734" max="9734" width="11.28515625" bestFit="1" customWidth="1"/>
    <col min="9735" max="9739" width="9.5703125" bestFit="1" customWidth="1"/>
    <col min="9740" max="9740" width="10.42578125" bestFit="1" customWidth="1"/>
    <col min="9741" max="9741" width="9.5703125" bestFit="1" customWidth="1"/>
    <col min="9742" max="9742" width="10.28515625" bestFit="1" customWidth="1"/>
    <col min="9743" max="9743" width="9.7109375" bestFit="1" customWidth="1"/>
    <col min="9744" max="9751" width="9.5703125" bestFit="1" customWidth="1"/>
    <col min="9752" max="9752" width="10.42578125" bestFit="1" customWidth="1"/>
    <col min="9753" max="9753" width="9.5703125" bestFit="1" customWidth="1"/>
    <col min="9754" max="9754" width="10.28515625" bestFit="1" customWidth="1"/>
    <col min="9755" max="9755" width="9.7109375" bestFit="1" customWidth="1"/>
    <col min="9756" max="9763" width="9.5703125" bestFit="1" customWidth="1"/>
    <col min="9764" max="9764" width="10.42578125" bestFit="1" customWidth="1"/>
    <col min="9765" max="9765" width="9.5703125" bestFit="1" customWidth="1"/>
    <col min="9766" max="9766" width="10.28515625" bestFit="1" customWidth="1"/>
    <col min="9767" max="9767" width="9.7109375" bestFit="1" customWidth="1"/>
    <col min="9986" max="9986" width="33.7109375" customWidth="1"/>
    <col min="9987" max="9987" width="14.42578125" customWidth="1"/>
    <col min="9988" max="9988" width="9.85546875" bestFit="1" customWidth="1"/>
    <col min="9989" max="9989" width="10.5703125" bestFit="1" customWidth="1"/>
    <col min="9990" max="9990" width="11.28515625" bestFit="1" customWidth="1"/>
    <col min="9991" max="9995" width="9.5703125" bestFit="1" customWidth="1"/>
    <col min="9996" max="9996" width="10.42578125" bestFit="1" customWidth="1"/>
    <col min="9997" max="9997" width="9.5703125" bestFit="1" customWidth="1"/>
    <col min="9998" max="9998" width="10.28515625" bestFit="1" customWidth="1"/>
    <col min="9999" max="9999" width="9.7109375" bestFit="1" customWidth="1"/>
    <col min="10000" max="10007" width="9.5703125" bestFit="1" customWidth="1"/>
    <col min="10008" max="10008" width="10.42578125" bestFit="1" customWidth="1"/>
    <col min="10009" max="10009" width="9.5703125" bestFit="1" customWidth="1"/>
    <col min="10010" max="10010" width="10.28515625" bestFit="1" customWidth="1"/>
    <col min="10011" max="10011" width="9.7109375" bestFit="1" customWidth="1"/>
    <col min="10012" max="10019" width="9.5703125" bestFit="1" customWidth="1"/>
    <col min="10020" max="10020" width="10.42578125" bestFit="1" customWidth="1"/>
    <col min="10021" max="10021" width="9.5703125" bestFit="1" customWidth="1"/>
    <col min="10022" max="10022" width="10.28515625" bestFit="1" customWidth="1"/>
    <col min="10023" max="10023" width="9.7109375" bestFit="1" customWidth="1"/>
    <col min="10242" max="10242" width="33.7109375" customWidth="1"/>
    <col min="10243" max="10243" width="14.42578125" customWidth="1"/>
    <col min="10244" max="10244" width="9.85546875" bestFit="1" customWidth="1"/>
    <col min="10245" max="10245" width="10.5703125" bestFit="1" customWidth="1"/>
    <col min="10246" max="10246" width="11.28515625" bestFit="1" customWidth="1"/>
    <col min="10247" max="10251" width="9.5703125" bestFit="1" customWidth="1"/>
    <col min="10252" max="10252" width="10.42578125" bestFit="1" customWidth="1"/>
    <col min="10253" max="10253" width="9.5703125" bestFit="1" customWidth="1"/>
    <col min="10254" max="10254" width="10.28515625" bestFit="1" customWidth="1"/>
    <col min="10255" max="10255" width="9.7109375" bestFit="1" customWidth="1"/>
    <col min="10256" max="10263" width="9.5703125" bestFit="1" customWidth="1"/>
    <col min="10264" max="10264" width="10.42578125" bestFit="1" customWidth="1"/>
    <col min="10265" max="10265" width="9.5703125" bestFit="1" customWidth="1"/>
    <col min="10266" max="10266" width="10.28515625" bestFit="1" customWidth="1"/>
    <col min="10267" max="10267" width="9.7109375" bestFit="1" customWidth="1"/>
    <col min="10268" max="10275" width="9.5703125" bestFit="1" customWidth="1"/>
    <col min="10276" max="10276" width="10.42578125" bestFit="1" customWidth="1"/>
    <col min="10277" max="10277" width="9.5703125" bestFit="1" customWidth="1"/>
    <col min="10278" max="10278" width="10.28515625" bestFit="1" customWidth="1"/>
    <col min="10279" max="10279" width="9.7109375" bestFit="1" customWidth="1"/>
    <col min="10498" max="10498" width="33.7109375" customWidth="1"/>
    <col min="10499" max="10499" width="14.42578125" customWidth="1"/>
    <col min="10500" max="10500" width="9.85546875" bestFit="1" customWidth="1"/>
    <col min="10501" max="10501" width="10.5703125" bestFit="1" customWidth="1"/>
    <col min="10502" max="10502" width="11.28515625" bestFit="1" customWidth="1"/>
    <col min="10503" max="10507" width="9.5703125" bestFit="1" customWidth="1"/>
    <col min="10508" max="10508" width="10.42578125" bestFit="1" customWidth="1"/>
    <col min="10509" max="10509" width="9.5703125" bestFit="1" customWidth="1"/>
    <col min="10510" max="10510" width="10.28515625" bestFit="1" customWidth="1"/>
    <col min="10511" max="10511" width="9.7109375" bestFit="1" customWidth="1"/>
    <col min="10512" max="10519" width="9.5703125" bestFit="1" customWidth="1"/>
    <col min="10520" max="10520" width="10.42578125" bestFit="1" customWidth="1"/>
    <col min="10521" max="10521" width="9.5703125" bestFit="1" customWidth="1"/>
    <col min="10522" max="10522" width="10.28515625" bestFit="1" customWidth="1"/>
    <col min="10523" max="10523" width="9.7109375" bestFit="1" customWidth="1"/>
    <col min="10524" max="10531" width="9.5703125" bestFit="1" customWidth="1"/>
    <col min="10532" max="10532" width="10.42578125" bestFit="1" customWidth="1"/>
    <col min="10533" max="10533" width="9.5703125" bestFit="1" customWidth="1"/>
    <col min="10534" max="10534" width="10.28515625" bestFit="1" customWidth="1"/>
    <col min="10535" max="10535" width="9.7109375" bestFit="1" customWidth="1"/>
    <col min="10754" max="10754" width="33.7109375" customWidth="1"/>
    <col min="10755" max="10755" width="14.42578125" customWidth="1"/>
    <col min="10756" max="10756" width="9.85546875" bestFit="1" customWidth="1"/>
    <col min="10757" max="10757" width="10.5703125" bestFit="1" customWidth="1"/>
    <col min="10758" max="10758" width="11.28515625" bestFit="1" customWidth="1"/>
    <col min="10759" max="10763" width="9.5703125" bestFit="1" customWidth="1"/>
    <col min="10764" max="10764" width="10.42578125" bestFit="1" customWidth="1"/>
    <col min="10765" max="10765" width="9.5703125" bestFit="1" customWidth="1"/>
    <col min="10766" max="10766" width="10.28515625" bestFit="1" customWidth="1"/>
    <col min="10767" max="10767" width="9.7109375" bestFit="1" customWidth="1"/>
    <col min="10768" max="10775" width="9.5703125" bestFit="1" customWidth="1"/>
    <col min="10776" max="10776" width="10.42578125" bestFit="1" customWidth="1"/>
    <col min="10777" max="10777" width="9.5703125" bestFit="1" customWidth="1"/>
    <col min="10778" max="10778" width="10.28515625" bestFit="1" customWidth="1"/>
    <col min="10779" max="10779" width="9.7109375" bestFit="1" customWidth="1"/>
    <col min="10780" max="10787" width="9.5703125" bestFit="1" customWidth="1"/>
    <col min="10788" max="10788" width="10.42578125" bestFit="1" customWidth="1"/>
    <col min="10789" max="10789" width="9.5703125" bestFit="1" customWidth="1"/>
    <col min="10790" max="10790" width="10.28515625" bestFit="1" customWidth="1"/>
    <col min="10791" max="10791" width="9.7109375" bestFit="1" customWidth="1"/>
    <col min="11010" max="11010" width="33.7109375" customWidth="1"/>
    <col min="11011" max="11011" width="14.42578125" customWidth="1"/>
    <col min="11012" max="11012" width="9.85546875" bestFit="1" customWidth="1"/>
    <col min="11013" max="11013" width="10.5703125" bestFit="1" customWidth="1"/>
    <col min="11014" max="11014" width="11.28515625" bestFit="1" customWidth="1"/>
    <col min="11015" max="11019" width="9.5703125" bestFit="1" customWidth="1"/>
    <col min="11020" max="11020" width="10.42578125" bestFit="1" customWidth="1"/>
    <col min="11021" max="11021" width="9.5703125" bestFit="1" customWidth="1"/>
    <col min="11022" max="11022" width="10.28515625" bestFit="1" customWidth="1"/>
    <col min="11023" max="11023" width="9.7109375" bestFit="1" customWidth="1"/>
    <col min="11024" max="11031" width="9.5703125" bestFit="1" customWidth="1"/>
    <col min="11032" max="11032" width="10.42578125" bestFit="1" customWidth="1"/>
    <col min="11033" max="11033" width="9.5703125" bestFit="1" customWidth="1"/>
    <col min="11034" max="11034" width="10.28515625" bestFit="1" customWidth="1"/>
    <col min="11035" max="11035" width="9.7109375" bestFit="1" customWidth="1"/>
    <col min="11036" max="11043" width="9.5703125" bestFit="1" customWidth="1"/>
    <col min="11044" max="11044" width="10.42578125" bestFit="1" customWidth="1"/>
    <col min="11045" max="11045" width="9.5703125" bestFit="1" customWidth="1"/>
    <col min="11046" max="11046" width="10.28515625" bestFit="1" customWidth="1"/>
    <col min="11047" max="11047" width="9.7109375" bestFit="1" customWidth="1"/>
    <col min="11266" max="11266" width="33.7109375" customWidth="1"/>
    <col min="11267" max="11267" width="14.42578125" customWidth="1"/>
    <col min="11268" max="11268" width="9.85546875" bestFit="1" customWidth="1"/>
    <col min="11269" max="11269" width="10.5703125" bestFit="1" customWidth="1"/>
    <col min="11270" max="11270" width="11.28515625" bestFit="1" customWidth="1"/>
    <col min="11271" max="11275" width="9.5703125" bestFit="1" customWidth="1"/>
    <col min="11276" max="11276" width="10.42578125" bestFit="1" customWidth="1"/>
    <col min="11277" max="11277" width="9.5703125" bestFit="1" customWidth="1"/>
    <col min="11278" max="11278" width="10.28515625" bestFit="1" customWidth="1"/>
    <col min="11279" max="11279" width="9.7109375" bestFit="1" customWidth="1"/>
    <col min="11280" max="11287" width="9.5703125" bestFit="1" customWidth="1"/>
    <col min="11288" max="11288" width="10.42578125" bestFit="1" customWidth="1"/>
    <col min="11289" max="11289" width="9.5703125" bestFit="1" customWidth="1"/>
    <col min="11290" max="11290" width="10.28515625" bestFit="1" customWidth="1"/>
    <col min="11291" max="11291" width="9.7109375" bestFit="1" customWidth="1"/>
    <col min="11292" max="11299" width="9.5703125" bestFit="1" customWidth="1"/>
    <col min="11300" max="11300" width="10.42578125" bestFit="1" customWidth="1"/>
    <col min="11301" max="11301" width="9.5703125" bestFit="1" customWidth="1"/>
    <col min="11302" max="11302" width="10.28515625" bestFit="1" customWidth="1"/>
    <col min="11303" max="11303" width="9.7109375" bestFit="1" customWidth="1"/>
    <col min="11522" max="11522" width="33.7109375" customWidth="1"/>
    <col min="11523" max="11523" width="14.42578125" customWidth="1"/>
    <col min="11524" max="11524" width="9.85546875" bestFit="1" customWidth="1"/>
    <col min="11525" max="11525" width="10.5703125" bestFit="1" customWidth="1"/>
    <col min="11526" max="11526" width="11.28515625" bestFit="1" customWidth="1"/>
    <col min="11527" max="11531" width="9.5703125" bestFit="1" customWidth="1"/>
    <col min="11532" max="11532" width="10.42578125" bestFit="1" customWidth="1"/>
    <col min="11533" max="11533" width="9.5703125" bestFit="1" customWidth="1"/>
    <col min="11534" max="11534" width="10.28515625" bestFit="1" customWidth="1"/>
    <col min="11535" max="11535" width="9.7109375" bestFit="1" customWidth="1"/>
    <col min="11536" max="11543" width="9.5703125" bestFit="1" customWidth="1"/>
    <col min="11544" max="11544" width="10.42578125" bestFit="1" customWidth="1"/>
    <col min="11545" max="11545" width="9.5703125" bestFit="1" customWidth="1"/>
    <col min="11546" max="11546" width="10.28515625" bestFit="1" customWidth="1"/>
    <col min="11547" max="11547" width="9.7109375" bestFit="1" customWidth="1"/>
    <col min="11548" max="11555" width="9.5703125" bestFit="1" customWidth="1"/>
    <col min="11556" max="11556" width="10.42578125" bestFit="1" customWidth="1"/>
    <col min="11557" max="11557" width="9.5703125" bestFit="1" customWidth="1"/>
    <col min="11558" max="11558" width="10.28515625" bestFit="1" customWidth="1"/>
    <col min="11559" max="11559" width="9.7109375" bestFit="1" customWidth="1"/>
    <col min="11778" max="11778" width="33.7109375" customWidth="1"/>
    <col min="11779" max="11779" width="14.42578125" customWidth="1"/>
    <col min="11780" max="11780" width="9.85546875" bestFit="1" customWidth="1"/>
    <col min="11781" max="11781" width="10.5703125" bestFit="1" customWidth="1"/>
    <col min="11782" max="11782" width="11.28515625" bestFit="1" customWidth="1"/>
    <col min="11783" max="11787" width="9.5703125" bestFit="1" customWidth="1"/>
    <col min="11788" max="11788" width="10.42578125" bestFit="1" customWidth="1"/>
    <col min="11789" max="11789" width="9.5703125" bestFit="1" customWidth="1"/>
    <col min="11790" max="11790" width="10.28515625" bestFit="1" customWidth="1"/>
    <col min="11791" max="11791" width="9.7109375" bestFit="1" customWidth="1"/>
    <col min="11792" max="11799" width="9.5703125" bestFit="1" customWidth="1"/>
    <col min="11800" max="11800" width="10.42578125" bestFit="1" customWidth="1"/>
    <col min="11801" max="11801" width="9.5703125" bestFit="1" customWidth="1"/>
    <col min="11802" max="11802" width="10.28515625" bestFit="1" customWidth="1"/>
    <col min="11803" max="11803" width="9.7109375" bestFit="1" customWidth="1"/>
    <col min="11804" max="11811" width="9.5703125" bestFit="1" customWidth="1"/>
    <col min="11812" max="11812" width="10.42578125" bestFit="1" customWidth="1"/>
    <col min="11813" max="11813" width="9.5703125" bestFit="1" customWidth="1"/>
    <col min="11814" max="11814" width="10.28515625" bestFit="1" customWidth="1"/>
    <col min="11815" max="11815" width="9.7109375" bestFit="1" customWidth="1"/>
    <col min="12034" max="12034" width="33.7109375" customWidth="1"/>
    <col min="12035" max="12035" width="14.42578125" customWidth="1"/>
    <col min="12036" max="12036" width="9.85546875" bestFit="1" customWidth="1"/>
    <col min="12037" max="12037" width="10.5703125" bestFit="1" customWidth="1"/>
    <col min="12038" max="12038" width="11.28515625" bestFit="1" customWidth="1"/>
    <col min="12039" max="12043" width="9.5703125" bestFit="1" customWidth="1"/>
    <col min="12044" max="12044" width="10.42578125" bestFit="1" customWidth="1"/>
    <col min="12045" max="12045" width="9.5703125" bestFit="1" customWidth="1"/>
    <col min="12046" max="12046" width="10.28515625" bestFit="1" customWidth="1"/>
    <col min="12047" max="12047" width="9.7109375" bestFit="1" customWidth="1"/>
    <col min="12048" max="12055" width="9.5703125" bestFit="1" customWidth="1"/>
    <col min="12056" max="12056" width="10.42578125" bestFit="1" customWidth="1"/>
    <col min="12057" max="12057" width="9.5703125" bestFit="1" customWidth="1"/>
    <col min="12058" max="12058" width="10.28515625" bestFit="1" customWidth="1"/>
    <col min="12059" max="12059" width="9.7109375" bestFit="1" customWidth="1"/>
    <col min="12060" max="12067" width="9.5703125" bestFit="1" customWidth="1"/>
    <col min="12068" max="12068" width="10.42578125" bestFit="1" customWidth="1"/>
    <col min="12069" max="12069" width="9.5703125" bestFit="1" customWidth="1"/>
    <col min="12070" max="12070" width="10.28515625" bestFit="1" customWidth="1"/>
    <col min="12071" max="12071" width="9.7109375" bestFit="1" customWidth="1"/>
    <col min="12290" max="12290" width="33.7109375" customWidth="1"/>
    <col min="12291" max="12291" width="14.42578125" customWidth="1"/>
    <col min="12292" max="12292" width="9.85546875" bestFit="1" customWidth="1"/>
    <col min="12293" max="12293" width="10.5703125" bestFit="1" customWidth="1"/>
    <col min="12294" max="12294" width="11.28515625" bestFit="1" customWidth="1"/>
    <col min="12295" max="12299" width="9.5703125" bestFit="1" customWidth="1"/>
    <col min="12300" max="12300" width="10.42578125" bestFit="1" customWidth="1"/>
    <col min="12301" max="12301" width="9.5703125" bestFit="1" customWidth="1"/>
    <col min="12302" max="12302" width="10.28515625" bestFit="1" customWidth="1"/>
    <col min="12303" max="12303" width="9.7109375" bestFit="1" customWidth="1"/>
    <col min="12304" max="12311" width="9.5703125" bestFit="1" customWidth="1"/>
    <col min="12312" max="12312" width="10.42578125" bestFit="1" customWidth="1"/>
    <col min="12313" max="12313" width="9.5703125" bestFit="1" customWidth="1"/>
    <col min="12314" max="12314" width="10.28515625" bestFit="1" customWidth="1"/>
    <col min="12315" max="12315" width="9.7109375" bestFit="1" customWidth="1"/>
    <col min="12316" max="12323" width="9.5703125" bestFit="1" customWidth="1"/>
    <col min="12324" max="12324" width="10.42578125" bestFit="1" customWidth="1"/>
    <col min="12325" max="12325" width="9.5703125" bestFit="1" customWidth="1"/>
    <col min="12326" max="12326" width="10.28515625" bestFit="1" customWidth="1"/>
    <col min="12327" max="12327" width="9.7109375" bestFit="1" customWidth="1"/>
    <col min="12546" max="12546" width="33.7109375" customWidth="1"/>
    <col min="12547" max="12547" width="14.42578125" customWidth="1"/>
    <col min="12548" max="12548" width="9.85546875" bestFit="1" customWidth="1"/>
    <col min="12549" max="12549" width="10.5703125" bestFit="1" customWidth="1"/>
    <col min="12550" max="12550" width="11.28515625" bestFit="1" customWidth="1"/>
    <col min="12551" max="12555" width="9.5703125" bestFit="1" customWidth="1"/>
    <col min="12556" max="12556" width="10.42578125" bestFit="1" customWidth="1"/>
    <col min="12557" max="12557" width="9.5703125" bestFit="1" customWidth="1"/>
    <col min="12558" max="12558" width="10.28515625" bestFit="1" customWidth="1"/>
    <col min="12559" max="12559" width="9.7109375" bestFit="1" customWidth="1"/>
    <col min="12560" max="12567" width="9.5703125" bestFit="1" customWidth="1"/>
    <col min="12568" max="12568" width="10.42578125" bestFit="1" customWidth="1"/>
    <col min="12569" max="12569" width="9.5703125" bestFit="1" customWidth="1"/>
    <col min="12570" max="12570" width="10.28515625" bestFit="1" customWidth="1"/>
    <col min="12571" max="12571" width="9.7109375" bestFit="1" customWidth="1"/>
    <col min="12572" max="12579" width="9.5703125" bestFit="1" customWidth="1"/>
    <col min="12580" max="12580" width="10.42578125" bestFit="1" customWidth="1"/>
    <col min="12581" max="12581" width="9.5703125" bestFit="1" customWidth="1"/>
    <col min="12582" max="12582" width="10.28515625" bestFit="1" customWidth="1"/>
    <col min="12583" max="12583" width="9.7109375" bestFit="1" customWidth="1"/>
    <col min="12802" max="12802" width="33.7109375" customWidth="1"/>
    <col min="12803" max="12803" width="14.42578125" customWidth="1"/>
    <col min="12804" max="12804" width="9.85546875" bestFit="1" customWidth="1"/>
    <col min="12805" max="12805" width="10.5703125" bestFit="1" customWidth="1"/>
    <col min="12806" max="12806" width="11.28515625" bestFit="1" customWidth="1"/>
    <col min="12807" max="12811" width="9.5703125" bestFit="1" customWidth="1"/>
    <col min="12812" max="12812" width="10.42578125" bestFit="1" customWidth="1"/>
    <col min="12813" max="12813" width="9.5703125" bestFit="1" customWidth="1"/>
    <col min="12814" max="12814" width="10.28515625" bestFit="1" customWidth="1"/>
    <col min="12815" max="12815" width="9.7109375" bestFit="1" customWidth="1"/>
    <col min="12816" max="12823" width="9.5703125" bestFit="1" customWidth="1"/>
    <col min="12824" max="12824" width="10.42578125" bestFit="1" customWidth="1"/>
    <col min="12825" max="12825" width="9.5703125" bestFit="1" customWidth="1"/>
    <col min="12826" max="12826" width="10.28515625" bestFit="1" customWidth="1"/>
    <col min="12827" max="12827" width="9.7109375" bestFit="1" customWidth="1"/>
    <col min="12828" max="12835" width="9.5703125" bestFit="1" customWidth="1"/>
    <col min="12836" max="12836" width="10.42578125" bestFit="1" customWidth="1"/>
    <col min="12837" max="12837" width="9.5703125" bestFit="1" customWidth="1"/>
    <col min="12838" max="12838" width="10.28515625" bestFit="1" customWidth="1"/>
    <col min="12839" max="12839" width="9.7109375" bestFit="1" customWidth="1"/>
    <col min="13058" max="13058" width="33.7109375" customWidth="1"/>
    <col min="13059" max="13059" width="14.42578125" customWidth="1"/>
    <col min="13060" max="13060" width="9.85546875" bestFit="1" customWidth="1"/>
    <col min="13061" max="13061" width="10.5703125" bestFit="1" customWidth="1"/>
    <col min="13062" max="13062" width="11.28515625" bestFit="1" customWidth="1"/>
    <col min="13063" max="13067" width="9.5703125" bestFit="1" customWidth="1"/>
    <col min="13068" max="13068" width="10.42578125" bestFit="1" customWidth="1"/>
    <col min="13069" max="13069" width="9.5703125" bestFit="1" customWidth="1"/>
    <col min="13070" max="13070" width="10.28515625" bestFit="1" customWidth="1"/>
    <col min="13071" max="13071" width="9.7109375" bestFit="1" customWidth="1"/>
    <col min="13072" max="13079" width="9.5703125" bestFit="1" customWidth="1"/>
    <col min="13080" max="13080" width="10.42578125" bestFit="1" customWidth="1"/>
    <col min="13081" max="13081" width="9.5703125" bestFit="1" customWidth="1"/>
    <col min="13082" max="13082" width="10.28515625" bestFit="1" customWidth="1"/>
    <col min="13083" max="13083" width="9.7109375" bestFit="1" customWidth="1"/>
    <col min="13084" max="13091" width="9.5703125" bestFit="1" customWidth="1"/>
    <col min="13092" max="13092" width="10.42578125" bestFit="1" customWidth="1"/>
    <col min="13093" max="13093" width="9.5703125" bestFit="1" customWidth="1"/>
    <col min="13094" max="13094" width="10.28515625" bestFit="1" customWidth="1"/>
    <col min="13095" max="13095" width="9.7109375" bestFit="1" customWidth="1"/>
    <col min="13314" max="13314" width="33.7109375" customWidth="1"/>
    <col min="13315" max="13315" width="14.42578125" customWidth="1"/>
    <col min="13316" max="13316" width="9.85546875" bestFit="1" customWidth="1"/>
    <col min="13317" max="13317" width="10.5703125" bestFit="1" customWidth="1"/>
    <col min="13318" max="13318" width="11.28515625" bestFit="1" customWidth="1"/>
    <col min="13319" max="13323" width="9.5703125" bestFit="1" customWidth="1"/>
    <col min="13324" max="13324" width="10.42578125" bestFit="1" customWidth="1"/>
    <col min="13325" max="13325" width="9.5703125" bestFit="1" customWidth="1"/>
    <col min="13326" max="13326" width="10.28515625" bestFit="1" customWidth="1"/>
    <col min="13327" max="13327" width="9.7109375" bestFit="1" customWidth="1"/>
    <col min="13328" max="13335" width="9.5703125" bestFit="1" customWidth="1"/>
    <col min="13336" max="13336" width="10.42578125" bestFit="1" customWidth="1"/>
    <col min="13337" max="13337" width="9.5703125" bestFit="1" customWidth="1"/>
    <col min="13338" max="13338" width="10.28515625" bestFit="1" customWidth="1"/>
    <col min="13339" max="13339" width="9.7109375" bestFit="1" customWidth="1"/>
    <col min="13340" max="13347" width="9.5703125" bestFit="1" customWidth="1"/>
    <col min="13348" max="13348" width="10.42578125" bestFit="1" customWidth="1"/>
    <col min="13349" max="13349" width="9.5703125" bestFit="1" customWidth="1"/>
    <col min="13350" max="13350" width="10.28515625" bestFit="1" customWidth="1"/>
    <col min="13351" max="13351" width="9.7109375" bestFit="1" customWidth="1"/>
    <col min="13570" max="13570" width="33.7109375" customWidth="1"/>
    <col min="13571" max="13571" width="14.42578125" customWidth="1"/>
    <col min="13572" max="13572" width="9.85546875" bestFit="1" customWidth="1"/>
    <col min="13573" max="13573" width="10.5703125" bestFit="1" customWidth="1"/>
    <col min="13574" max="13574" width="11.28515625" bestFit="1" customWidth="1"/>
    <col min="13575" max="13579" width="9.5703125" bestFit="1" customWidth="1"/>
    <col min="13580" max="13580" width="10.42578125" bestFit="1" customWidth="1"/>
    <col min="13581" max="13581" width="9.5703125" bestFit="1" customWidth="1"/>
    <col min="13582" max="13582" width="10.28515625" bestFit="1" customWidth="1"/>
    <col min="13583" max="13583" width="9.7109375" bestFit="1" customWidth="1"/>
    <col min="13584" max="13591" width="9.5703125" bestFit="1" customWidth="1"/>
    <col min="13592" max="13592" width="10.42578125" bestFit="1" customWidth="1"/>
    <col min="13593" max="13593" width="9.5703125" bestFit="1" customWidth="1"/>
    <col min="13594" max="13594" width="10.28515625" bestFit="1" customWidth="1"/>
    <col min="13595" max="13595" width="9.7109375" bestFit="1" customWidth="1"/>
    <col min="13596" max="13603" width="9.5703125" bestFit="1" customWidth="1"/>
    <col min="13604" max="13604" width="10.42578125" bestFit="1" customWidth="1"/>
    <col min="13605" max="13605" width="9.5703125" bestFit="1" customWidth="1"/>
    <col min="13606" max="13606" width="10.28515625" bestFit="1" customWidth="1"/>
    <col min="13607" max="13607" width="9.7109375" bestFit="1" customWidth="1"/>
    <col min="13826" max="13826" width="33.7109375" customWidth="1"/>
    <col min="13827" max="13827" width="14.42578125" customWidth="1"/>
    <col min="13828" max="13828" width="9.85546875" bestFit="1" customWidth="1"/>
    <col min="13829" max="13829" width="10.5703125" bestFit="1" customWidth="1"/>
    <col min="13830" max="13830" width="11.28515625" bestFit="1" customWidth="1"/>
    <col min="13831" max="13835" width="9.5703125" bestFit="1" customWidth="1"/>
    <col min="13836" max="13836" width="10.42578125" bestFit="1" customWidth="1"/>
    <col min="13837" max="13837" width="9.5703125" bestFit="1" customWidth="1"/>
    <col min="13838" max="13838" width="10.28515625" bestFit="1" customWidth="1"/>
    <col min="13839" max="13839" width="9.7109375" bestFit="1" customWidth="1"/>
    <col min="13840" max="13847" width="9.5703125" bestFit="1" customWidth="1"/>
    <col min="13848" max="13848" width="10.42578125" bestFit="1" customWidth="1"/>
    <col min="13849" max="13849" width="9.5703125" bestFit="1" customWidth="1"/>
    <col min="13850" max="13850" width="10.28515625" bestFit="1" customWidth="1"/>
    <col min="13851" max="13851" width="9.7109375" bestFit="1" customWidth="1"/>
    <col min="13852" max="13859" width="9.5703125" bestFit="1" customWidth="1"/>
    <col min="13860" max="13860" width="10.42578125" bestFit="1" customWidth="1"/>
    <col min="13861" max="13861" width="9.5703125" bestFit="1" customWidth="1"/>
    <col min="13862" max="13862" width="10.28515625" bestFit="1" customWidth="1"/>
    <col min="13863" max="13863" width="9.7109375" bestFit="1" customWidth="1"/>
    <col min="14082" max="14082" width="33.7109375" customWidth="1"/>
    <col min="14083" max="14083" width="14.42578125" customWidth="1"/>
    <col min="14084" max="14084" width="9.85546875" bestFit="1" customWidth="1"/>
    <col min="14085" max="14085" width="10.5703125" bestFit="1" customWidth="1"/>
    <col min="14086" max="14086" width="11.28515625" bestFit="1" customWidth="1"/>
    <col min="14087" max="14091" width="9.5703125" bestFit="1" customWidth="1"/>
    <col min="14092" max="14092" width="10.42578125" bestFit="1" customWidth="1"/>
    <col min="14093" max="14093" width="9.5703125" bestFit="1" customWidth="1"/>
    <col min="14094" max="14094" width="10.28515625" bestFit="1" customWidth="1"/>
    <col min="14095" max="14095" width="9.7109375" bestFit="1" customWidth="1"/>
    <col min="14096" max="14103" width="9.5703125" bestFit="1" customWidth="1"/>
    <col min="14104" max="14104" width="10.42578125" bestFit="1" customWidth="1"/>
    <col min="14105" max="14105" width="9.5703125" bestFit="1" customWidth="1"/>
    <col min="14106" max="14106" width="10.28515625" bestFit="1" customWidth="1"/>
    <col min="14107" max="14107" width="9.7109375" bestFit="1" customWidth="1"/>
    <col min="14108" max="14115" width="9.5703125" bestFit="1" customWidth="1"/>
    <col min="14116" max="14116" width="10.42578125" bestFit="1" customWidth="1"/>
    <col min="14117" max="14117" width="9.5703125" bestFit="1" customWidth="1"/>
    <col min="14118" max="14118" width="10.28515625" bestFit="1" customWidth="1"/>
    <col min="14119" max="14119" width="9.7109375" bestFit="1" customWidth="1"/>
    <col min="14338" max="14338" width="33.7109375" customWidth="1"/>
    <col min="14339" max="14339" width="14.42578125" customWidth="1"/>
    <col min="14340" max="14340" width="9.85546875" bestFit="1" customWidth="1"/>
    <col min="14341" max="14341" width="10.5703125" bestFit="1" customWidth="1"/>
    <col min="14342" max="14342" width="11.28515625" bestFit="1" customWidth="1"/>
    <col min="14343" max="14347" width="9.5703125" bestFit="1" customWidth="1"/>
    <col min="14348" max="14348" width="10.42578125" bestFit="1" customWidth="1"/>
    <col min="14349" max="14349" width="9.5703125" bestFit="1" customWidth="1"/>
    <col min="14350" max="14350" width="10.28515625" bestFit="1" customWidth="1"/>
    <col min="14351" max="14351" width="9.7109375" bestFit="1" customWidth="1"/>
    <col min="14352" max="14359" width="9.5703125" bestFit="1" customWidth="1"/>
    <col min="14360" max="14360" width="10.42578125" bestFit="1" customWidth="1"/>
    <col min="14361" max="14361" width="9.5703125" bestFit="1" customWidth="1"/>
    <col min="14362" max="14362" width="10.28515625" bestFit="1" customWidth="1"/>
    <col min="14363" max="14363" width="9.7109375" bestFit="1" customWidth="1"/>
    <col min="14364" max="14371" width="9.5703125" bestFit="1" customWidth="1"/>
    <col min="14372" max="14372" width="10.42578125" bestFit="1" customWidth="1"/>
    <col min="14373" max="14373" width="9.5703125" bestFit="1" customWidth="1"/>
    <col min="14374" max="14374" width="10.28515625" bestFit="1" customWidth="1"/>
    <col min="14375" max="14375" width="9.7109375" bestFit="1" customWidth="1"/>
    <col min="14594" max="14594" width="33.7109375" customWidth="1"/>
    <col min="14595" max="14595" width="14.42578125" customWidth="1"/>
    <col min="14596" max="14596" width="9.85546875" bestFit="1" customWidth="1"/>
    <col min="14597" max="14597" width="10.5703125" bestFit="1" customWidth="1"/>
    <col min="14598" max="14598" width="11.28515625" bestFit="1" customWidth="1"/>
    <col min="14599" max="14603" width="9.5703125" bestFit="1" customWidth="1"/>
    <col min="14604" max="14604" width="10.42578125" bestFit="1" customWidth="1"/>
    <col min="14605" max="14605" width="9.5703125" bestFit="1" customWidth="1"/>
    <col min="14606" max="14606" width="10.28515625" bestFit="1" customWidth="1"/>
    <col min="14607" max="14607" width="9.7109375" bestFit="1" customWidth="1"/>
    <col min="14608" max="14615" width="9.5703125" bestFit="1" customWidth="1"/>
    <col min="14616" max="14616" width="10.42578125" bestFit="1" customWidth="1"/>
    <col min="14617" max="14617" width="9.5703125" bestFit="1" customWidth="1"/>
    <col min="14618" max="14618" width="10.28515625" bestFit="1" customWidth="1"/>
    <col min="14619" max="14619" width="9.7109375" bestFit="1" customWidth="1"/>
    <col min="14620" max="14627" width="9.5703125" bestFit="1" customWidth="1"/>
    <col min="14628" max="14628" width="10.42578125" bestFit="1" customWidth="1"/>
    <col min="14629" max="14629" width="9.5703125" bestFit="1" customWidth="1"/>
    <col min="14630" max="14630" width="10.28515625" bestFit="1" customWidth="1"/>
    <col min="14631" max="14631" width="9.7109375" bestFit="1" customWidth="1"/>
    <col min="14850" max="14850" width="33.7109375" customWidth="1"/>
    <col min="14851" max="14851" width="14.42578125" customWidth="1"/>
    <col min="14852" max="14852" width="9.85546875" bestFit="1" customWidth="1"/>
    <col min="14853" max="14853" width="10.5703125" bestFit="1" customWidth="1"/>
    <col min="14854" max="14854" width="11.28515625" bestFit="1" customWidth="1"/>
    <col min="14855" max="14859" width="9.5703125" bestFit="1" customWidth="1"/>
    <col min="14860" max="14860" width="10.42578125" bestFit="1" customWidth="1"/>
    <col min="14861" max="14861" width="9.5703125" bestFit="1" customWidth="1"/>
    <col min="14862" max="14862" width="10.28515625" bestFit="1" customWidth="1"/>
    <col min="14863" max="14863" width="9.7109375" bestFit="1" customWidth="1"/>
    <col min="14864" max="14871" width="9.5703125" bestFit="1" customWidth="1"/>
    <col min="14872" max="14872" width="10.42578125" bestFit="1" customWidth="1"/>
    <col min="14873" max="14873" width="9.5703125" bestFit="1" customWidth="1"/>
    <col min="14874" max="14874" width="10.28515625" bestFit="1" customWidth="1"/>
    <col min="14875" max="14875" width="9.7109375" bestFit="1" customWidth="1"/>
    <col min="14876" max="14883" width="9.5703125" bestFit="1" customWidth="1"/>
    <col min="14884" max="14884" width="10.42578125" bestFit="1" customWidth="1"/>
    <col min="14885" max="14885" width="9.5703125" bestFit="1" customWidth="1"/>
    <col min="14886" max="14886" width="10.28515625" bestFit="1" customWidth="1"/>
    <col min="14887" max="14887" width="9.7109375" bestFit="1" customWidth="1"/>
    <col min="15106" max="15106" width="33.7109375" customWidth="1"/>
    <col min="15107" max="15107" width="14.42578125" customWidth="1"/>
    <col min="15108" max="15108" width="9.85546875" bestFit="1" customWidth="1"/>
    <col min="15109" max="15109" width="10.5703125" bestFit="1" customWidth="1"/>
    <col min="15110" max="15110" width="11.28515625" bestFit="1" customWidth="1"/>
    <col min="15111" max="15115" width="9.5703125" bestFit="1" customWidth="1"/>
    <col min="15116" max="15116" width="10.42578125" bestFit="1" customWidth="1"/>
    <col min="15117" max="15117" width="9.5703125" bestFit="1" customWidth="1"/>
    <col min="15118" max="15118" width="10.28515625" bestFit="1" customWidth="1"/>
    <col min="15119" max="15119" width="9.7109375" bestFit="1" customWidth="1"/>
    <col min="15120" max="15127" width="9.5703125" bestFit="1" customWidth="1"/>
    <col min="15128" max="15128" width="10.42578125" bestFit="1" customWidth="1"/>
    <col min="15129" max="15129" width="9.5703125" bestFit="1" customWidth="1"/>
    <col min="15130" max="15130" width="10.28515625" bestFit="1" customWidth="1"/>
    <col min="15131" max="15131" width="9.7109375" bestFit="1" customWidth="1"/>
    <col min="15132" max="15139" width="9.5703125" bestFit="1" customWidth="1"/>
    <col min="15140" max="15140" width="10.42578125" bestFit="1" customWidth="1"/>
    <col min="15141" max="15141" width="9.5703125" bestFit="1" customWidth="1"/>
    <col min="15142" max="15142" width="10.28515625" bestFit="1" customWidth="1"/>
    <col min="15143" max="15143" width="9.7109375" bestFit="1" customWidth="1"/>
    <col min="15362" max="15362" width="33.7109375" customWidth="1"/>
    <col min="15363" max="15363" width="14.42578125" customWidth="1"/>
    <col min="15364" max="15364" width="9.85546875" bestFit="1" customWidth="1"/>
    <col min="15365" max="15365" width="10.5703125" bestFit="1" customWidth="1"/>
    <col min="15366" max="15366" width="11.28515625" bestFit="1" customWidth="1"/>
    <col min="15367" max="15371" width="9.5703125" bestFit="1" customWidth="1"/>
    <col min="15372" max="15372" width="10.42578125" bestFit="1" customWidth="1"/>
    <col min="15373" max="15373" width="9.5703125" bestFit="1" customWidth="1"/>
    <col min="15374" max="15374" width="10.28515625" bestFit="1" customWidth="1"/>
    <col min="15375" max="15375" width="9.7109375" bestFit="1" customWidth="1"/>
    <col min="15376" max="15383" width="9.5703125" bestFit="1" customWidth="1"/>
    <col min="15384" max="15384" width="10.42578125" bestFit="1" customWidth="1"/>
    <col min="15385" max="15385" width="9.5703125" bestFit="1" customWidth="1"/>
    <col min="15386" max="15386" width="10.28515625" bestFit="1" customWidth="1"/>
    <col min="15387" max="15387" width="9.7109375" bestFit="1" customWidth="1"/>
    <col min="15388" max="15395" width="9.5703125" bestFit="1" customWidth="1"/>
    <col min="15396" max="15396" width="10.42578125" bestFit="1" customWidth="1"/>
    <col min="15397" max="15397" width="9.5703125" bestFit="1" customWidth="1"/>
    <col min="15398" max="15398" width="10.28515625" bestFit="1" customWidth="1"/>
    <col min="15399" max="15399" width="9.7109375" bestFit="1" customWidth="1"/>
    <col min="15618" max="15618" width="33.7109375" customWidth="1"/>
    <col min="15619" max="15619" width="14.42578125" customWidth="1"/>
    <col min="15620" max="15620" width="9.85546875" bestFit="1" customWidth="1"/>
    <col min="15621" max="15621" width="10.5703125" bestFit="1" customWidth="1"/>
    <col min="15622" max="15622" width="11.28515625" bestFit="1" customWidth="1"/>
    <col min="15623" max="15627" width="9.5703125" bestFit="1" customWidth="1"/>
    <col min="15628" max="15628" width="10.42578125" bestFit="1" customWidth="1"/>
    <col min="15629" max="15629" width="9.5703125" bestFit="1" customWidth="1"/>
    <col min="15630" max="15630" width="10.28515625" bestFit="1" customWidth="1"/>
    <col min="15631" max="15631" width="9.7109375" bestFit="1" customWidth="1"/>
    <col min="15632" max="15639" width="9.5703125" bestFit="1" customWidth="1"/>
    <col min="15640" max="15640" width="10.42578125" bestFit="1" customWidth="1"/>
    <col min="15641" max="15641" width="9.5703125" bestFit="1" customWidth="1"/>
    <col min="15642" max="15642" width="10.28515625" bestFit="1" customWidth="1"/>
    <col min="15643" max="15643" width="9.7109375" bestFit="1" customWidth="1"/>
    <col min="15644" max="15651" width="9.5703125" bestFit="1" customWidth="1"/>
    <col min="15652" max="15652" width="10.42578125" bestFit="1" customWidth="1"/>
    <col min="15653" max="15653" width="9.5703125" bestFit="1" customWidth="1"/>
    <col min="15654" max="15654" width="10.28515625" bestFit="1" customWidth="1"/>
    <col min="15655" max="15655" width="9.7109375" bestFit="1" customWidth="1"/>
    <col min="15874" max="15874" width="33.7109375" customWidth="1"/>
    <col min="15875" max="15875" width="14.42578125" customWidth="1"/>
    <col min="15876" max="15876" width="9.85546875" bestFit="1" customWidth="1"/>
    <col min="15877" max="15877" width="10.5703125" bestFit="1" customWidth="1"/>
    <col min="15878" max="15878" width="11.28515625" bestFit="1" customWidth="1"/>
    <col min="15879" max="15883" width="9.5703125" bestFit="1" customWidth="1"/>
    <col min="15884" max="15884" width="10.42578125" bestFit="1" customWidth="1"/>
    <col min="15885" max="15885" width="9.5703125" bestFit="1" customWidth="1"/>
    <col min="15886" max="15886" width="10.28515625" bestFit="1" customWidth="1"/>
    <col min="15887" max="15887" width="9.7109375" bestFit="1" customWidth="1"/>
    <col min="15888" max="15895" width="9.5703125" bestFit="1" customWidth="1"/>
    <col min="15896" max="15896" width="10.42578125" bestFit="1" customWidth="1"/>
    <col min="15897" max="15897" width="9.5703125" bestFit="1" customWidth="1"/>
    <col min="15898" max="15898" width="10.28515625" bestFit="1" customWidth="1"/>
    <col min="15899" max="15899" width="9.7109375" bestFit="1" customWidth="1"/>
    <col min="15900" max="15907" width="9.5703125" bestFit="1" customWidth="1"/>
    <col min="15908" max="15908" width="10.42578125" bestFit="1" customWidth="1"/>
    <col min="15909" max="15909" width="9.5703125" bestFit="1" customWidth="1"/>
    <col min="15910" max="15910" width="10.28515625" bestFit="1" customWidth="1"/>
    <col min="15911" max="15911" width="9.7109375" bestFit="1" customWidth="1"/>
    <col min="16130" max="16130" width="33.7109375" customWidth="1"/>
    <col min="16131" max="16131" width="14.42578125" customWidth="1"/>
    <col min="16132" max="16132" width="9.85546875" bestFit="1" customWidth="1"/>
    <col min="16133" max="16133" width="10.5703125" bestFit="1" customWidth="1"/>
    <col min="16134" max="16134" width="11.28515625" bestFit="1" customWidth="1"/>
    <col min="16135" max="16139" width="9.5703125" bestFit="1" customWidth="1"/>
    <col min="16140" max="16140" width="10.42578125" bestFit="1" customWidth="1"/>
    <col min="16141" max="16141" width="9.5703125" bestFit="1" customWidth="1"/>
    <col min="16142" max="16142" width="10.28515625" bestFit="1" customWidth="1"/>
    <col min="16143" max="16143" width="9.7109375" bestFit="1" customWidth="1"/>
    <col min="16144" max="16151" width="9.5703125" bestFit="1" customWidth="1"/>
    <col min="16152" max="16152" width="10.42578125" bestFit="1" customWidth="1"/>
    <col min="16153" max="16153" width="9.5703125" bestFit="1" customWidth="1"/>
    <col min="16154" max="16154" width="10.28515625" bestFit="1" customWidth="1"/>
    <col min="16155" max="16155" width="9.7109375" bestFit="1" customWidth="1"/>
    <col min="16156" max="16163" width="9.5703125" bestFit="1" customWidth="1"/>
    <col min="16164" max="16164" width="10.42578125" bestFit="1" customWidth="1"/>
    <col min="16165" max="16165" width="9.5703125" bestFit="1" customWidth="1"/>
    <col min="16166" max="16166" width="10.28515625" bestFit="1" customWidth="1"/>
    <col min="16167" max="16167" width="9.7109375" bestFit="1" customWidth="1"/>
  </cols>
  <sheetData>
    <row r="1" spans="1:212" x14ac:dyDescent="0.25">
      <c r="A1" s="41"/>
      <c r="B1" s="42" t="s">
        <v>117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>
        <v>1</v>
      </c>
      <c r="GN1" s="43">
        <v>2</v>
      </c>
      <c r="GO1" s="43">
        <v>3</v>
      </c>
      <c r="GP1" s="43">
        <v>4</v>
      </c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</row>
    <row r="2" spans="1:212" x14ac:dyDescent="0.25">
      <c r="A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FY2" s="44" t="s">
        <v>45</v>
      </c>
      <c r="FZ2" s="43">
        <v>1</v>
      </c>
      <c r="GA2" s="43"/>
      <c r="GB2" s="43"/>
      <c r="GC2" s="43" t="s">
        <v>118</v>
      </c>
      <c r="GD2" s="43">
        <f>VLOOKUP(C4,$FY$2:$FZ$38,2,FALSE)</f>
        <v>1</v>
      </c>
      <c r="GE2" s="43" t="s">
        <v>119</v>
      </c>
      <c r="GF2" s="43"/>
      <c r="GG2" s="43"/>
      <c r="GH2" s="43"/>
      <c r="GI2" s="43"/>
      <c r="GJ2" s="43">
        <v>1</v>
      </c>
      <c r="GK2" s="43">
        <f>+IF($C$8=$GM$1,GM2,IF($C$8=$GN$1,GN2,IF($C$8=$GO$1,GO2,IF($C$8=$GP$1,GP2,0))))</f>
        <v>0</v>
      </c>
      <c r="GL2" s="43"/>
      <c r="GM2" s="43">
        <v>1</v>
      </c>
      <c r="GN2" s="43">
        <v>1</v>
      </c>
      <c r="GO2" s="43">
        <v>1</v>
      </c>
      <c r="GP2" s="43">
        <v>1</v>
      </c>
      <c r="GQ2" s="43"/>
      <c r="GR2" s="43"/>
      <c r="GS2" s="43"/>
      <c r="GT2" s="43">
        <v>1</v>
      </c>
      <c r="GU2" s="43"/>
      <c r="GV2" s="43">
        <v>1</v>
      </c>
      <c r="GW2" s="43"/>
      <c r="GX2" s="43"/>
      <c r="GY2" s="43"/>
      <c r="GZ2" s="43"/>
      <c r="HA2" s="43"/>
      <c r="HB2" s="43"/>
      <c r="HC2" s="43"/>
      <c r="HD2" s="43"/>
    </row>
    <row r="3" spans="1:212" ht="15.75" x14ac:dyDescent="0.3">
      <c r="A3" s="41"/>
      <c r="B3" s="42" t="s">
        <v>120</v>
      </c>
      <c r="C3" s="45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FY3" s="44" t="s">
        <v>46</v>
      </c>
      <c r="FZ3" s="43">
        <f>1+FZ2</f>
        <v>2</v>
      </c>
      <c r="GA3" s="43"/>
      <c r="GB3" s="43"/>
      <c r="GC3" s="43"/>
      <c r="GD3" s="43">
        <f>VLOOKUP(C6,$FY$2:$FZ$38,2,FALSE)</f>
        <v>1</v>
      </c>
      <c r="GE3" s="43" t="s">
        <v>121</v>
      </c>
      <c r="GF3" s="43"/>
      <c r="GG3" s="43"/>
      <c r="GH3" s="43"/>
      <c r="GI3" s="43"/>
      <c r="GJ3" s="43">
        <f>+GJ2+1</f>
        <v>2</v>
      </c>
      <c r="GK3" s="43">
        <f>+IF($C$8=$GM$1,GM3,IF($C$8=$GN$1,GN3,IF($C$8=$GO$1,GO3,IF($C$8=$GP$1,GP3,0))))</f>
        <v>0</v>
      </c>
      <c r="GL3" s="43"/>
      <c r="GM3" s="43"/>
      <c r="GN3" s="43"/>
      <c r="GO3" s="43"/>
      <c r="GP3" s="43"/>
      <c r="GQ3" s="43"/>
      <c r="GR3" s="43"/>
      <c r="GS3" s="43"/>
      <c r="GT3" s="43">
        <v>2</v>
      </c>
      <c r="GU3" s="43"/>
      <c r="GV3" s="43">
        <v>2</v>
      </c>
      <c r="GW3" s="43"/>
      <c r="GX3" s="43"/>
      <c r="GY3" s="43"/>
      <c r="GZ3" s="43"/>
      <c r="HA3" s="43"/>
      <c r="HB3" s="43"/>
      <c r="HC3" s="43"/>
      <c r="HD3" s="43"/>
    </row>
    <row r="4" spans="1:212" x14ac:dyDescent="0.25">
      <c r="B4" s="46" t="s">
        <v>122</v>
      </c>
      <c r="C4" s="47" t="s">
        <v>263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FY4" s="44" t="s">
        <v>123</v>
      </c>
      <c r="FZ4" s="43">
        <f t="shared" ref="FZ4:FZ67" si="0">1+FZ3</f>
        <v>3</v>
      </c>
      <c r="GA4" s="43"/>
      <c r="GB4" s="43"/>
      <c r="GC4" s="43"/>
      <c r="GD4" s="43"/>
      <c r="GE4" s="43"/>
      <c r="GF4" s="43"/>
      <c r="GG4" s="43"/>
      <c r="GH4" s="43"/>
      <c r="GI4" s="43"/>
      <c r="GJ4" s="43">
        <f t="shared" ref="GJ4:GJ67" si="1">+GJ3+1</f>
        <v>3</v>
      </c>
      <c r="GK4" s="43">
        <f t="shared" ref="GK4:GK68" si="2">+IF($C$8=$GM$1,GM4,IF($C$8=$GN$1,GN4,IF($C$8=$GO$1,GO4,IF($C$8=$GP$1,GP4,0))))</f>
        <v>0</v>
      </c>
      <c r="GL4" s="43"/>
      <c r="GM4" s="43"/>
      <c r="GN4" s="43"/>
      <c r="GO4" s="43"/>
      <c r="GP4" s="43"/>
      <c r="GQ4" s="43"/>
      <c r="GR4" s="43"/>
      <c r="GS4" s="43"/>
      <c r="GT4" s="43">
        <v>3</v>
      </c>
      <c r="GU4" s="43"/>
      <c r="GV4" s="43">
        <v>3</v>
      </c>
      <c r="GW4" s="43"/>
      <c r="GX4" s="43"/>
      <c r="GY4" s="43"/>
      <c r="GZ4" s="43"/>
      <c r="HA4" s="43"/>
      <c r="HB4" s="43"/>
      <c r="HC4" s="43"/>
      <c r="HD4" s="43"/>
    </row>
    <row r="5" spans="1:212" x14ac:dyDescent="0.25">
      <c r="A5" s="41" t="s">
        <v>124</v>
      </c>
      <c r="B5" s="46" t="s">
        <v>125</v>
      </c>
      <c r="C5" s="48">
        <f>+'Gestione Fin Lungo termine'!D43</f>
        <v>7.0000000000000007E-2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FY5" s="44" t="s">
        <v>126</v>
      </c>
      <c r="FZ5" s="43">
        <f t="shared" si="0"/>
        <v>4</v>
      </c>
      <c r="GA5" s="43"/>
      <c r="GB5" s="43"/>
      <c r="GC5" s="43"/>
      <c r="GD5" s="43"/>
      <c r="GE5" s="43"/>
      <c r="GF5" s="43"/>
      <c r="GG5" s="43"/>
      <c r="GH5" s="43"/>
      <c r="GI5" s="43"/>
      <c r="GJ5" s="43">
        <f t="shared" si="1"/>
        <v>4</v>
      </c>
      <c r="GK5" s="43">
        <f t="shared" si="2"/>
        <v>0</v>
      </c>
      <c r="GL5" s="43"/>
      <c r="GM5" s="43"/>
      <c r="GN5" s="43"/>
      <c r="GO5" s="43"/>
      <c r="GP5" s="43">
        <v>1</v>
      </c>
      <c r="GQ5" s="43"/>
      <c r="GR5" s="43"/>
      <c r="GS5" s="43"/>
      <c r="GT5" s="43">
        <v>4</v>
      </c>
      <c r="GU5" s="43"/>
      <c r="GV5" s="43">
        <v>4</v>
      </c>
      <c r="GW5" s="43"/>
      <c r="GX5" s="43"/>
      <c r="GY5" s="43"/>
      <c r="GZ5" s="43"/>
      <c r="HA5" s="43"/>
      <c r="HB5" s="43"/>
      <c r="HC5" s="43"/>
      <c r="HD5" s="43"/>
    </row>
    <row r="6" spans="1:212" x14ac:dyDescent="0.25">
      <c r="A6" s="41"/>
      <c r="B6" s="46" t="s">
        <v>127</v>
      </c>
      <c r="C6" s="49" t="str">
        <f>+C4</f>
        <v>a1</v>
      </c>
      <c r="D6" s="41" t="str">
        <f>+IF(GD3&lt;GD2,"non puoi inserire una data antecedente a quella di stipule del finanziamento","")</f>
        <v/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FY6" s="44" t="s">
        <v>128</v>
      </c>
      <c r="FZ6" s="43">
        <f t="shared" si="0"/>
        <v>5</v>
      </c>
      <c r="GA6" s="43"/>
      <c r="GB6" s="43"/>
      <c r="GC6" s="43"/>
      <c r="GD6" s="43"/>
      <c r="GE6" s="43"/>
      <c r="GF6" s="43"/>
      <c r="GG6" s="43"/>
      <c r="GH6" s="43"/>
      <c r="GI6" s="43"/>
      <c r="GJ6" s="43">
        <f t="shared" si="1"/>
        <v>5</v>
      </c>
      <c r="GK6" s="43">
        <f t="shared" si="2"/>
        <v>0</v>
      </c>
      <c r="GL6" s="43"/>
      <c r="GM6" s="43"/>
      <c r="GN6" s="43"/>
      <c r="GO6" s="43">
        <v>1</v>
      </c>
      <c r="GP6" s="43"/>
      <c r="GQ6" s="43"/>
      <c r="GR6" s="43"/>
      <c r="GS6" s="43"/>
      <c r="GT6" s="43"/>
      <c r="GU6" s="43"/>
      <c r="GV6" s="43">
        <v>5</v>
      </c>
      <c r="GW6" s="43"/>
      <c r="GX6" s="43"/>
      <c r="GY6" s="43"/>
      <c r="GZ6" s="43"/>
      <c r="HA6" s="43"/>
      <c r="HB6" s="43"/>
      <c r="HC6" s="43"/>
      <c r="HD6" s="43"/>
    </row>
    <row r="7" spans="1:212" x14ac:dyDescent="0.25">
      <c r="A7" s="41"/>
      <c r="B7" s="50" t="s">
        <v>129</v>
      </c>
      <c r="C7" s="51">
        <f>+'Gestione Fin Lungo termine'!D41</f>
        <v>60000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FY7" s="44" t="s">
        <v>130</v>
      </c>
      <c r="FZ7" s="43">
        <f t="shared" si="0"/>
        <v>6</v>
      </c>
      <c r="GA7" s="43"/>
      <c r="GB7" s="43"/>
      <c r="GC7" s="43"/>
      <c r="GD7" s="43"/>
      <c r="GE7" s="43"/>
      <c r="GF7" s="43"/>
      <c r="GG7" s="43"/>
      <c r="GH7" s="43"/>
      <c r="GI7" s="43"/>
      <c r="GJ7" s="43">
        <f t="shared" si="1"/>
        <v>6</v>
      </c>
      <c r="GK7" s="43">
        <f t="shared" si="2"/>
        <v>0</v>
      </c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>
        <v>6</v>
      </c>
      <c r="GW7" s="43"/>
      <c r="GX7" s="43"/>
      <c r="GY7" s="43"/>
      <c r="GZ7" s="43"/>
      <c r="HA7" s="43"/>
      <c r="HB7" s="43"/>
      <c r="HC7" s="43"/>
      <c r="HD7" s="43"/>
    </row>
    <row r="8" spans="1:212" x14ac:dyDescent="0.25">
      <c r="A8" s="41"/>
      <c r="B8" s="50" t="s">
        <v>131</v>
      </c>
      <c r="C8" s="52">
        <f>+C9</f>
        <v>10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FY8" s="44" t="s">
        <v>132</v>
      </c>
      <c r="FZ8" s="43">
        <f t="shared" si="0"/>
        <v>7</v>
      </c>
      <c r="GA8" s="43"/>
      <c r="GB8" s="43"/>
      <c r="GC8" s="43"/>
      <c r="GD8" s="43"/>
      <c r="GE8" s="43"/>
      <c r="GF8" s="43"/>
      <c r="GG8" s="43"/>
      <c r="GH8" s="43"/>
      <c r="GI8" s="43"/>
      <c r="GJ8" s="43">
        <f t="shared" si="1"/>
        <v>7</v>
      </c>
      <c r="GK8" s="43">
        <f t="shared" si="2"/>
        <v>0</v>
      </c>
      <c r="GL8" s="43"/>
      <c r="GM8" s="43"/>
      <c r="GN8" s="43">
        <v>1</v>
      </c>
      <c r="GO8" s="43"/>
      <c r="GP8" s="43">
        <v>1</v>
      </c>
      <c r="GQ8" s="43"/>
      <c r="GR8" s="43"/>
      <c r="GS8" s="43"/>
      <c r="GT8" s="43"/>
      <c r="GU8" s="43"/>
      <c r="GV8" s="43">
        <v>7</v>
      </c>
      <c r="GW8" s="43"/>
      <c r="GX8" s="43"/>
      <c r="GY8" s="43"/>
      <c r="GZ8" s="43"/>
      <c r="HA8" s="43"/>
      <c r="HB8" s="43"/>
      <c r="HC8" s="43"/>
      <c r="HD8" s="43"/>
    </row>
    <row r="9" spans="1:212" x14ac:dyDescent="0.25">
      <c r="A9" s="41"/>
      <c r="B9" s="50" t="s">
        <v>133</v>
      </c>
      <c r="C9" s="52">
        <f>+'Gestione Fin Lungo termine'!D45</f>
        <v>10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FY9" s="44" t="s">
        <v>134</v>
      </c>
      <c r="FZ9" s="43">
        <f t="shared" si="0"/>
        <v>8</v>
      </c>
      <c r="GA9" s="43"/>
      <c r="GB9" s="43"/>
      <c r="GC9" s="43"/>
      <c r="GD9" s="43"/>
      <c r="GE9" s="43"/>
      <c r="GF9" s="43"/>
      <c r="GG9" s="43"/>
      <c r="GH9" s="43"/>
      <c r="GI9" s="43"/>
      <c r="GJ9" s="43">
        <f t="shared" si="1"/>
        <v>8</v>
      </c>
      <c r="GK9" s="43">
        <f t="shared" si="2"/>
        <v>0</v>
      </c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>
        <v>8</v>
      </c>
      <c r="GW9" s="43"/>
      <c r="GX9" s="43"/>
      <c r="GY9" s="43"/>
      <c r="GZ9" s="43"/>
      <c r="HA9" s="43"/>
      <c r="HB9" s="43"/>
      <c r="HC9" s="43"/>
      <c r="HD9" s="43"/>
    </row>
    <row r="10" spans="1:212" x14ac:dyDescent="0.25">
      <c r="A10" s="41"/>
      <c r="B10" s="53" t="s">
        <v>135</v>
      </c>
      <c r="C10" s="54">
        <f>+C9</f>
        <v>10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FY10" s="44" t="s">
        <v>136</v>
      </c>
      <c r="FZ10" s="43">
        <f t="shared" si="0"/>
        <v>9</v>
      </c>
      <c r="GA10" s="43"/>
      <c r="GB10" s="43"/>
      <c r="GC10" s="43"/>
      <c r="GD10" s="43"/>
      <c r="GE10" s="43"/>
      <c r="GF10" s="43"/>
      <c r="GG10" s="43"/>
      <c r="GH10" s="43"/>
      <c r="GI10" s="43"/>
      <c r="GJ10" s="43">
        <f t="shared" si="1"/>
        <v>9</v>
      </c>
      <c r="GK10" s="43">
        <f t="shared" si="2"/>
        <v>0</v>
      </c>
      <c r="GL10" s="43"/>
      <c r="GM10" s="43"/>
      <c r="GN10" s="43"/>
      <c r="GO10" s="43">
        <v>1</v>
      </c>
      <c r="GP10" s="43"/>
      <c r="GQ10" s="43"/>
      <c r="GR10" s="43"/>
      <c r="GS10" s="43"/>
      <c r="GT10" s="43"/>
      <c r="GU10" s="43"/>
      <c r="GV10" s="43">
        <v>9</v>
      </c>
      <c r="GW10" s="43"/>
      <c r="GX10" s="43"/>
      <c r="GY10" s="43"/>
      <c r="GZ10" s="43"/>
      <c r="HA10" s="43"/>
      <c r="HB10" s="43"/>
      <c r="HC10" s="43"/>
      <c r="HD10" s="43"/>
    </row>
    <row r="11" spans="1:212" x14ac:dyDescent="0.25">
      <c r="A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FY11" s="44" t="s">
        <v>137</v>
      </c>
      <c r="FZ11" s="43">
        <f t="shared" si="0"/>
        <v>10</v>
      </c>
      <c r="GA11" s="43"/>
      <c r="GB11" s="43"/>
      <c r="GC11" s="43"/>
      <c r="GD11" s="43"/>
      <c r="GE11" s="43"/>
      <c r="GF11" s="43"/>
      <c r="GG11" s="43"/>
      <c r="GH11" s="43"/>
      <c r="GI11" s="43"/>
      <c r="GJ11" s="43">
        <f t="shared" si="1"/>
        <v>10</v>
      </c>
      <c r="GK11" s="43">
        <f t="shared" si="2"/>
        <v>0</v>
      </c>
      <c r="GL11" s="43"/>
      <c r="GM11" s="43"/>
      <c r="GN11" s="43"/>
      <c r="GO11" s="43"/>
      <c r="GP11" s="43">
        <v>1</v>
      </c>
      <c r="GQ11" s="43"/>
      <c r="GR11" s="43"/>
      <c r="GS11" s="43"/>
      <c r="GT11" s="43"/>
      <c r="GU11" s="43"/>
      <c r="GV11" s="43">
        <v>10</v>
      </c>
      <c r="GW11" s="43"/>
      <c r="GX11" s="43"/>
      <c r="GY11" s="43"/>
      <c r="GZ11" s="43"/>
      <c r="HA11" s="43"/>
      <c r="HB11" s="43"/>
      <c r="HC11" s="43"/>
      <c r="HD11" s="43"/>
    </row>
    <row r="12" spans="1:212" x14ac:dyDescent="0.25">
      <c r="A12" s="41"/>
      <c r="B12" s="55" t="s">
        <v>138</v>
      </c>
      <c r="C12" s="56" t="b">
        <f>IF(C8=1,"annuale",IF(C8=2,"semestrale",IF(C8=3,"quadrimestrale",IF(C8=4,"trimestrale"))))</f>
        <v>0</v>
      </c>
      <c r="D12" s="57">
        <f>+'Gestione Fin Lungo termine'!D43</f>
        <v>7.0000000000000007E-2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FY12" s="44" t="s">
        <v>139</v>
      </c>
      <c r="FZ12" s="43">
        <f t="shared" si="0"/>
        <v>11</v>
      </c>
      <c r="GA12" s="43"/>
      <c r="GB12" s="43"/>
      <c r="GC12" s="43"/>
      <c r="GD12" s="43"/>
      <c r="GE12" s="43"/>
      <c r="GF12" s="43"/>
      <c r="GG12" s="43"/>
      <c r="GH12" s="43"/>
      <c r="GI12" s="43"/>
      <c r="GJ12" s="43">
        <f t="shared" si="1"/>
        <v>11</v>
      </c>
      <c r="GK12" s="43">
        <f t="shared" si="2"/>
        <v>0</v>
      </c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</row>
    <row r="13" spans="1:212" x14ac:dyDescent="0.25">
      <c r="A13" s="41"/>
      <c r="C13" s="41"/>
      <c r="D13" s="41"/>
      <c r="E13" s="41"/>
      <c r="F13" s="41"/>
      <c r="G13" s="41"/>
      <c r="H13" s="41"/>
      <c r="I13" s="41"/>
      <c r="J13" s="41"/>
      <c r="K13" s="41"/>
      <c r="L13" s="41">
        <v>1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FY13" s="44" t="s">
        <v>140</v>
      </c>
      <c r="FZ13" s="43">
        <f t="shared" si="0"/>
        <v>12</v>
      </c>
      <c r="GA13" s="43"/>
      <c r="GB13" s="43"/>
      <c r="GC13" s="43"/>
      <c r="GD13" s="43"/>
      <c r="GE13" s="43"/>
      <c r="GF13" s="43"/>
      <c r="GG13" s="43"/>
      <c r="GH13" s="43"/>
      <c r="GI13" s="43"/>
      <c r="GJ13" s="43">
        <f t="shared" si="1"/>
        <v>12</v>
      </c>
      <c r="GK13" s="43">
        <f t="shared" si="2"/>
        <v>0</v>
      </c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</row>
    <row r="14" spans="1:212" x14ac:dyDescent="0.25">
      <c r="A14" s="41"/>
      <c r="B14" s="55" t="s">
        <v>141</v>
      </c>
      <c r="C14" s="56" t="b">
        <f>C12</f>
        <v>0</v>
      </c>
      <c r="D14" s="58">
        <f>C7/((1-(1+D12)^(-C10))/D12)</f>
        <v>8542.6501636418834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FY14" s="44" t="s">
        <v>142</v>
      </c>
      <c r="FZ14" s="43">
        <f t="shared" si="0"/>
        <v>13</v>
      </c>
      <c r="GA14" s="43"/>
      <c r="GB14" s="43"/>
      <c r="GC14" s="43"/>
      <c r="GD14" s="43"/>
      <c r="GE14" s="43"/>
      <c r="GF14" s="43"/>
      <c r="GG14" s="43"/>
      <c r="GH14" s="43"/>
      <c r="GI14" s="43"/>
      <c r="GJ14" s="43">
        <f t="shared" si="1"/>
        <v>13</v>
      </c>
      <c r="GK14" s="43">
        <f t="shared" si="2"/>
        <v>0</v>
      </c>
      <c r="GL14" s="43"/>
      <c r="GM14" s="43">
        <v>1</v>
      </c>
      <c r="GN14" s="43">
        <v>1</v>
      </c>
      <c r="GO14" s="43">
        <v>1</v>
      </c>
      <c r="GP14" s="43">
        <v>1</v>
      </c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</row>
    <row r="15" spans="1:212" s="61" customFormat="1" x14ac:dyDescent="0.25">
      <c r="A15" s="59"/>
      <c r="B15" s="59"/>
      <c r="C15" s="59"/>
      <c r="D15" s="59">
        <f>+IFERROR((VLOOKUP(D16,$GJ:$GK,2,FALSE)),0)</f>
        <v>0</v>
      </c>
      <c r="E15" s="60">
        <v>1</v>
      </c>
      <c r="F15" s="60">
        <v>1</v>
      </c>
      <c r="G15" s="60">
        <v>1</v>
      </c>
      <c r="H15" s="60">
        <v>1</v>
      </c>
      <c r="I15" s="60">
        <v>1</v>
      </c>
      <c r="J15" s="60">
        <v>1</v>
      </c>
      <c r="K15" s="60">
        <v>1</v>
      </c>
      <c r="L15" s="60">
        <v>1</v>
      </c>
      <c r="M15" s="60">
        <v>1</v>
      </c>
      <c r="N15" s="60">
        <v>1</v>
      </c>
      <c r="O15" s="60">
        <v>1</v>
      </c>
      <c r="P15" s="60">
        <v>1</v>
      </c>
      <c r="Q15" s="60">
        <v>1</v>
      </c>
      <c r="R15" s="60">
        <v>1</v>
      </c>
      <c r="S15" s="60">
        <v>1</v>
      </c>
      <c r="T15" s="60">
        <v>1</v>
      </c>
      <c r="U15" s="60">
        <v>1</v>
      </c>
      <c r="V15" s="60">
        <v>1</v>
      </c>
      <c r="W15" s="60">
        <v>1</v>
      </c>
      <c r="X15" s="60">
        <v>1</v>
      </c>
      <c r="Y15" s="60">
        <v>1</v>
      </c>
      <c r="Z15" s="60">
        <v>1</v>
      </c>
      <c r="AA15" s="60">
        <v>1</v>
      </c>
      <c r="AB15" s="60">
        <v>1</v>
      </c>
      <c r="AC15" s="60">
        <v>1</v>
      </c>
      <c r="AD15" s="60">
        <v>1</v>
      </c>
      <c r="AE15" s="60">
        <v>1</v>
      </c>
      <c r="AF15" s="60">
        <v>1</v>
      </c>
      <c r="AG15" s="60">
        <v>1</v>
      </c>
      <c r="AH15" s="60">
        <v>1</v>
      </c>
      <c r="AI15" s="60">
        <v>1</v>
      </c>
      <c r="AJ15" s="60">
        <v>1</v>
      </c>
      <c r="AK15" s="60">
        <v>1</v>
      </c>
      <c r="AL15" s="60">
        <v>1</v>
      </c>
      <c r="AM15" s="60">
        <v>1</v>
      </c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FY15" s="44" t="s">
        <v>143</v>
      </c>
      <c r="FZ15" s="62">
        <f t="shared" si="0"/>
        <v>14</v>
      </c>
      <c r="GA15" s="62"/>
      <c r="GB15" s="62"/>
      <c r="GC15" s="62"/>
      <c r="GD15" s="62"/>
      <c r="GE15" s="62"/>
      <c r="GF15" s="62"/>
      <c r="GG15" s="62"/>
      <c r="GH15" s="62"/>
      <c r="GI15" s="62"/>
      <c r="GJ15" s="62">
        <f t="shared" si="1"/>
        <v>14</v>
      </c>
      <c r="GK15" s="62">
        <f t="shared" si="2"/>
        <v>0</v>
      </c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</row>
    <row r="16" spans="1:212" s="61" customFormat="1" x14ac:dyDescent="0.25">
      <c r="A16" s="59"/>
      <c r="B16" s="59"/>
      <c r="C16" s="59" t="s">
        <v>144</v>
      </c>
      <c r="D16" s="59">
        <f>+IF(D17=$C$6,1,0)</f>
        <v>0</v>
      </c>
      <c r="E16" s="60">
        <f t="shared" ref="E16:AM16" si="3">+IF(E17=$C$6,1,+IF(D16=0,0,D16+1))</f>
        <v>1</v>
      </c>
      <c r="F16" s="60">
        <f t="shared" si="3"/>
        <v>2</v>
      </c>
      <c r="G16" s="60">
        <f t="shared" si="3"/>
        <v>3</v>
      </c>
      <c r="H16" s="60">
        <f t="shared" si="3"/>
        <v>4</v>
      </c>
      <c r="I16" s="60">
        <f t="shared" si="3"/>
        <v>5</v>
      </c>
      <c r="J16" s="60">
        <f t="shared" si="3"/>
        <v>6</v>
      </c>
      <c r="K16" s="60">
        <f t="shared" si="3"/>
        <v>7</v>
      </c>
      <c r="L16" s="60">
        <f t="shared" si="3"/>
        <v>8</v>
      </c>
      <c r="M16" s="60">
        <f t="shared" si="3"/>
        <v>9</v>
      </c>
      <c r="N16" s="60">
        <f t="shared" si="3"/>
        <v>10</v>
      </c>
      <c r="O16" s="60">
        <f t="shared" si="3"/>
        <v>11</v>
      </c>
      <c r="P16" s="60">
        <f t="shared" si="3"/>
        <v>12</v>
      </c>
      <c r="Q16" s="60">
        <f t="shared" si="3"/>
        <v>13</v>
      </c>
      <c r="R16" s="60">
        <f t="shared" si="3"/>
        <v>14</v>
      </c>
      <c r="S16" s="60">
        <f t="shared" si="3"/>
        <v>15</v>
      </c>
      <c r="T16" s="60">
        <f t="shared" si="3"/>
        <v>16</v>
      </c>
      <c r="U16" s="60">
        <f t="shared" si="3"/>
        <v>17</v>
      </c>
      <c r="V16" s="60">
        <f t="shared" si="3"/>
        <v>18</v>
      </c>
      <c r="W16" s="60">
        <f t="shared" si="3"/>
        <v>19</v>
      </c>
      <c r="X16" s="60">
        <f t="shared" si="3"/>
        <v>20</v>
      </c>
      <c r="Y16" s="60">
        <f t="shared" si="3"/>
        <v>21</v>
      </c>
      <c r="Z16" s="60">
        <f t="shared" si="3"/>
        <v>22</v>
      </c>
      <c r="AA16" s="60">
        <f t="shared" si="3"/>
        <v>23</v>
      </c>
      <c r="AB16" s="60">
        <f t="shared" si="3"/>
        <v>24</v>
      </c>
      <c r="AC16" s="60">
        <f t="shared" si="3"/>
        <v>25</v>
      </c>
      <c r="AD16" s="60">
        <f t="shared" si="3"/>
        <v>26</v>
      </c>
      <c r="AE16" s="60">
        <f t="shared" si="3"/>
        <v>27</v>
      </c>
      <c r="AF16" s="60">
        <f t="shared" si="3"/>
        <v>28</v>
      </c>
      <c r="AG16" s="60">
        <f t="shared" si="3"/>
        <v>29</v>
      </c>
      <c r="AH16" s="60">
        <f t="shared" si="3"/>
        <v>30</v>
      </c>
      <c r="AI16" s="60">
        <f t="shared" si="3"/>
        <v>31</v>
      </c>
      <c r="AJ16" s="60">
        <f t="shared" si="3"/>
        <v>32</v>
      </c>
      <c r="AK16" s="60">
        <f t="shared" si="3"/>
        <v>33</v>
      </c>
      <c r="AL16" s="60">
        <f t="shared" si="3"/>
        <v>34</v>
      </c>
      <c r="AM16" s="60">
        <f t="shared" si="3"/>
        <v>35</v>
      </c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FY16" s="44" t="s">
        <v>145</v>
      </c>
      <c r="FZ16" s="62">
        <f t="shared" si="0"/>
        <v>15</v>
      </c>
      <c r="GA16" s="62"/>
      <c r="GB16" s="62"/>
      <c r="GC16" s="62"/>
      <c r="GD16" s="62"/>
      <c r="GE16" s="62"/>
      <c r="GF16" s="62"/>
      <c r="GG16" s="62"/>
      <c r="GH16" s="62"/>
      <c r="GI16" s="62"/>
      <c r="GJ16" s="62">
        <f t="shared" si="1"/>
        <v>15</v>
      </c>
      <c r="GK16" s="62">
        <f t="shared" si="2"/>
        <v>0</v>
      </c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</row>
    <row r="17" spans="1:212" x14ac:dyDescent="0.25">
      <c r="A17" s="41"/>
      <c r="B17" s="63" t="s">
        <v>146</v>
      </c>
      <c r="C17" s="64"/>
      <c r="D17" s="64"/>
      <c r="E17" s="64" t="s">
        <v>45</v>
      </c>
      <c r="F17" s="64" t="s">
        <v>46</v>
      </c>
      <c r="G17" s="64" t="s">
        <v>123</v>
      </c>
      <c r="H17" s="64" t="s">
        <v>126</v>
      </c>
      <c r="I17" s="64" t="s">
        <v>128</v>
      </c>
      <c r="J17" s="64" t="s">
        <v>130</v>
      </c>
      <c r="K17" s="64" t="s">
        <v>132</v>
      </c>
      <c r="L17" s="64" t="s">
        <v>134</v>
      </c>
      <c r="M17" s="64" t="s">
        <v>136</v>
      </c>
      <c r="N17" s="64" t="s">
        <v>137</v>
      </c>
      <c r="O17" s="64" t="s">
        <v>139</v>
      </c>
      <c r="P17" s="64" t="s">
        <v>140</v>
      </c>
      <c r="Q17" s="64" t="s">
        <v>142</v>
      </c>
      <c r="R17" s="64" t="s">
        <v>143</v>
      </c>
      <c r="S17" s="64" t="s">
        <v>145</v>
      </c>
      <c r="T17" s="64" t="s">
        <v>147</v>
      </c>
      <c r="U17" s="64" t="s">
        <v>148</v>
      </c>
      <c r="V17" s="64" t="s">
        <v>149</v>
      </c>
      <c r="W17" s="64" t="s">
        <v>150</v>
      </c>
      <c r="X17" s="64" t="s">
        <v>151</v>
      </c>
      <c r="Y17" s="64" t="s">
        <v>152</v>
      </c>
      <c r="Z17" s="64" t="s">
        <v>153</v>
      </c>
      <c r="AA17" s="64" t="s">
        <v>154</v>
      </c>
      <c r="AB17" s="64" t="s">
        <v>155</v>
      </c>
      <c r="AC17" s="64" t="s">
        <v>156</v>
      </c>
      <c r="AD17" s="64" t="s">
        <v>157</v>
      </c>
      <c r="AE17" s="64" t="s">
        <v>158</v>
      </c>
      <c r="AF17" s="64" t="s">
        <v>159</v>
      </c>
      <c r="AG17" s="64" t="s">
        <v>160</v>
      </c>
      <c r="AH17" s="64" t="s">
        <v>161</v>
      </c>
      <c r="AI17" s="64" t="s">
        <v>162</v>
      </c>
      <c r="AJ17" s="64" t="s">
        <v>163</v>
      </c>
      <c r="AK17" s="64" t="s">
        <v>164</v>
      </c>
      <c r="AL17" s="64" t="s">
        <v>165</v>
      </c>
      <c r="AM17" s="64" t="s">
        <v>166</v>
      </c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Y17" s="44" t="s">
        <v>147</v>
      </c>
      <c r="FZ17" s="43">
        <f t="shared" si="0"/>
        <v>16</v>
      </c>
      <c r="GA17" s="43"/>
      <c r="GB17" s="43"/>
      <c r="GC17" s="43"/>
      <c r="GD17" s="43"/>
      <c r="GE17" s="43"/>
      <c r="GF17" s="43"/>
      <c r="GG17" s="43"/>
      <c r="GH17" s="43"/>
      <c r="GI17" s="43"/>
      <c r="GJ17" s="43">
        <f t="shared" si="1"/>
        <v>16</v>
      </c>
      <c r="GK17" s="43">
        <f t="shared" si="2"/>
        <v>0</v>
      </c>
      <c r="GL17" s="43"/>
      <c r="GM17" s="43"/>
      <c r="GN17" s="43"/>
      <c r="GO17" s="43"/>
      <c r="GP17" s="43">
        <v>1</v>
      </c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</row>
    <row r="18" spans="1:212" x14ac:dyDescent="0.25">
      <c r="A18" s="41"/>
      <c r="B18" s="50" t="s">
        <v>167</v>
      </c>
      <c r="C18" s="58"/>
      <c r="D18" s="58">
        <f t="shared" ref="D18:AM18" si="4">IF(D16&gt;=1,IF(D15=1,$D$14,0))*IF(C22&lt;1,0,1)</f>
        <v>0</v>
      </c>
      <c r="E18" s="58">
        <f t="shared" si="4"/>
        <v>8542.6501636418834</v>
      </c>
      <c r="F18" s="58">
        <f t="shared" si="4"/>
        <v>8542.6501636418834</v>
      </c>
      <c r="G18" s="58">
        <f t="shared" si="4"/>
        <v>8542.6501636418834</v>
      </c>
      <c r="H18" s="58">
        <f t="shared" si="4"/>
        <v>8542.6501636418834</v>
      </c>
      <c r="I18" s="58">
        <f t="shared" si="4"/>
        <v>8542.6501636418834</v>
      </c>
      <c r="J18" s="58">
        <f t="shared" si="4"/>
        <v>8542.6501636418834</v>
      </c>
      <c r="K18" s="58">
        <f t="shared" si="4"/>
        <v>8542.6501636418834</v>
      </c>
      <c r="L18" s="58">
        <f t="shared" si="4"/>
        <v>8542.6501636418834</v>
      </c>
      <c r="M18" s="58">
        <f t="shared" si="4"/>
        <v>8542.6501636418834</v>
      </c>
      <c r="N18" s="58">
        <f t="shared" si="4"/>
        <v>8542.6501636418834</v>
      </c>
      <c r="O18" s="58">
        <f t="shared" si="4"/>
        <v>0</v>
      </c>
      <c r="P18" s="58">
        <f t="shared" si="4"/>
        <v>0</v>
      </c>
      <c r="Q18" s="58">
        <f t="shared" si="4"/>
        <v>0</v>
      </c>
      <c r="R18" s="58">
        <f t="shared" si="4"/>
        <v>0</v>
      </c>
      <c r="S18" s="58">
        <f t="shared" si="4"/>
        <v>0</v>
      </c>
      <c r="T18" s="58">
        <f t="shared" si="4"/>
        <v>0</v>
      </c>
      <c r="U18" s="58">
        <f t="shared" si="4"/>
        <v>0</v>
      </c>
      <c r="V18" s="58">
        <f t="shared" si="4"/>
        <v>0</v>
      </c>
      <c r="W18" s="58">
        <f t="shared" si="4"/>
        <v>0</v>
      </c>
      <c r="X18" s="58">
        <f t="shared" si="4"/>
        <v>0</v>
      </c>
      <c r="Y18" s="58">
        <f t="shared" si="4"/>
        <v>0</v>
      </c>
      <c r="Z18" s="58">
        <f t="shared" si="4"/>
        <v>0</v>
      </c>
      <c r="AA18" s="58">
        <f t="shared" si="4"/>
        <v>0</v>
      </c>
      <c r="AB18" s="58">
        <f t="shared" si="4"/>
        <v>0</v>
      </c>
      <c r="AC18" s="58">
        <f t="shared" si="4"/>
        <v>0</v>
      </c>
      <c r="AD18" s="58">
        <f t="shared" si="4"/>
        <v>0</v>
      </c>
      <c r="AE18" s="58">
        <f t="shared" si="4"/>
        <v>0</v>
      </c>
      <c r="AF18" s="58">
        <f t="shared" si="4"/>
        <v>0</v>
      </c>
      <c r="AG18" s="58">
        <f t="shared" si="4"/>
        <v>0</v>
      </c>
      <c r="AH18" s="58">
        <f t="shared" si="4"/>
        <v>0</v>
      </c>
      <c r="AI18" s="58">
        <f t="shared" si="4"/>
        <v>0</v>
      </c>
      <c r="AJ18" s="58">
        <f t="shared" si="4"/>
        <v>0</v>
      </c>
      <c r="AK18" s="58">
        <f t="shared" si="4"/>
        <v>0</v>
      </c>
      <c r="AL18" s="58">
        <f t="shared" si="4"/>
        <v>0</v>
      </c>
      <c r="AM18" s="58">
        <f t="shared" si="4"/>
        <v>0</v>
      </c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Y18" s="44" t="s">
        <v>148</v>
      </c>
      <c r="FZ18" s="43">
        <f t="shared" si="0"/>
        <v>17</v>
      </c>
      <c r="GA18" s="43"/>
      <c r="GB18" s="43"/>
      <c r="GC18" s="43"/>
      <c r="GD18" s="43"/>
      <c r="GE18" s="43"/>
      <c r="GF18" s="43"/>
      <c r="GG18" s="43"/>
      <c r="GH18" s="43"/>
      <c r="GI18" s="43"/>
      <c r="GJ18" s="43">
        <f t="shared" si="1"/>
        <v>17</v>
      </c>
      <c r="GK18" s="43">
        <f t="shared" si="2"/>
        <v>0</v>
      </c>
      <c r="GL18" s="43"/>
      <c r="GM18" s="43"/>
      <c r="GN18" s="43"/>
      <c r="GO18" s="43">
        <v>1</v>
      </c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</row>
    <row r="19" spans="1:212" x14ac:dyDescent="0.25">
      <c r="A19" s="41"/>
      <c r="B19" s="50" t="s">
        <v>168</v>
      </c>
      <c r="C19" s="58"/>
      <c r="D19" s="58">
        <f t="shared" ref="D19:I19" si="5">D18-D21</f>
        <v>0</v>
      </c>
      <c r="E19" s="58">
        <f t="shared" si="5"/>
        <v>4342.6501636418834</v>
      </c>
      <c r="F19" s="58">
        <f t="shared" si="5"/>
        <v>4646.6356750968152</v>
      </c>
      <c r="G19" s="58">
        <f t="shared" si="5"/>
        <v>4971.9001723535912</v>
      </c>
      <c r="H19" s="58">
        <f t="shared" si="5"/>
        <v>5319.9331844183434</v>
      </c>
      <c r="I19" s="58">
        <f t="shared" si="5"/>
        <v>5692.3285073276274</v>
      </c>
      <c r="J19" s="58">
        <f>J18-J21</f>
        <v>6090.7915028405614</v>
      </c>
      <c r="K19" s="58">
        <f t="shared" ref="K19:AM19" si="6">K18-K21</f>
        <v>6517.1469080394008</v>
      </c>
      <c r="L19" s="58">
        <f t="shared" si="6"/>
        <v>6973.347191602159</v>
      </c>
      <c r="M19" s="58">
        <f t="shared" si="6"/>
        <v>7461.48149501431</v>
      </c>
      <c r="N19" s="58">
        <f t="shared" si="6"/>
        <v>7983.7851996653117</v>
      </c>
      <c r="O19" s="58">
        <f t="shared" si="6"/>
        <v>0</v>
      </c>
      <c r="P19" s="58">
        <f t="shared" si="6"/>
        <v>0</v>
      </c>
      <c r="Q19" s="58">
        <f t="shared" si="6"/>
        <v>0</v>
      </c>
      <c r="R19" s="58">
        <f t="shared" si="6"/>
        <v>0</v>
      </c>
      <c r="S19" s="58">
        <f t="shared" si="6"/>
        <v>0</v>
      </c>
      <c r="T19" s="58">
        <f t="shared" si="6"/>
        <v>0</v>
      </c>
      <c r="U19" s="58">
        <f t="shared" si="6"/>
        <v>0</v>
      </c>
      <c r="V19" s="58">
        <f t="shared" si="6"/>
        <v>0</v>
      </c>
      <c r="W19" s="58">
        <f t="shared" si="6"/>
        <v>0</v>
      </c>
      <c r="X19" s="58">
        <f t="shared" si="6"/>
        <v>0</v>
      </c>
      <c r="Y19" s="58">
        <f t="shared" si="6"/>
        <v>0</v>
      </c>
      <c r="Z19" s="58">
        <f t="shared" si="6"/>
        <v>0</v>
      </c>
      <c r="AA19" s="58">
        <f t="shared" si="6"/>
        <v>0</v>
      </c>
      <c r="AB19" s="58">
        <f t="shared" si="6"/>
        <v>0</v>
      </c>
      <c r="AC19" s="58">
        <f t="shared" si="6"/>
        <v>0</v>
      </c>
      <c r="AD19" s="58">
        <f t="shared" si="6"/>
        <v>0</v>
      </c>
      <c r="AE19" s="58">
        <f t="shared" si="6"/>
        <v>0</v>
      </c>
      <c r="AF19" s="58">
        <f t="shared" si="6"/>
        <v>0</v>
      </c>
      <c r="AG19" s="58">
        <f t="shared" si="6"/>
        <v>0</v>
      </c>
      <c r="AH19" s="58">
        <f t="shared" si="6"/>
        <v>0</v>
      </c>
      <c r="AI19" s="58">
        <f t="shared" si="6"/>
        <v>0</v>
      </c>
      <c r="AJ19" s="58">
        <f t="shared" si="6"/>
        <v>0</v>
      </c>
      <c r="AK19" s="58">
        <f t="shared" si="6"/>
        <v>0</v>
      </c>
      <c r="AL19" s="58">
        <f t="shared" si="6"/>
        <v>0</v>
      </c>
      <c r="AM19" s="58">
        <f t="shared" si="6"/>
        <v>0</v>
      </c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Y19" s="44" t="s">
        <v>149</v>
      </c>
      <c r="FZ19" s="43">
        <f t="shared" si="0"/>
        <v>18</v>
      </c>
      <c r="GA19" s="43"/>
      <c r="GB19" s="43"/>
      <c r="GC19" s="43"/>
      <c r="GD19" s="43"/>
      <c r="GE19" s="43"/>
      <c r="GF19" s="43"/>
      <c r="GG19" s="43"/>
      <c r="GH19" s="43"/>
      <c r="GI19" s="43"/>
      <c r="GJ19" s="43">
        <f t="shared" si="1"/>
        <v>18</v>
      </c>
      <c r="GK19" s="43">
        <f t="shared" si="2"/>
        <v>0</v>
      </c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</row>
    <row r="20" spans="1:212" x14ac:dyDescent="0.25">
      <c r="A20" s="41"/>
      <c r="B20" s="50" t="s">
        <v>169</v>
      </c>
      <c r="C20" s="58"/>
      <c r="D20" s="58">
        <f t="shared" ref="D20:AM20" si="7">D19+C20*(IF(C22&lt;1,0,1))</f>
        <v>0</v>
      </c>
      <c r="E20" s="58">
        <f t="shared" si="7"/>
        <v>4342.6501636418834</v>
      </c>
      <c r="F20" s="58">
        <f t="shared" si="7"/>
        <v>8989.2858387386987</v>
      </c>
      <c r="G20" s="58">
        <f t="shared" si="7"/>
        <v>13961.18601109229</v>
      </c>
      <c r="H20" s="58">
        <f t="shared" si="7"/>
        <v>19281.119195510633</v>
      </c>
      <c r="I20" s="58">
        <f t="shared" si="7"/>
        <v>24973.447702838261</v>
      </c>
      <c r="J20" s="58">
        <f t="shared" si="7"/>
        <v>31064.239205678823</v>
      </c>
      <c r="K20" s="58">
        <f t="shared" si="7"/>
        <v>37581.386113718225</v>
      </c>
      <c r="L20" s="58">
        <f t="shared" si="7"/>
        <v>44554.733305320384</v>
      </c>
      <c r="M20" s="58">
        <f t="shared" si="7"/>
        <v>52016.214800334696</v>
      </c>
      <c r="N20" s="58">
        <f t="shared" si="7"/>
        <v>60000.000000000007</v>
      </c>
      <c r="O20" s="58">
        <f t="shared" si="7"/>
        <v>0</v>
      </c>
      <c r="P20" s="58">
        <f t="shared" si="7"/>
        <v>0</v>
      </c>
      <c r="Q20" s="58">
        <f t="shared" si="7"/>
        <v>0</v>
      </c>
      <c r="R20" s="58">
        <f t="shared" si="7"/>
        <v>0</v>
      </c>
      <c r="S20" s="58">
        <f t="shared" si="7"/>
        <v>0</v>
      </c>
      <c r="T20" s="58">
        <f t="shared" si="7"/>
        <v>0</v>
      </c>
      <c r="U20" s="58">
        <f t="shared" si="7"/>
        <v>0</v>
      </c>
      <c r="V20" s="58">
        <f t="shared" si="7"/>
        <v>0</v>
      </c>
      <c r="W20" s="58">
        <f t="shared" si="7"/>
        <v>0</v>
      </c>
      <c r="X20" s="58">
        <f t="shared" si="7"/>
        <v>0</v>
      </c>
      <c r="Y20" s="58">
        <f t="shared" si="7"/>
        <v>0</v>
      </c>
      <c r="Z20" s="58">
        <f t="shared" si="7"/>
        <v>0</v>
      </c>
      <c r="AA20" s="58">
        <f t="shared" si="7"/>
        <v>0</v>
      </c>
      <c r="AB20" s="58">
        <f t="shared" si="7"/>
        <v>0</v>
      </c>
      <c r="AC20" s="58">
        <f t="shared" si="7"/>
        <v>0</v>
      </c>
      <c r="AD20" s="58">
        <f t="shared" si="7"/>
        <v>0</v>
      </c>
      <c r="AE20" s="58">
        <f t="shared" si="7"/>
        <v>0</v>
      </c>
      <c r="AF20" s="58">
        <f t="shared" si="7"/>
        <v>0</v>
      </c>
      <c r="AG20" s="58">
        <f t="shared" si="7"/>
        <v>0</v>
      </c>
      <c r="AH20" s="58">
        <f t="shared" si="7"/>
        <v>0</v>
      </c>
      <c r="AI20" s="58">
        <f t="shared" si="7"/>
        <v>0</v>
      </c>
      <c r="AJ20" s="58">
        <f t="shared" si="7"/>
        <v>0</v>
      </c>
      <c r="AK20" s="58">
        <f t="shared" si="7"/>
        <v>0</v>
      </c>
      <c r="AL20" s="58">
        <f t="shared" si="7"/>
        <v>0</v>
      </c>
      <c r="AM20" s="58">
        <f t="shared" si="7"/>
        <v>0</v>
      </c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Y20" s="44" t="s">
        <v>150</v>
      </c>
      <c r="FZ20" s="43">
        <f t="shared" si="0"/>
        <v>19</v>
      </c>
      <c r="GA20" s="43"/>
      <c r="GB20" s="43"/>
      <c r="GC20" s="43"/>
      <c r="GD20" s="43"/>
      <c r="GE20" s="43"/>
      <c r="GF20" s="43"/>
      <c r="GG20" s="43"/>
      <c r="GH20" s="43"/>
      <c r="GI20" s="43"/>
      <c r="GJ20" s="43">
        <f t="shared" si="1"/>
        <v>19</v>
      </c>
      <c r="GK20" s="43">
        <f t="shared" si="2"/>
        <v>0</v>
      </c>
      <c r="GL20" s="43"/>
      <c r="GM20" s="43"/>
      <c r="GN20" s="43">
        <v>1</v>
      </c>
      <c r="GO20" s="43"/>
      <c r="GP20" s="43">
        <v>1</v>
      </c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</row>
    <row r="21" spans="1:212" x14ac:dyDescent="0.25">
      <c r="A21" s="41"/>
      <c r="B21" s="50" t="s">
        <v>170</v>
      </c>
      <c r="C21" s="58">
        <f t="shared" ref="C21:AM21" si="8">IF(C18&gt;0,B22*$D$12,0)</f>
        <v>0</v>
      </c>
      <c r="D21" s="58">
        <f t="shared" si="8"/>
        <v>0</v>
      </c>
      <c r="E21" s="58">
        <f t="shared" si="8"/>
        <v>4200</v>
      </c>
      <c r="F21" s="58">
        <f t="shared" si="8"/>
        <v>3896.0144885450686</v>
      </c>
      <c r="G21" s="58">
        <f t="shared" si="8"/>
        <v>3570.7499912882918</v>
      </c>
      <c r="H21" s="58">
        <f t="shared" si="8"/>
        <v>3222.7169792235404</v>
      </c>
      <c r="I21" s="58">
        <f t="shared" si="8"/>
        <v>2850.321656314256</v>
      </c>
      <c r="J21" s="58">
        <f t="shared" si="8"/>
        <v>2451.858660801322</v>
      </c>
      <c r="K21" s="58">
        <f t="shared" si="8"/>
        <v>2025.5032556024826</v>
      </c>
      <c r="L21" s="58">
        <f t="shared" si="8"/>
        <v>1569.3029720397244</v>
      </c>
      <c r="M21" s="58">
        <f t="shared" si="8"/>
        <v>1081.1686686275732</v>
      </c>
      <c r="N21" s="58">
        <f t="shared" si="8"/>
        <v>558.8649639765714</v>
      </c>
      <c r="O21" s="58">
        <f t="shared" si="8"/>
        <v>0</v>
      </c>
      <c r="P21" s="58">
        <f t="shared" si="8"/>
        <v>0</v>
      </c>
      <c r="Q21" s="58">
        <f t="shared" si="8"/>
        <v>0</v>
      </c>
      <c r="R21" s="58">
        <f t="shared" si="8"/>
        <v>0</v>
      </c>
      <c r="S21" s="58">
        <f t="shared" si="8"/>
        <v>0</v>
      </c>
      <c r="T21" s="58">
        <f t="shared" si="8"/>
        <v>0</v>
      </c>
      <c r="U21" s="58">
        <f t="shared" si="8"/>
        <v>0</v>
      </c>
      <c r="V21" s="58">
        <f t="shared" si="8"/>
        <v>0</v>
      </c>
      <c r="W21" s="58">
        <f t="shared" si="8"/>
        <v>0</v>
      </c>
      <c r="X21" s="58">
        <f t="shared" si="8"/>
        <v>0</v>
      </c>
      <c r="Y21" s="58">
        <f t="shared" si="8"/>
        <v>0</v>
      </c>
      <c r="Z21" s="58">
        <f t="shared" si="8"/>
        <v>0</v>
      </c>
      <c r="AA21" s="58">
        <f t="shared" si="8"/>
        <v>0</v>
      </c>
      <c r="AB21" s="58">
        <f t="shared" si="8"/>
        <v>0</v>
      </c>
      <c r="AC21" s="58">
        <f t="shared" si="8"/>
        <v>0</v>
      </c>
      <c r="AD21" s="58">
        <f t="shared" si="8"/>
        <v>0</v>
      </c>
      <c r="AE21" s="58">
        <f t="shared" si="8"/>
        <v>0</v>
      </c>
      <c r="AF21" s="58">
        <f t="shared" si="8"/>
        <v>0</v>
      </c>
      <c r="AG21" s="58">
        <f t="shared" si="8"/>
        <v>0</v>
      </c>
      <c r="AH21" s="58">
        <f t="shared" si="8"/>
        <v>0</v>
      </c>
      <c r="AI21" s="58">
        <f t="shared" si="8"/>
        <v>0</v>
      </c>
      <c r="AJ21" s="58">
        <f t="shared" si="8"/>
        <v>0</v>
      </c>
      <c r="AK21" s="58">
        <f t="shared" si="8"/>
        <v>0</v>
      </c>
      <c r="AL21" s="58">
        <f t="shared" si="8"/>
        <v>0</v>
      </c>
      <c r="AM21" s="58">
        <f t="shared" si="8"/>
        <v>0</v>
      </c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Y21" s="44" t="s">
        <v>151</v>
      </c>
      <c r="FZ21" s="43">
        <f t="shared" si="0"/>
        <v>20</v>
      </c>
      <c r="GA21" s="43"/>
      <c r="GB21" s="43"/>
      <c r="GC21" s="43"/>
      <c r="GD21" s="43"/>
      <c r="GE21" s="43"/>
      <c r="GF21" s="43"/>
      <c r="GG21" s="43"/>
      <c r="GH21" s="43"/>
      <c r="GI21" s="43"/>
      <c r="GJ21" s="43">
        <f t="shared" si="1"/>
        <v>20</v>
      </c>
      <c r="GK21" s="43">
        <f t="shared" si="2"/>
        <v>0</v>
      </c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</row>
    <row r="22" spans="1:212" x14ac:dyDescent="0.25">
      <c r="A22" s="41"/>
      <c r="B22" s="66" t="s">
        <v>171</v>
      </c>
      <c r="C22" s="58">
        <f>IF(D17=$C$4,$C$7,IF(C20=0,0,$C$7-C20))</f>
        <v>0</v>
      </c>
      <c r="D22" s="58">
        <f t="shared" ref="D22:AM22" si="9">IF(E17=$C$4,$C$7,IF(D20=0,0,$C$7-D20))</f>
        <v>60000</v>
      </c>
      <c r="E22" s="58">
        <f t="shared" si="9"/>
        <v>55657.349836358117</v>
      </c>
      <c r="F22" s="58">
        <f t="shared" si="9"/>
        <v>51010.714161261305</v>
      </c>
      <c r="G22" s="58">
        <f t="shared" si="9"/>
        <v>46038.813988907714</v>
      </c>
      <c r="H22" s="58">
        <f t="shared" si="9"/>
        <v>40718.880804489367</v>
      </c>
      <c r="I22" s="58">
        <f t="shared" si="9"/>
        <v>35026.552297161739</v>
      </c>
      <c r="J22" s="58">
        <f t="shared" si="9"/>
        <v>28935.760794321177</v>
      </c>
      <c r="K22" s="58">
        <f t="shared" si="9"/>
        <v>22418.613886281775</v>
      </c>
      <c r="L22" s="58">
        <f t="shared" si="9"/>
        <v>15445.266694679616</v>
      </c>
      <c r="M22" s="58">
        <f t="shared" si="9"/>
        <v>7983.7851996653044</v>
      </c>
      <c r="N22" s="58">
        <f t="shared" si="9"/>
        <v>-7.2759576141834259E-12</v>
      </c>
      <c r="O22" s="58">
        <f t="shared" si="9"/>
        <v>0</v>
      </c>
      <c r="P22" s="58">
        <f t="shared" si="9"/>
        <v>0</v>
      </c>
      <c r="Q22" s="58">
        <f t="shared" si="9"/>
        <v>0</v>
      </c>
      <c r="R22" s="58">
        <f t="shared" si="9"/>
        <v>0</v>
      </c>
      <c r="S22" s="58">
        <f t="shared" si="9"/>
        <v>0</v>
      </c>
      <c r="T22" s="58">
        <f t="shared" si="9"/>
        <v>0</v>
      </c>
      <c r="U22" s="58">
        <f t="shared" si="9"/>
        <v>0</v>
      </c>
      <c r="V22" s="58">
        <f t="shared" si="9"/>
        <v>0</v>
      </c>
      <c r="W22" s="58">
        <f t="shared" si="9"/>
        <v>0</v>
      </c>
      <c r="X22" s="58">
        <f t="shared" si="9"/>
        <v>0</v>
      </c>
      <c r="Y22" s="58">
        <f t="shared" si="9"/>
        <v>0</v>
      </c>
      <c r="Z22" s="58">
        <f t="shared" si="9"/>
        <v>0</v>
      </c>
      <c r="AA22" s="58">
        <f t="shared" si="9"/>
        <v>0</v>
      </c>
      <c r="AB22" s="58">
        <f t="shared" si="9"/>
        <v>0</v>
      </c>
      <c r="AC22" s="58">
        <f t="shared" si="9"/>
        <v>0</v>
      </c>
      <c r="AD22" s="58">
        <f t="shared" si="9"/>
        <v>0</v>
      </c>
      <c r="AE22" s="58">
        <f t="shared" si="9"/>
        <v>0</v>
      </c>
      <c r="AF22" s="58">
        <f t="shared" si="9"/>
        <v>0</v>
      </c>
      <c r="AG22" s="58">
        <f t="shared" si="9"/>
        <v>0</v>
      </c>
      <c r="AH22" s="58">
        <f t="shared" si="9"/>
        <v>0</v>
      </c>
      <c r="AI22" s="58">
        <f t="shared" si="9"/>
        <v>0</v>
      </c>
      <c r="AJ22" s="58">
        <f t="shared" si="9"/>
        <v>0</v>
      </c>
      <c r="AK22" s="58">
        <f t="shared" si="9"/>
        <v>0</v>
      </c>
      <c r="AL22" s="58">
        <f t="shared" si="9"/>
        <v>0</v>
      </c>
      <c r="AM22" s="58">
        <f t="shared" si="9"/>
        <v>0</v>
      </c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Y22" s="44" t="s">
        <v>152</v>
      </c>
      <c r="FZ22" s="43">
        <f t="shared" si="0"/>
        <v>21</v>
      </c>
      <c r="GA22" s="43"/>
      <c r="GB22" s="43"/>
      <c r="GC22" s="43"/>
      <c r="GD22" s="43"/>
      <c r="GE22" s="43"/>
      <c r="GF22" s="43"/>
      <c r="GG22" s="43"/>
      <c r="GH22" s="43"/>
      <c r="GI22" s="43"/>
      <c r="GJ22" s="43">
        <f t="shared" si="1"/>
        <v>21</v>
      </c>
      <c r="GK22" s="43">
        <f t="shared" si="2"/>
        <v>0</v>
      </c>
      <c r="GL22" s="43"/>
      <c r="GM22" s="43"/>
      <c r="GN22" s="43"/>
      <c r="GO22" s="43">
        <v>1</v>
      </c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</row>
    <row r="23" spans="1:212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FY23" s="44" t="s">
        <v>153</v>
      </c>
      <c r="FZ23" s="43">
        <f t="shared" si="0"/>
        <v>22</v>
      </c>
      <c r="GA23" s="43"/>
      <c r="GB23" s="43"/>
      <c r="GC23" s="43"/>
      <c r="GD23" s="43"/>
      <c r="GE23" s="43"/>
      <c r="GF23" s="43"/>
      <c r="GG23" s="43"/>
      <c r="GH23" s="43"/>
      <c r="GI23" s="43"/>
      <c r="GJ23" s="43">
        <f t="shared" si="1"/>
        <v>22</v>
      </c>
      <c r="GK23" s="43">
        <f t="shared" si="2"/>
        <v>0</v>
      </c>
      <c r="GL23" s="43"/>
      <c r="GM23" s="43"/>
      <c r="GN23" s="43"/>
      <c r="GO23" s="43"/>
      <c r="GP23" s="43">
        <v>1</v>
      </c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</row>
    <row r="24" spans="1:212" x14ac:dyDescent="0.25">
      <c r="A24" s="41"/>
      <c r="B24" s="41"/>
      <c r="C24" s="41"/>
      <c r="D24" s="41"/>
      <c r="E24" s="41"/>
      <c r="F24" s="67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FY24" s="44" t="s">
        <v>154</v>
      </c>
      <c r="FZ24" s="43">
        <f t="shared" si="0"/>
        <v>23</v>
      </c>
      <c r="GA24" s="43"/>
      <c r="GB24" s="43"/>
      <c r="GC24" s="43"/>
      <c r="GD24" s="43"/>
      <c r="GE24" s="43"/>
      <c r="GF24" s="43"/>
      <c r="GG24" s="43"/>
      <c r="GH24" s="43"/>
      <c r="GI24" s="43"/>
      <c r="GJ24" s="43">
        <f t="shared" si="1"/>
        <v>23</v>
      </c>
      <c r="GK24" s="43">
        <f t="shared" si="2"/>
        <v>0</v>
      </c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</row>
    <row r="25" spans="1:212" x14ac:dyDescent="0.25">
      <c r="A25" s="41"/>
      <c r="C25" s="41"/>
      <c r="D25" s="68">
        <f>+D17</f>
        <v>0</v>
      </c>
      <c r="E25" s="68" t="str">
        <f t="shared" ref="E25:AM25" si="10">+E17</f>
        <v>A1</v>
      </c>
      <c r="F25" s="68" t="str">
        <f t="shared" si="10"/>
        <v>A2</v>
      </c>
      <c r="G25" s="68" t="str">
        <f t="shared" si="10"/>
        <v>A3</v>
      </c>
      <c r="H25" s="68" t="str">
        <f t="shared" si="10"/>
        <v>A4</v>
      </c>
      <c r="I25" s="68" t="str">
        <f t="shared" si="10"/>
        <v>A5</v>
      </c>
      <c r="J25" s="68" t="str">
        <f t="shared" si="10"/>
        <v>A6</v>
      </c>
      <c r="K25" s="68" t="str">
        <f t="shared" si="10"/>
        <v>A7</v>
      </c>
      <c r="L25" s="68" t="str">
        <f t="shared" si="10"/>
        <v>A8</v>
      </c>
      <c r="M25" s="68" t="str">
        <f t="shared" si="10"/>
        <v>A9</v>
      </c>
      <c r="N25" s="68" t="str">
        <f t="shared" si="10"/>
        <v>A10</v>
      </c>
      <c r="O25" s="68" t="str">
        <f t="shared" si="10"/>
        <v>A11</v>
      </c>
      <c r="P25" s="68" t="str">
        <f t="shared" si="10"/>
        <v>A12</v>
      </c>
      <c r="Q25" s="68" t="str">
        <f t="shared" si="10"/>
        <v>A13</v>
      </c>
      <c r="R25" s="68" t="str">
        <f t="shared" si="10"/>
        <v>A14</v>
      </c>
      <c r="S25" s="68" t="str">
        <f t="shared" si="10"/>
        <v>A15</v>
      </c>
      <c r="T25" s="68" t="str">
        <f t="shared" si="10"/>
        <v>A16</v>
      </c>
      <c r="U25" s="68" t="str">
        <f t="shared" si="10"/>
        <v>A17</v>
      </c>
      <c r="V25" s="68" t="str">
        <f t="shared" si="10"/>
        <v>A18</v>
      </c>
      <c r="W25" s="68" t="str">
        <f t="shared" si="10"/>
        <v>A19</v>
      </c>
      <c r="X25" s="68" t="str">
        <f t="shared" si="10"/>
        <v>A20</v>
      </c>
      <c r="Y25" s="68" t="str">
        <f t="shared" si="10"/>
        <v>A21</v>
      </c>
      <c r="Z25" s="68" t="str">
        <f t="shared" si="10"/>
        <v>A22</v>
      </c>
      <c r="AA25" s="68" t="str">
        <f t="shared" si="10"/>
        <v>A23</v>
      </c>
      <c r="AB25" s="68" t="str">
        <f t="shared" si="10"/>
        <v>A24</v>
      </c>
      <c r="AC25" s="68" t="str">
        <f t="shared" si="10"/>
        <v>A25</v>
      </c>
      <c r="AD25" s="68" t="str">
        <f t="shared" si="10"/>
        <v>A26</v>
      </c>
      <c r="AE25" s="68" t="str">
        <f t="shared" si="10"/>
        <v>A27</v>
      </c>
      <c r="AF25" s="68" t="str">
        <f t="shared" si="10"/>
        <v>A28</v>
      </c>
      <c r="AG25" s="68" t="str">
        <f t="shared" si="10"/>
        <v>A29</v>
      </c>
      <c r="AH25" s="68" t="str">
        <f t="shared" si="10"/>
        <v>A30</v>
      </c>
      <c r="AI25" s="68" t="str">
        <f t="shared" si="10"/>
        <v>A31</v>
      </c>
      <c r="AJ25" s="68" t="str">
        <f t="shared" si="10"/>
        <v>A32</v>
      </c>
      <c r="AK25" s="68" t="str">
        <f t="shared" si="10"/>
        <v>A33</v>
      </c>
      <c r="AL25" s="68" t="str">
        <f t="shared" si="10"/>
        <v>A34</v>
      </c>
      <c r="AM25" s="68" t="str">
        <f t="shared" si="10"/>
        <v>A35</v>
      </c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FY25" s="44" t="s">
        <v>155</v>
      </c>
      <c r="FZ25" s="43">
        <f t="shared" si="0"/>
        <v>24</v>
      </c>
      <c r="GA25" s="43"/>
      <c r="GB25" s="43"/>
      <c r="GC25" s="43"/>
      <c r="GD25" s="43"/>
      <c r="GE25" s="43"/>
      <c r="GF25" s="43"/>
      <c r="GG25" s="43"/>
      <c r="GH25" s="43"/>
      <c r="GI25" s="43"/>
      <c r="GJ25" s="43">
        <f t="shared" si="1"/>
        <v>24</v>
      </c>
      <c r="GK25" s="43">
        <f t="shared" si="2"/>
        <v>0</v>
      </c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</row>
    <row r="26" spans="1:212" x14ac:dyDescent="0.25">
      <c r="A26" s="41" t="s">
        <v>172</v>
      </c>
      <c r="B26" s="63" t="s">
        <v>173</v>
      </c>
      <c r="C26" s="41"/>
      <c r="D26" s="58">
        <f t="shared" ref="D26:I26" si="11">+D22-D28</f>
        <v>60000</v>
      </c>
      <c r="E26" s="58">
        <f t="shared" si="11"/>
        <v>51457.349836358117</v>
      </c>
      <c r="F26" s="58">
        <f>+F22-F28</f>
        <v>47114.699672716233</v>
      </c>
      <c r="G26" s="58">
        <f t="shared" si="11"/>
        <v>42468.063997619422</v>
      </c>
      <c r="H26" s="58">
        <f t="shared" si="11"/>
        <v>37496.163825265823</v>
      </c>
      <c r="I26" s="58">
        <f t="shared" si="11"/>
        <v>32176.230640847483</v>
      </c>
      <c r="J26" s="58">
        <f>+J22-SUM($I$28:J28)</f>
        <v>23633.5804772056</v>
      </c>
      <c r="K26" s="58">
        <f>+K22-SUM($I$28:K28)</f>
        <v>15090.930313563715</v>
      </c>
      <c r="L26" s="58">
        <f>+L22-SUM($I$28:L28)</f>
        <v>6548.2801499218313</v>
      </c>
      <c r="M26" s="58">
        <f>+M22-SUM($I$28:M28)</f>
        <v>-1994.370013720054</v>
      </c>
      <c r="N26" s="58">
        <f>+N22-SUM($I$28:N28)</f>
        <v>-10537.020177361937</v>
      </c>
      <c r="O26" s="58">
        <f>+O22-SUM($I$28:O28)</f>
        <v>-10537.02017736193</v>
      </c>
      <c r="P26" s="58">
        <f>+P22-SUM($I$28:P28)</f>
        <v>-10537.02017736193</v>
      </c>
      <c r="Q26" s="58">
        <f>+Q22-SUM($I$28:Q28)</f>
        <v>-10537.02017736193</v>
      </c>
      <c r="R26" s="58">
        <f>+R22-SUM($I$28:R28)</f>
        <v>-10537.02017736193</v>
      </c>
      <c r="S26" s="58">
        <f>+S22-SUM($I$28:S28)</f>
        <v>-10537.02017736193</v>
      </c>
      <c r="T26" s="58">
        <f>+T22-SUM($I$28:T28)</f>
        <v>-10537.02017736193</v>
      </c>
      <c r="U26" s="58">
        <f>+U22-SUM($I$28:U28)</f>
        <v>-10537.02017736193</v>
      </c>
      <c r="V26" s="58">
        <f>+V22-SUM($I$28:V28)</f>
        <v>-10537.02017736193</v>
      </c>
      <c r="W26" s="58">
        <f>+W22-SUM($I$28:W28)</f>
        <v>-10537.02017736193</v>
      </c>
      <c r="X26" s="58">
        <f>+X22-SUM($I$28:X28)</f>
        <v>-10537.02017736193</v>
      </c>
      <c r="Y26" s="58">
        <f>+Y22-SUM($I$28:Y28)</f>
        <v>-10537.02017736193</v>
      </c>
      <c r="Z26" s="58">
        <f>+Z22-SUM($I$28:Z28)</f>
        <v>-10537.02017736193</v>
      </c>
      <c r="AA26" s="58">
        <f>+AA22-SUM($I$28:AA28)</f>
        <v>-10537.02017736193</v>
      </c>
      <c r="AB26" s="58">
        <f>+AB22-SUM($I$28:AB28)</f>
        <v>-10537.02017736193</v>
      </c>
      <c r="AC26" s="58">
        <f>+AC22-SUM($I$28:AC28)</f>
        <v>-10537.02017736193</v>
      </c>
      <c r="AD26" s="58">
        <f>+AD22-SUM($I$28:AD28)</f>
        <v>-10537.02017736193</v>
      </c>
      <c r="AE26" s="58">
        <f>+AE22-SUM($I$28:AE28)</f>
        <v>-10537.02017736193</v>
      </c>
      <c r="AF26" s="58">
        <f>+AF22-SUM($I$28:AF28)</f>
        <v>-10537.02017736193</v>
      </c>
      <c r="AG26" s="58">
        <f>+AG22-SUM($I$28:AG28)</f>
        <v>-10537.02017736193</v>
      </c>
      <c r="AH26" s="58">
        <f>+AH22-SUM($I$28:AH28)</f>
        <v>-10537.02017736193</v>
      </c>
      <c r="AI26" s="58">
        <f>+AI22-SUM($I$28:AI28)</f>
        <v>-10537.02017736193</v>
      </c>
      <c r="AJ26" s="58">
        <f>+AJ22-SUM($I$28:AJ28)</f>
        <v>-10537.02017736193</v>
      </c>
      <c r="AK26" s="58">
        <f>+AK22-SUM($I$28:AK28)</f>
        <v>-10537.02017736193</v>
      </c>
      <c r="AL26" s="58">
        <f>+AL22-SUM($I$28:AL28)</f>
        <v>-10537.02017736193</v>
      </c>
      <c r="AM26" s="58">
        <f>+AM22-SUM($I$28:AM28)</f>
        <v>-10537.02017736193</v>
      </c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FY26" s="44" t="s">
        <v>156</v>
      </c>
      <c r="FZ26" s="43">
        <f t="shared" si="0"/>
        <v>25</v>
      </c>
      <c r="GA26" s="43"/>
      <c r="GB26" s="43"/>
      <c r="GC26" s="43"/>
      <c r="GD26" s="43"/>
      <c r="GE26" s="43"/>
      <c r="GF26" s="43"/>
      <c r="GG26" s="43"/>
      <c r="GH26" s="43"/>
      <c r="GI26" s="43"/>
      <c r="GJ26" s="43">
        <f t="shared" si="1"/>
        <v>25</v>
      </c>
      <c r="GK26" s="43">
        <f t="shared" si="2"/>
        <v>0</v>
      </c>
      <c r="GL26" s="43"/>
      <c r="GM26" s="43">
        <v>1</v>
      </c>
      <c r="GN26" s="43">
        <v>1</v>
      </c>
      <c r="GO26" s="43">
        <v>1</v>
      </c>
      <c r="GP26" s="43">
        <v>1</v>
      </c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</row>
    <row r="27" spans="1:212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FY27" s="44" t="s">
        <v>157</v>
      </c>
      <c r="FZ27" s="43">
        <f t="shared" si="0"/>
        <v>26</v>
      </c>
      <c r="GA27" s="43"/>
      <c r="GB27" s="43"/>
      <c r="GC27" s="43"/>
      <c r="GD27" s="43"/>
      <c r="GE27" s="43"/>
      <c r="GF27" s="43"/>
      <c r="GG27" s="43"/>
      <c r="GH27" s="43"/>
      <c r="GI27" s="43"/>
      <c r="GJ27" s="43">
        <f t="shared" si="1"/>
        <v>26</v>
      </c>
      <c r="GK27" s="43">
        <f t="shared" si="2"/>
        <v>0</v>
      </c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</row>
    <row r="28" spans="1:212" x14ac:dyDescent="0.25">
      <c r="A28" s="41" t="s">
        <v>174</v>
      </c>
      <c r="B28" s="63" t="s">
        <v>175</v>
      </c>
      <c r="C28" s="41"/>
      <c r="D28" s="58">
        <f>+D21</f>
        <v>0</v>
      </c>
      <c r="E28" s="58">
        <f t="shared" ref="E28:AM28" si="12">+E21</f>
        <v>4200</v>
      </c>
      <c r="F28" s="58">
        <f t="shared" si="12"/>
        <v>3896.0144885450686</v>
      </c>
      <c r="G28" s="58">
        <f t="shared" si="12"/>
        <v>3570.7499912882918</v>
      </c>
      <c r="H28" s="58">
        <f t="shared" si="12"/>
        <v>3222.7169792235404</v>
      </c>
      <c r="I28" s="58">
        <f t="shared" si="12"/>
        <v>2850.321656314256</v>
      </c>
      <c r="J28" s="58">
        <f t="shared" si="12"/>
        <v>2451.858660801322</v>
      </c>
      <c r="K28" s="58">
        <f t="shared" si="12"/>
        <v>2025.5032556024826</v>
      </c>
      <c r="L28" s="58">
        <f t="shared" si="12"/>
        <v>1569.3029720397244</v>
      </c>
      <c r="M28" s="58">
        <f t="shared" si="12"/>
        <v>1081.1686686275732</v>
      </c>
      <c r="N28" s="58">
        <f t="shared" si="12"/>
        <v>558.8649639765714</v>
      </c>
      <c r="O28" s="58">
        <f t="shared" si="12"/>
        <v>0</v>
      </c>
      <c r="P28" s="58">
        <f t="shared" si="12"/>
        <v>0</v>
      </c>
      <c r="Q28" s="58">
        <f t="shared" si="12"/>
        <v>0</v>
      </c>
      <c r="R28" s="58">
        <f t="shared" si="12"/>
        <v>0</v>
      </c>
      <c r="S28" s="58">
        <f t="shared" si="12"/>
        <v>0</v>
      </c>
      <c r="T28" s="58">
        <f t="shared" si="12"/>
        <v>0</v>
      </c>
      <c r="U28" s="58">
        <f t="shared" si="12"/>
        <v>0</v>
      </c>
      <c r="V28" s="58">
        <f t="shared" si="12"/>
        <v>0</v>
      </c>
      <c r="W28" s="58">
        <f t="shared" si="12"/>
        <v>0</v>
      </c>
      <c r="X28" s="58">
        <f t="shared" si="12"/>
        <v>0</v>
      </c>
      <c r="Y28" s="58">
        <f t="shared" si="12"/>
        <v>0</v>
      </c>
      <c r="Z28" s="58">
        <f t="shared" si="12"/>
        <v>0</v>
      </c>
      <c r="AA28" s="58">
        <f t="shared" si="12"/>
        <v>0</v>
      </c>
      <c r="AB28" s="58">
        <f t="shared" si="12"/>
        <v>0</v>
      </c>
      <c r="AC28" s="58">
        <f t="shared" si="12"/>
        <v>0</v>
      </c>
      <c r="AD28" s="58">
        <f t="shared" si="12"/>
        <v>0</v>
      </c>
      <c r="AE28" s="58">
        <f t="shared" si="12"/>
        <v>0</v>
      </c>
      <c r="AF28" s="58">
        <f t="shared" si="12"/>
        <v>0</v>
      </c>
      <c r="AG28" s="58">
        <f t="shared" si="12"/>
        <v>0</v>
      </c>
      <c r="AH28" s="58">
        <f t="shared" si="12"/>
        <v>0</v>
      </c>
      <c r="AI28" s="58">
        <f t="shared" si="12"/>
        <v>0</v>
      </c>
      <c r="AJ28" s="58">
        <f t="shared" si="12"/>
        <v>0</v>
      </c>
      <c r="AK28" s="58">
        <f t="shared" si="12"/>
        <v>0</v>
      </c>
      <c r="AL28" s="58">
        <f t="shared" si="12"/>
        <v>0</v>
      </c>
      <c r="AM28" s="58">
        <f t="shared" si="12"/>
        <v>0</v>
      </c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FY28" s="44" t="s">
        <v>158</v>
      </c>
      <c r="FZ28" s="43">
        <f t="shared" si="0"/>
        <v>27</v>
      </c>
      <c r="GA28" s="43"/>
      <c r="GB28" s="43"/>
      <c r="GC28" s="43"/>
      <c r="GD28" s="43"/>
      <c r="GE28" s="43"/>
      <c r="GF28" s="43"/>
      <c r="GG28" s="43"/>
      <c r="GH28" s="43"/>
      <c r="GI28" s="43"/>
      <c r="GJ28" s="43">
        <f t="shared" si="1"/>
        <v>27</v>
      </c>
      <c r="GK28" s="43">
        <f t="shared" si="2"/>
        <v>0</v>
      </c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</row>
    <row r="29" spans="1:212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FY29" s="44" t="s">
        <v>159</v>
      </c>
      <c r="FZ29" s="43">
        <f t="shared" si="0"/>
        <v>28</v>
      </c>
      <c r="GA29" s="43"/>
      <c r="GB29" s="43"/>
      <c r="GC29" s="43"/>
      <c r="GD29" s="43"/>
      <c r="GE29" s="43"/>
      <c r="GF29" s="43"/>
      <c r="GG29" s="43"/>
      <c r="GH29" s="43"/>
      <c r="GI29" s="43"/>
      <c r="GJ29" s="43">
        <f t="shared" si="1"/>
        <v>28</v>
      </c>
      <c r="GK29" s="43">
        <f t="shared" si="2"/>
        <v>0</v>
      </c>
      <c r="GL29" s="43"/>
      <c r="GM29" s="43"/>
      <c r="GN29" s="43"/>
      <c r="GO29" s="43"/>
      <c r="GP29" s="43">
        <v>1</v>
      </c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</row>
    <row r="30" spans="1:212" x14ac:dyDescent="0.25">
      <c r="A30" s="41"/>
      <c r="B30" s="41"/>
      <c r="C30" s="41"/>
      <c r="D30" s="41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FY30" s="44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</row>
    <row r="31" spans="1:212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FY31" s="44" t="s">
        <v>161</v>
      </c>
      <c r="FZ31" s="43">
        <f t="shared" si="0"/>
        <v>1</v>
      </c>
      <c r="GA31" s="43"/>
      <c r="GB31" s="43"/>
      <c r="GC31" s="43"/>
      <c r="GD31" s="43"/>
      <c r="GE31" s="43"/>
      <c r="GF31" s="43"/>
      <c r="GG31" s="43"/>
      <c r="GH31" s="43"/>
      <c r="GI31" s="43"/>
      <c r="GJ31" s="43">
        <f t="shared" si="1"/>
        <v>1</v>
      </c>
      <c r="GK31" s="43">
        <f t="shared" si="2"/>
        <v>0</v>
      </c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</row>
    <row r="32" spans="1:212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FY32" s="44" t="s">
        <v>162</v>
      </c>
      <c r="FZ32" s="43">
        <f t="shared" si="0"/>
        <v>2</v>
      </c>
      <c r="GA32" s="43"/>
      <c r="GB32" s="43"/>
      <c r="GC32" s="43"/>
      <c r="GD32" s="43"/>
      <c r="GE32" s="43"/>
      <c r="GF32" s="43"/>
      <c r="GG32" s="43"/>
      <c r="GH32" s="43"/>
      <c r="GI32" s="43"/>
      <c r="GJ32" s="43">
        <f t="shared" si="1"/>
        <v>2</v>
      </c>
      <c r="GK32" s="43">
        <f t="shared" si="2"/>
        <v>0</v>
      </c>
      <c r="GL32" s="43"/>
      <c r="GM32" s="43"/>
      <c r="GN32" s="43">
        <v>1</v>
      </c>
      <c r="GO32" s="43"/>
      <c r="GP32" s="43">
        <v>1</v>
      </c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</row>
    <row r="33" spans="1:212" x14ac:dyDescent="0.25">
      <c r="A33" s="41"/>
      <c r="B33" s="41" t="s">
        <v>176</v>
      </c>
      <c r="C33" s="41"/>
      <c r="D33" s="41"/>
      <c r="E33" s="69">
        <f>+IF(E22-E21&gt;0,E22-E21,0)</f>
        <v>51457.349836358117</v>
      </c>
      <c r="F33" s="69">
        <f>+IF(F22-F21-E22&gt;0,F22-F21-E22,0)</f>
        <v>0</v>
      </c>
      <c r="G33" s="69">
        <f t="shared" ref="G33:L33" si="13">+IF(G22-G21-F22&gt;0,G22-G21-G19,0)</f>
        <v>0</v>
      </c>
      <c r="H33" s="69">
        <f t="shared" si="13"/>
        <v>0</v>
      </c>
      <c r="I33" s="69">
        <f t="shared" si="13"/>
        <v>0</v>
      </c>
      <c r="J33" s="69">
        <f t="shared" si="13"/>
        <v>0</v>
      </c>
      <c r="K33" s="69">
        <f t="shared" si="13"/>
        <v>0</v>
      </c>
      <c r="L33" s="69">
        <f t="shared" si="13"/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FY33" s="44" t="s">
        <v>163</v>
      </c>
      <c r="FZ33" s="43">
        <f t="shared" si="0"/>
        <v>3</v>
      </c>
      <c r="GA33" s="43"/>
      <c r="GB33" s="43"/>
      <c r="GC33" s="43"/>
      <c r="GD33" s="43"/>
      <c r="GE33" s="43"/>
      <c r="GF33" s="43"/>
      <c r="GG33" s="43"/>
      <c r="GH33" s="43"/>
      <c r="GI33" s="43"/>
      <c r="GJ33" s="43">
        <f t="shared" si="1"/>
        <v>3</v>
      </c>
      <c r="GK33" s="43">
        <f t="shared" si="2"/>
        <v>0</v>
      </c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</row>
    <row r="34" spans="1:212" x14ac:dyDescent="0.25">
      <c r="A34" s="41"/>
      <c r="B34" s="41" t="s">
        <v>177</v>
      </c>
      <c r="C34" s="41"/>
      <c r="D34" s="41"/>
      <c r="E34" s="69">
        <f>+IF(E22-E21-E19&lt;0,E22-E21-E19,0)</f>
        <v>0</v>
      </c>
      <c r="F34" s="69">
        <f>+IF(F22-F21-E22&lt;0,-(F22-F21-E22),0)</f>
        <v>8542.6501636418834</v>
      </c>
      <c r="G34" s="69">
        <f t="shared" ref="G34:L34" si="14">+IF(G22-G21-F22&lt;0,-(G22-G21-F22),0)</f>
        <v>8542.6501636418834</v>
      </c>
      <c r="H34" s="69">
        <f t="shared" si="14"/>
        <v>8542.6501636418907</v>
      </c>
      <c r="I34" s="69">
        <f t="shared" si="14"/>
        <v>8542.6501636418834</v>
      </c>
      <c r="J34" s="69">
        <f t="shared" si="14"/>
        <v>8542.6501636418834</v>
      </c>
      <c r="K34" s="69">
        <f t="shared" si="14"/>
        <v>8542.6501636418834</v>
      </c>
      <c r="L34" s="69">
        <f t="shared" si="14"/>
        <v>8542.6501636418834</v>
      </c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FY34" s="44" t="s">
        <v>164</v>
      </c>
      <c r="FZ34" s="43">
        <f t="shared" si="0"/>
        <v>4</v>
      </c>
      <c r="GA34" s="43"/>
      <c r="GB34" s="43"/>
      <c r="GC34" s="43"/>
      <c r="GD34" s="43"/>
      <c r="GE34" s="43"/>
      <c r="GF34" s="43"/>
      <c r="GG34" s="43"/>
      <c r="GH34" s="43"/>
      <c r="GI34" s="43"/>
      <c r="GJ34" s="43">
        <f t="shared" si="1"/>
        <v>4</v>
      </c>
      <c r="GK34" s="43">
        <f t="shared" si="2"/>
        <v>0</v>
      </c>
      <c r="GL34" s="43"/>
      <c r="GM34" s="43"/>
      <c r="GN34" s="43"/>
      <c r="GO34" s="43">
        <v>1</v>
      </c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</row>
    <row r="35" spans="1:212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FY35" s="44" t="s">
        <v>165</v>
      </c>
      <c r="FZ35" s="43">
        <f t="shared" si="0"/>
        <v>5</v>
      </c>
      <c r="GA35" s="43"/>
      <c r="GB35" s="43"/>
      <c r="GC35" s="43"/>
      <c r="GD35" s="43"/>
      <c r="GE35" s="43"/>
      <c r="GF35" s="43"/>
      <c r="GG35" s="43"/>
      <c r="GH35" s="43"/>
      <c r="GI35" s="43"/>
      <c r="GJ35" s="43">
        <f t="shared" si="1"/>
        <v>5</v>
      </c>
      <c r="GK35" s="43">
        <f t="shared" si="2"/>
        <v>0</v>
      </c>
      <c r="GL35" s="43"/>
      <c r="GM35" s="43"/>
      <c r="GN35" s="43"/>
      <c r="GO35" s="43"/>
      <c r="GP35" s="43">
        <v>1</v>
      </c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</row>
    <row r="36" spans="1:212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FY36" s="44" t="s">
        <v>166</v>
      </c>
      <c r="FZ36" s="43">
        <f t="shared" si="0"/>
        <v>6</v>
      </c>
      <c r="GA36" s="43"/>
      <c r="GB36" s="43"/>
      <c r="GC36" s="43"/>
      <c r="GD36" s="43"/>
      <c r="GE36" s="43"/>
      <c r="GF36" s="43"/>
      <c r="GG36" s="43"/>
      <c r="GH36" s="43"/>
      <c r="GI36" s="43"/>
      <c r="GJ36" s="43">
        <f t="shared" si="1"/>
        <v>6</v>
      </c>
      <c r="GK36" s="43">
        <f t="shared" si="2"/>
        <v>0</v>
      </c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</row>
    <row r="37" spans="1:212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FY37" s="44" t="s">
        <v>178</v>
      </c>
      <c r="FZ37" s="43">
        <f t="shared" si="0"/>
        <v>7</v>
      </c>
      <c r="GA37" s="43"/>
      <c r="GB37" s="43"/>
      <c r="GC37" s="43"/>
      <c r="GD37" s="43"/>
      <c r="GE37" s="43"/>
      <c r="GF37" s="43"/>
      <c r="GG37" s="43"/>
      <c r="GH37" s="43"/>
      <c r="GI37" s="43"/>
      <c r="GJ37" s="43">
        <f t="shared" si="1"/>
        <v>7</v>
      </c>
      <c r="GK37" s="43">
        <f t="shared" si="2"/>
        <v>0</v>
      </c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</row>
    <row r="38" spans="1:212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FY38" s="44" t="s">
        <v>179</v>
      </c>
      <c r="FZ38" s="43">
        <f t="shared" si="0"/>
        <v>8</v>
      </c>
      <c r="GA38" s="43"/>
      <c r="GB38" s="43"/>
      <c r="GC38" s="43"/>
      <c r="GD38" s="43"/>
      <c r="GE38" s="43"/>
      <c r="GF38" s="43"/>
      <c r="GG38" s="43"/>
      <c r="GH38" s="43"/>
      <c r="GI38" s="43"/>
      <c r="GJ38" s="43">
        <f t="shared" si="1"/>
        <v>8</v>
      </c>
      <c r="GK38" s="43">
        <f t="shared" si="2"/>
        <v>0</v>
      </c>
      <c r="GL38" s="43"/>
      <c r="GM38" s="43">
        <v>1</v>
      </c>
      <c r="GN38" s="43">
        <v>1</v>
      </c>
      <c r="GO38" s="43">
        <v>1</v>
      </c>
      <c r="GP38" s="43">
        <v>1</v>
      </c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</row>
    <row r="39" spans="1:212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FY39" s="44" t="s">
        <v>180</v>
      </c>
      <c r="FZ39" s="43">
        <f t="shared" si="0"/>
        <v>9</v>
      </c>
      <c r="GA39" s="43"/>
      <c r="GB39" s="43"/>
      <c r="GC39" s="43"/>
      <c r="GD39" s="43"/>
      <c r="GE39" s="43"/>
      <c r="GF39" s="43"/>
      <c r="GG39" s="43"/>
      <c r="GH39" s="43"/>
      <c r="GI39" s="43"/>
      <c r="GJ39" s="43">
        <f t="shared" si="1"/>
        <v>9</v>
      </c>
      <c r="GK39" s="43">
        <f t="shared" si="2"/>
        <v>0</v>
      </c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</row>
    <row r="40" spans="1:212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FY40" s="44" t="s">
        <v>181</v>
      </c>
      <c r="FZ40" s="43">
        <f t="shared" si="0"/>
        <v>10</v>
      </c>
      <c r="GA40" s="43"/>
      <c r="GB40" s="43"/>
      <c r="GC40" s="43"/>
      <c r="GD40" s="43"/>
      <c r="GE40" s="43"/>
      <c r="GF40" s="43"/>
      <c r="GG40" s="43"/>
      <c r="GH40" s="43"/>
      <c r="GI40" s="43"/>
      <c r="GJ40" s="43">
        <f t="shared" si="1"/>
        <v>10</v>
      </c>
      <c r="GK40" s="43">
        <f t="shared" si="2"/>
        <v>0</v>
      </c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</row>
    <row r="41" spans="1:212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FY41" s="44" t="s">
        <v>182</v>
      </c>
      <c r="FZ41" s="43">
        <f t="shared" si="0"/>
        <v>11</v>
      </c>
      <c r="GA41" s="43"/>
      <c r="GB41" s="43"/>
      <c r="GC41" s="43"/>
      <c r="GD41" s="43"/>
      <c r="GE41" s="43"/>
      <c r="GF41" s="43"/>
      <c r="GG41" s="43"/>
      <c r="GH41" s="43"/>
      <c r="GI41" s="43"/>
      <c r="GJ41" s="43">
        <f t="shared" si="1"/>
        <v>11</v>
      </c>
      <c r="GK41" s="43">
        <f t="shared" si="2"/>
        <v>0</v>
      </c>
      <c r="GL41" s="43"/>
      <c r="GM41" s="43"/>
      <c r="GN41" s="43"/>
      <c r="GO41" s="43"/>
      <c r="GP41" s="43">
        <v>1</v>
      </c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</row>
    <row r="42" spans="1:212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FY42" s="44" t="s">
        <v>183</v>
      </c>
      <c r="FZ42" s="43">
        <f t="shared" si="0"/>
        <v>12</v>
      </c>
      <c r="GA42" s="43"/>
      <c r="GB42" s="43"/>
      <c r="GC42" s="43"/>
      <c r="GD42" s="43"/>
      <c r="GE42" s="43"/>
      <c r="GF42" s="43"/>
      <c r="GG42" s="43"/>
      <c r="GH42" s="43"/>
      <c r="GI42" s="43"/>
      <c r="GJ42" s="43">
        <f t="shared" si="1"/>
        <v>12</v>
      </c>
      <c r="GK42" s="43">
        <f t="shared" si="2"/>
        <v>0</v>
      </c>
      <c r="GL42" s="43"/>
      <c r="GM42" s="43"/>
      <c r="GN42" s="43"/>
      <c r="GO42" s="43">
        <v>1</v>
      </c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</row>
    <row r="43" spans="1:212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FY43" s="44" t="s">
        <v>184</v>
      </c>
      <c r="FZ43" s="43">
        <f t="shared" si="0"/>
        <v>13</v>
      </c>
      <c r="GA43" s="43"/>
      <c r="GB43" s="43"/>
      <c r="GC43" s="43"/>
      <c r="GD43" s="43"/>
      <c r="GE43" s="43"/>
      <c r="GF43" s="43"/>
      <c r="GG43" s="43"/>
      <c r="GH43" s="43"/>
      <c r="GI43" s="43"/>
      <c r="GJ43" s="43">
        <f t="shared" si="1"/>
        <v>13</v>
      </c>
      <c r="GK43" s="43">
        <f t="shared" si="2"/>
        <v>0</v>
      </c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</row>
    <row r="44" spans="1:212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FY44" s="44" t="s">
        <v>185</v>
      </c>
      <c r="FZ44" s="43">
        <f t="shared" si="0"/>
        <v>14</v>
      </c>
      <c r="GA44" s="43"/>
      <c r="GB44" s="43"/>
      <c r="GC44" s="43"/>
      <c r="GD44" s="43"/>
      <c r="GE44" s="43"/>
      <c r="GF44" s="43"/>
      <c r="GG44" s="43"/>
      <c r="GH44" s="43"/>
      <c r="GI44" s="43"/>
      <c r="GJ44" s="43">
        <f t="shared" si="1"/>
        <v>14</v>
      </c>
      <c r="GK44" s="43">
        <f t="shared" si="2"/>
        <v>0</v>
      </c>
      <c r="GL44" s="43"/>
      <c r="GM44" s="43"/>
      <c r="GN44" s="43">
        <v>1</v>
      </c>
      <c r="GO44" s="43"/>
      <c r="GP44" s="43">
        <v>1</v>
      </c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</row>
    <row r="45" spans="1:212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FY45" s="44" t="s">
        <v>186</v>
      </c>
      <c r="FZ45" s="43">
        <f t="shared" si="0"/>
        <v>15</v>
      </c>
      <c r="GA45" s="43"/>
      <c r="GB45" s="43"/>
      <c r="GC45" s="43"/>
      <c r="GD45" s="43"/>
      <c r="GE45" s="43"/>
      <c r="GF45" s="43"/>
      <c r="GG45" s="43"/>
      <c r="GH45" s="43"/>
      <c r="GI45" s="43"/>
      <c r="GJ45" s="43">
        <f t="shared" si="1"/>
        <v>15</v>
      </c>
      <c r="GK45" s="43">
        <f t="shared" si="2"/>
        <v>0</v>
      </c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</row>
    <row r="46" spans="1:212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FY46" s="44" t="s">
        <v>187</v>
      </c>
      <c r="FZ46" s="43">
        <f t="shared" si="0"/>
        <v>16</v>
      </c>
      <c r="GA46" s="43"/>
      <c r="GB46" s="43"/>
      <c r="GC46" s="43"/>
      <c r="GD46" s="43"/>
      <c r="GE46" s="43"/>
      <c r="GF46" s="43"/>
      <c r="GG46" s="43"/>
      <c r="GH46" s="43"/>
      <c r="GI46" s="43"/>
      <c r="GJ46" s="43">
        <f t="shared" si="1"/>
        <v>16</v>
      </c>
      <c r="GK46" s="43">
        <f t="shared" si="2"/>
        <v>0</v>
      </c>
      <c r="GL46" s="43"/>
      <c r="GM46" s="43"/>
      <c r="GN46" s="43"/>
      <c r="GO46" s="43">
        <v>1</v>
      </c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</row>
    <row r="47" spans="1:212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FY47" s="44" t="s">
        <v>188</v>
      </c>
      <c r="FZ47" s="43">
        <f t="shared" si="0"/>
        <v>17</v>
      </c>
      <c r="GA47" s="43"/>
      <c r="GB47" s="43"/>
      <c r="GC47" s="43"/>
      <c r="GD47" s="43"/>
      <c r="GE47" s="43"/>
      <c r="GF47" s="43"/>
      <c r="GG47" s="43"/>
      <c r="GH47" s="43"/>
      <c r="GI47" s="43"/>
      <c r="GJ47" s="43">
        <f t="shared" si="1"/>
        <v>17</v>
      </c>
      <c r="GK47" s="43">
        <f t="shared" si="2"/>
        <v>0</v>
      </c>
      <c r="GL47" s="43"/>
      <c r="GM47" s="43"/>
      <c r="GN47" s="43"/>
      <c r="GO47" s="43"/>
      <c r="GP47" s="43">
        <v>1</v>
      </c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</row>
    <row r="48" spans="1:212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FY48" s="44" t="s">
        <v>189</v>
      </c>
      <c r="FZ48" s="43">
        <f t="shared" si="0"/>
        <v>18</v>
      </c>
      <c r="GA48" s="43"/>
      <c r="GB48" s="43"/>
      <c r="GC48" s="43"/>
      <c r="GD48" s="43"/>
      <c r="GE48" s="43"/>
      <c r="GF48" s="43"/>
      <c r="GG48" s="43"/>
      <c r="GH48" s="43"/>
      <c r="GI48" s="43"/>
      <c r="GJ48" s="43">
        <f t="shared" si="1"/>
        <v>18</v>
      </c>
      <c r="GK48" s="43">
        <f t="shared" si="2"/>
        <v>0</v>
      </c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</row>
    <row r="49" spans="1:212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FY49" s="44" t="s">
        <v>190</v>
      </c>
      <c r="FZ49" s="43">
        <f t="shared" si="0"/>
        <v>19</v>
      </c>
      <c r="GA49" s="43"/>
      <c r="GB49" s="43"/>
      <c r="GC49" s="43"/>
      <c r="GD49" s="43"/>
      <c r="GE49" s="43"/>
      <c r="GF49" s="43"/>
      <c r="GG49" s="43"/>
      <c r="GH49" s="43"/>
      <c r="GI49" s="43"/>
      <c r="GJ49" s="43">
        <f t="shared" si="1"/>
        <v>19</v>
      </c>
      <c r="GK49" s="43">
        <f t="shared" si="2"/>
        <v>0</v>
      </c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</row>
    <row r="50" spans="1:212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FY50" s="44" t="s">
        <v>191</v>
      </c>
      <c r="FZ50" s="43">
        <f t="shared" si="0"/>
        <v>20</v>
      </c>
      <c r="GA50" s="43"/>
      <c r="GB50" s="43"/>
      <c r="GC50" s="43"/>
      <c r="GD50" s="43"/>
      <c r="GE50" s="43"/>
      <c r="GF50" s="43"/>
      <c r="GG50" s="43"/>
      <c r="GH50" s="43"/>
      <c r="GI50" s="43"/>
      <c r="GJ50" s="43">
        <f t="shared" si="1"/>
        <v>20</v>
      </c>
      <c r="GK50" s="43">
        <f t="shared" si="2"/>
        <v>0</v>
      </c>
      <c r="GL50" s="43"/>
      <c r="GM50" s="43">
        <v>1</v>
      </c>
      <c r="GN50" s="43">
        <v>1</v>
      </c>
      <c r="GO50" s="43">
        <v>1</v>
      </c>
      <c r="GP50" s="43">
        <v>1</v>
      </c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</row>
    <row r="51" spans="1:212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FY51" s="44" t="s">
        <v>192</v>
      </c>
      <c r="FZ51" s="43">
        <f t="shared" si="0"/>
        <v>21</v>
      </c>
      <c r="GA51" s="43"/>
      <c r="GB51" s="43"/>
      <c r="GC51" s="43"/>
      <c r="GD51" s="43"/>
      <c r="GE51" s="43"/>
      <c r="GF51" s="43"/>
      <c r="GG51" s="43"/>
      <c r="GH51" s="43"/>
      <c r="GI51" s="43"/>
      <c r="GJ51" s="43">
        <f t="shared" si="1"/>
        <v>21</v>
      </c>
      <c r="GK51" s="43">
        <f t="shared" si="2"/>
        <v>0</v>
      </c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</row>
    <row r="52" spans="1:212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FY52" s="44" t="s">
        <v>193</v>
      </c>
      <c r="FZ52" s="43">
        <f t="shared" si="0"/>
        <v>22</v>
      </c>
      <c r="GA52" s="43"/>
      <c r="GB52" s="43"/>
      <c r="GC52" s="43"/>
      <c r="GD52" s="43"/>
      <c r="GE52" s="43"/>
      <c r="GF52" s="43"/>
      <c r="GG52" s="43"/>
      <c r="GH52" s="43"/>
      <c r="GI52" s="43"/>
      <c r="GJ52" s="43">
        <f t="shared" si="1"/>
        <v>22</v>
      </c>
      <c r="GK52" s="43">
        <f t="shared" si="2"/>
        <v>0</v>
      </c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</row>
    <row r="53" spans="1:212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FY53" s="44" t="s">
        <v>194</v>
      </c>
      <c r="FZ53" s="43">
        <f t="shared" si="0"/>
        <v>23</v>
      </c>
      <c r="GA53" s="43"/>
      <c r="GB53" s="43"/>
      <c r="GC53" s="43"/>
      <c r="GD53" s="43"/>
      <c r="GE53" s="43"/>
      <c r="GF53" s="43"/>
      <c r="GG53" s="43"/>
      <c r="GH53" s="43"/>
      <c r="GI53" s="43"/>
      <c r="GJ53" s="43">
        <f t="shared" si="1"/>
        <v>23</v>
      </c>
      <c r="GK53" s="43">
        <f t="shared" si="2"/>
        <v>0</v>
      </c>
      <c r="GL53" s="43"/>
      <c r="GM53" s="43"/>
      <c r="GN53" s="43"/>
      <c r="GO53" s="43"/>
      <c r="GP53" s="43">
        <v>1</v>
      </c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</row>
    <row r="54" spans="1:212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FY54" s="44" t="s">
        <v>195</v>
      </c>
      <c r="FZ54" s="43">
        <f t="shared" si="0"/>
        <v>24</v>
      </c>
      <c r="GA54" s="43"/>
      <c r="GB54" s="43"/>
      <c r="GC54" s="43"/>
      <c r="GD54" s="43"/>
      <c r="GE54" s="43"/>
      <c r="GF54" s="43"/>
      <c r="GG54" s="43"/>
      <c r="GH54" s="43"/>
      <c r="GI54" s="43"/>
      <c r="GJ54" s="43">
        <f t="shared" si="1"/>
        <v>24</v>
      </c>
      <c r="GK54" s="43">
        <f t="shared" si="2"/>
        <v>0</v>
      </c>
      <c r="GL54" s="43"/>
      <c r="GM54" s="43"/>
      <c r="GN54" s="43"/>
      <c r="GO54" s="43">
        <v>1</v>
      </c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</row>
    <row r="55" spans="1:212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FY55" s="44" t="s">
        <v>196</v>
      </c>
      <c r="FZ55" s="43">
        <f t="shared" si="0"/>
        <v>25</v>
      </c>
      <c r="GA55" s="43"/>
      <c r="GB55" s="43"/>
      <c r="GC55" s="43"/>
      <c r="GD55" s="43"/>
      <c r="GE55" s="43"/>
      <c r="GF55" s="43"/>
      <c r="GG55" s="43"/>
      <c r="GH55" s="43"/>
      <c r="GI55" s="43"/>
      <c r="GJ55" s="43">
        <f t="shared" si="1"/>
        <v>25</v>
      </c>
      <c r="GK55" s="43">
        <f t="shared" si="2"/>
        <v>0</v>
      </c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</row>
    <row r="56" spans="1:212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FY56" s="44" t="s">
        <v>197</v>
      </c>
      <c r="FZ56" s="43">
        <f t="shared" si="0"/>
        <v>26</v>
      </c>
      <c r="GA56" s="43"/>
      <c r="GB56" s="43"/>
      <c r="GC56" s="43"/>
      <c r="GD56" s="43"/>
      <c r="GE56" s="43"/>
      <c r="GF56" s="43"/>
      <c r="GG56" s="43"/>
      <c r="GH56" s="43"/>
      <c r="GI56" s="43"/>
      <c r="GJ56" s="43">
        <f t="shared" si="1"/>
        <v>26</v>
      </c>
      <c r="GK56" s="43">
        <f t="shared" si="2"/>
        <v>0</v>
      </c>
      <c r="GL56" s="43"/>
      <c r="GM56" s="43"/>
      <c r="GN56" s="43">
        <v>1</v>
      </c>
      <c r="GO56" s="43"/>
      <c r="GP56" s="43">
        <v>1</v>
      </c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</row>
    <row r="57" spans="1:212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FY57" s="44" t="s">
        <v>198</v>
      </c>
      <c r="FZ57" s="43">
        <f t="shared" si="0"/>
        <v>27</v>
      </c>
      <c r="GA57" s="43"/>
      <c r="GB57" s="43"/>
      <c r="GC57" s="43"/>
      <c r="GD57" s="43"/>
      <c r="GE57" s="43"/>
      <c r="GF57" s="43"/>
      <c r="GG57" s="43"/>
      <c r="GH57" s="43"/>
      <c r="GI57" s="43"/>
      <c r="GJ57" s="43">
        <f t="shared" si="1"/>
        <v>27</v>
      </c>
      <c r="GK57" s="43">
        <f t="shared" si="2"/>
        <v>0</v>
      </c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</row>
    <row r="58" spans="1:212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FY58" s="44" t="s">
        <v>199</v>
      </c>
      <c r="FZ58" s="43">
        <f t="shared" si="0"/>
        <v>28</v>
      </c>
      <c r="GA58" s="43"/>
      <c r="GB58" s="43"/>
      <c r="GC58" s="43"/>
      <c r="GD58" s="43"/>
      <c r="GE58" s="43"/>
      <c r="GF58" s="43"/>
      <c r="GG58" s="43"/>
      <c r="GH58" s="43"/>
      <c r="GI58" s="43"/>
      <c r="GJ58" s="43">
        <f t="shared" si="1"/>
        <v>28</v>
      </c>
      <c r="GK58" s="43">
        <f t="shared" si="2"/>
        <v>0</v>
      </c>
      <c r="GL58" s="43"/>
      <c r="GM58" s="43"/>
      <c r="GN58" s="43"/>
      <c r="GO58" s="43">
        <v>1</v>
      </c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</row>
    <row r="59" spans="1:212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FY59" s="44" t="s">
        <v>200</v>
      </c>
      <c r="FZ59" s="43">
        <f t="shared" si="0"/>
        <v>29</v>
      </c>
      <c r="GA59" s="43"/>
      <c r="GB59" s="43"/>
      <c r="GC59" s="43"/>
      <c r="GD59" s="43"/>
      <c r="GE59" s="43"/>
      <c r="GF59" s="43"/>
      <c r="GG59" s="43"/>
      <c r="GH59" s="43"/>
      <c r="GI59" s="43"/>
      <c r="GJ59" s="43">
        <f t="shared" si="1"/>
        <v>29</v>
      </c>
      <c r="GK59" s="43">
        <f t="shared" si="2"/>
        <v>0</v>
      </c>
      <c r="GL59" s="43"/>
      <c r="GM59" s="43"/>
      <c r="GN59" s="43"/>
      <c r="GO59" s="43"/>
      <c r="GP59" s="43">
        <v>1</v>
      </c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</row>
    <row r="60" spans="1:212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FY60" s="44" t="s">
        <v>201</v>
      </c>
      <c r="FZ60" s="43">
        <f t="shared" si="0"/>
        <v>30</v>
      </c>
      <c r="GA60" s="43"/>
      <c r="GB60" s="43"/>
      <c r="GC60" s="43"/>
      <c r="GD60" s="43"/>
      <c r="GE60" s="43"/>
      <c r="GF60" s="43"/>
      <c r="GG60" s="43"/>
      <c r="GH60" s="43"/>
      <c r="GI60" s="43"/>
      <c r="GJ60" s="43">
        <f t="shared" si="1"/>
        <v>30</v>
      </c>
      <c r="GK60" s="43">
        <f t="shared" si="2"/>
        <v>0</v>
      </c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</row>
    <row r="61" spans="1:212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FY61" s="44" t="s">
        <v>202</v>
      </c>
      <c r="FZ61" s="43">
        <f t="shared" si="0"/>
        <v>31</v>
      </c>
      <c r="GA61" s="43"/>
      <c r="GB61" s="43"/>
      <c r="GC61" s="43"/>
      <c r="GD61" s="43"/>
      <c r="GE61" s="43"/>
      <c r="GF61" s="43"/>
      <c r="GG61" s="43"/>
      <c r="GH61" s="43"/>
      <c r="GI61" s="43"/>
      <c r="GJ61" s="43">
        <f t="shared" si="1"/>
        <v>31</v>
      </c>
      <c r="GK61" s="43">
        <f t="shared" si="2"/>
        <v>0</v>
      </c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</row>
    <row r="62" spans="1:212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FY62" s="44" t="s">
        <v>203</v>
      </c>
      <c r="FZ62" s="43">
        <f t="shared" si="0"/>
        <v>32</v>
      </c>
      <c r="GA62" s="43"/>
      <c r="GB62" s="43"/>
      <c r="GC62" s="43"/>
      <c r="GD62" s="43"/>
      <c r="GE62" s="43"/>
      <c r="GF62" s="43"/>
      <c r="GG62" s="43"/>
      <c r="GH62" s="43"/>
      <c r="GI62" s="43"/>
      <c r="GJ62" s="43">
        <f t="shared" si="1"/>
        <v>32</v>
      </c>
      <c r="GK62" s="43">
        <f t="shared" si="2"/>
        <v>0</v>
      </c>
      <c r="GL62" s="43"/>
      <c r="GM62" s="43">
        <v>1</v>
      </c>
      <c r="GN62" s="43">
        <v>1</v>
      </c>
      <c r="GO62" s="43">
        <v>1</v>
      </c>
      <c r="GP62" s="43">
        <v>1</v>
      </c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</row>
    <row r="63" spans="1:212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FY63" s="44" t="s">
        <v>204</v>
      </c>
      <c r="FZ63" s="43">
        <f t="shared" si="0"/>
        <v>33</v>
      </c>
      <c r="GA63" s="43"/>
      <c r="GB63" s="43"/>
      <c r="GC63" s="43"/>
      <c r="GD63" s="43"/>
      <c r="GE63" s="43"/>
      <c r="GF63" s="43"/>
      <c r="GG63" s="43"/>
      <c r="GH63" s="43"/>
      <c r="GI63" s="43"/>
      <c r="GJ63" s="43">
        <f t="shared" si="1"/>
        <v>33</v>
      </c>
      <c r="GK63" s="43">
        <f t="shared" si="2"/>
        <v>0</v>
      </c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</row>
    <row r="64" spans="1:212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FY64" s="44" t="s">
        <v>205</v>
      </c>
      <c r="FZ64" s="43">
        <f t="shared" si="0"/>
        <v>34</v>
      </c>
      <c r="GA64" s="43"/>
      <c r="GB64" s="43"/>
      <c r="GC64" s="43"/>
      <c r="GD64" s="43"/>
      <c r="GE64" s="43"/>
      <c r="GF64" s="43"/>
      <c r="GG64" s="43"/>
      <c r="GH64" s="43"/>
      <c r="GI64" s="43"/>
      <c r="GJ64" s="43">
        <f t="shared" si="1"/>
        <v>34</v>
      </c>
      <c r="GK64" s="43">
        <f t="shared" si="2"/>
        <v>0</v>
      </c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</row>
    <row r="65" spans="1:212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FY65" s="44" t="s">
        <v>206</v>
      </c>
      <c r="FZ65" s="43">
        <f t="shared" si="0"/>
        <v>35</v>
      </c>
      <c r="GA65" s="43"/>
      <c r="GB65" s="43"/>
      <c r="GC65" s="43"/>
      <c r="GD65" s="43"/>
      <c r="GE65" s="43"/>
      <c r="GF65" s="43"/>
      <c r="GG65" s="43"/>
      <c r="GH65" s="43"/>
      <c r="GI65" s="43"/>
      <c r="GJ65" s="43">
        <f t="shared" si="1"/>
        <v>35</v>
      </c>
      <c r="GK65" s="43">
        <f t="shared" si="2"/>
        <v>0</v>
      </c>
      <c r="GL65" s="43"/>
      <c r="GM65" s="43"/>
      <c r="GN65" s="43"/>
      <c r="GO65" s="43"/>
      <c r="GP65" s="43">
        <v>1</v>
      </c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</row>
    <row r="66" spans="1:212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FY66" s="44" t="s">
        <v>207</v>
      </c>
      <c r="FZ66" s="43">
        <f t="shared" si="0"/>
        <v>36</v>
      </c>
      <c r="GA66" s="43"/>
      <c r="GB66" s="43"/>
      <c r="GC66" s="43"/>
      <c r="GD66" s="43"/>
      <c r="GE66" s="43"/>
      <c r="GF66" s="43"/>
      <c r="GG66" s="43"/>
      <c r="GH66" s="43"/>
      <c r="GI66" s="43"/>
      <c r="GJ66" s="43">
        <f t="shared" si="1"/>
        <v>36</v>
      </c>
      <c r="GK66" s="43">
        <f t="shared" si="2"/>
        <v>0</v>
      </c>
      <c r="GL66" s="43"/>
      <c r="GM66" s="43"/>
      <c r="GN66" s="43"/>
      <c r="GO66" s="43">
        <v>1</v>
      </c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</row>
    <row r="67" spans="1:212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FY67" s="44" t="s">
        <v>208</v>
      </c>
      <c r="FZ67" s="43">
        <f t="shared" si="0"/>
        <v>37</v>
      </c>
      <c r="GA67" s="43"/>
      <c r="GB67" s="43"/>
      <c r="GC67" s="43"/>
      <c r="GD67" s="43"/>
      <c r="GE67" s="43"/>
      <c r="GF67" s="43"/>
      <c r="GG67" s="43"/>
      <c r="GH67" s="43"/>
      <c r="GI67" s="43"/>
      <c r="GJ67" s="43">
        <f t="shared" si="1"/>
        <v>37</v>
      </c>
      <c r="GK67" s="43">
        <f t="shared" si="2"/>
        <v>0</v>
      </c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</row>
    <row r="68" spans="1:212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FY68" s="44" t="s">
        <v>209</v>
      </c>
      <c r="FZ68" s="43">
        <f t="shared" ref="FZ68:FZ121" si="15">1+FZ67</f>
        <v>38</v>
      </c>
      <c r="GA68" s="43"/>
      <c r="GB68" s="43"/>
      <c r="GC68" s="43"/>
      <c r="GD68" s="43"/>
      <c r="GE68" s="43"/>
      <c r="GF68" s="43"/>
      <c r="GG68" s="43"/>
      <c r="GH68" s="43"/>
      <c r="GI68" s="43"/>
      <c r="GJ68" s="43">
        <f t="shared" ref="GJ68:GJ131" si="16">+GJ67+1</f>
        <v>38</v>
      </c>
      <c r="GK68" s="43">
        <f t="shared" si="2"/>
        <v>0</v>
      </c>
      <c r="GL68" s="43"/>
      <c r="GM68" s="43"/>
      <c r="GN68" s="43">
        <v>1</v>
      </c>
      <c r="GO68" s="43"/>
      <c r="GP68" s="43">
        <v>1</v>
      </c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</row>
    <row r="69" spans="1:212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FY69" s="44" t="s">
        <v>210</v>
      </c>
      <c r="FZ69" s="43">
        <f t="shared" si="15"/>
        <v>39</v>
      </c>
      <c r="GA69" s="43"/>
      <c r="GB69" s="43"/>
      <c r="GC69" s="43"/>
      <c r="GD69" s="43"/>
      <c r="GE69" s="43"/>
      <c r="GF69" s="43"/>
      <c r="GG69" s="43"/>
      <c r="GH69" s="43"/>
      <c r="GI69" s="43"/>
      <c r="GJ69" s="43">
        <f t="shared" si="16"/>
        <v>39</v>
      </c>
      <c r="GK69" s="43">
        <f t="shared" ref="GK69:GK132" si="17">+IF($C$8=$GM$1,GM69,IF($C$8=$GN$1,GN69,IF($C$8=$GO$1,GO69,IF($C$8=$GP$1,GP69,0))))</f>
        <v>0</v>
      </c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</row>
    <row r="70" spans="1:212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FY70" s="44" t="s">
        <v>211</v>
      </c>
      <c r="FZ70" s="43">
        <f t="shared" si="15"/>
        <v>40</v>
      </c>
      <c r="GA70" s="43"/>
      <c r="GB70" s="43"/>
      <c r="GC70" s="43"/>
      <c r="GD70" s="43"/>
      <c r="GE70" s="43"/>
      <c r="GF70" s="43"/>
      <c r="GG70" s="43"/>
      <c r="GH70" s="43"/>
      <c r="GI70" s="43"/>
      <c r="GJ70" s="43">
        <f t="shared" si="16"/>
        <v>40</v>
      </c>
      <c r="GK70" s="43">
        <f t="shared" si="17"/>
        <v>0</v>
      </c>
      <c r="GL70" s="43"/>
      <c r="GM70" s="43"/>
      <c r="GN70" s="43"/>
      <c r="GO70" s="43">
        <v>1</v>
      </c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</row>
    <row r="71" spans="1:212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FY71" s="44" t="s">
        <v>212</v>
      </c>
      <c r="FZ71" s="43">
        <f t="shared" si="15"/>
        <v>41</v>
      </c>
      <c r="GA71" s="43"/>
      <c r="GB71" s="43"/>
      <c r="GC71" s="43"/>
      <c r="GD71" s="43"/>
      <c r="GE71" s="43"/>
      <c r="GF71" s="43"/>
      <c r="GG71" s="43"/>
      <c r="GH71" s="43"/>
      <c r="GI71" s="43"/>
      <c r="GJ71" s="43">
        <f t="shared" si="16"/>
        <v>41</v>
      </c>
      <c r="GK71" s="43">
        <f t="shared" si="17"/>
        <v>0</v>
      </c>
      <c r="GL71" s="43"/>
      <c r="GM71" s="43"/>
      <c r="GN71" s="43"/>
      <c r="GO71" s="43"/>
      <c r="GP71" s="43">
        <v>1</v>
      </c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</row>
    <row r="72" spans="1:212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FY72" s="44" t="s">
        <v>213</v>
      </c>
      <c r="FZ72" s="43">
        <f t="shared" si="15"/>
        <v>42</v>
      </c>
      <c r="GA72" s="43"/>
      <c r="GB72" s="43"/>
      <c r="GC72" s="43"/>
      <c r="GD72" s="43"/>
      <c r="GE72" s="43"/>
      <c r="GF72" s="43"/>
      <c r="GG72" s="43"/>
      <c r="GH72" s="43"/>
      <c r="GI72" s="43"/>
      <c r="GJ72" s="43">
        <f t="shared" si="16"/>
        <v>42</v>
      </c>
      <c r="GK72" s="43">
        <f t="shared" si="17"/>
        <v>0</v>
      </c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</row>
    <row r="73" spans="1:212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FY73" s="44" t="s">
        <v>214</v>
      </c>
      <c r="FZ73" s="43">
        <f t="shared" si="15"/>
        <v>43</v>
      </c>
      <c r="GA73" s="43"/>
      <c r="GB73" s="43"/>
      <c r="GC73" s="43"/>
      <c r="GD73" s="43"/>
      <c r="GE73" s="43"/>
      <c r="GF73" s="43"/>
      <c r="GG73" s="43"/>
      <c r="GH73" s="43"/>
      <c r="GI73" s="43"/>
      <c r="GJ73" s="43">
        <f t="shared" si="16"/>
        <v>43</v>
      </c>
      <c r="GK73" s="43">
        <f t="shared" si="17"/>
        <v>0</v>
      </c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</row>
    <row r="74" spans="1:212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FY74" s="44" t="s">
        <v>215</v>
      </c>
      <c r="FZ74" s="43">
        <f t="shared" si="15"/>
        <v>44</v>
      </c>
      <c r="GA74" s="43"/>
      <c r="GB74" s="43"/>
      <c r="GC74" s="43"/>
      <c r="GD74" s="43"/>
      <c r="GE74" s="43"/>
      <c r="GF74" s="43"/>
      <c r="GG74" s="43"/>
      <c r="GH74" s="43"/>
      <c r="GI74" s="43"/>
      <c r="GJ74" s="43">
        <f t="shared" si="16"/>
        <v>44</v>
      </c>
      <c r="GK74" s="43">
        <f t="shared" si="17"/>
        <v>0</v>
      </c>
      <c r="GL74" s="43"/>
      <c r="GM74" s="43">
        <v>1</v>
      </c>
      <c r="GN74" s="43">
        <v>1</v>
      </c>
      <c r="GO74" s="43">
        <v>1</v>
      </c>
      <c r="GP74" s="43">
        <v>1</v>
      </c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</row>
    <row r="75" spans="1:212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FY75" s="44" t="s">
        <v>216</v>
      </c>
      <c r="FZ75" s="43">
        <f t="shared" si="15"/>
        <v>45</v>
      </c>
      <c r="GA75" s="43"/>
      <c r="GB75" s="43"/>
      <c r="GC75" s="43"/>
      <c r="GD75" s="43"/>
      <c r="GE75" s="43"/>
      <c r="GF75" s="43"/>
      <c r="GG75" s="43"/>
      <c r="GH75" s="43"/>
      <c r="GI75" s="43"/>
      <c r="GJ75" s="43">
        <f t="shared" si="16"/>
        <v>45</v>
      </c>
      <c r="GK75" s="43">
        <f t="shared" si="17"/>
        <v>0</v>
      </c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</row>
    <row r="76" spans="1:212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FY76" s="44" t="s">
        <v>217</v>
      </c>
      <c r="FZ76" s="43">
        <f t="shared" si="15"/>
        <v>46</v>
      </c>
      <c r="GA76" s="43"/>
      <c r="GB76" s="43"/>
      <c r="GC76" s="43"/>
      <c r="GD76" s="43"/>
      <c r="GE76" s="43"/>
      <c r="GF76" s="43"/>
      <c r="GG76" s="43"/>
      <c r="GH76" s="43"/>
      <c r="GI76" s="43"/>
      <c r="GJ76" s="43">
        <f t="shared" si="16"/>
        <v>46</v>
      </c>
      <c r="GK76" s="43">
        <f t="shared" si="17"/>
        <v>0</v>
      </c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</row>
    <row r="77" spans="1:212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FY77" s="44" t="s">
        <v>218</v>
      </c>
      <c r="FZ77" s="43">
        <f t="shared" si="15"/>
        <v>47</v>
      </c>
      <c r="GA77" s="43"/>
      <c r="GB77" s="43"/>
      <c r="GC77" s="43"/>
      <c r="GD77" s="43"/>
      <c r="GE77" s="43"/>
      <c r="GF77" s="43"/>
      <c r="GG77" s="43"/>
      <c r="GH77" s="43"/>
      <c r="GI77" s="43"/>
      <c r="GJ77" s="43">
        <f t="shared" si="16"/>
        <v>47</v>
      </c>
      <c r="GK77" s="43">
        <f t="shared" si="17"/>
        <v>0</v>
      </c>
      <c r="GL77" s="43"/>
      <c r="GM77" s="43"/>
      <c r="GN77" s="43"/>
      <c r="GO77" s="43"/>
      <c r="GP77" s="43">
        <v>1</v>
      </c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</row>
    <row r="78" spans="1:212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FY78" s="44" t="s">
        <v>219</v>
      </c>
      <c r="FZ78" s="43">
        <f t="shared" si="15"/>
        <v>48</v>
      </c>
      <c r="GA78" s="43"/>
      <c r="GB78" s="43"/>
      <c r="GC78" s="43"/>
      <c r="GD78" s="43"/>
      <c r="GE78" s="43"/>
      <c r="GF78" s="43"/>
      <c r="GG78" s="43"/>
      <c r="GH78" s="43"/>
      <c r="GI78" s="43"/>
      <c r="GJ78" s="43">
        <f t="shared" si="16"/>
        <v>48</v>
      </c>
      <c r="GK78" s="43">
        <f t="shared" si="17"/>
        <v>0</v>
      </c>
      <c r="GL78" s="43"/>
      <c r="GM78" s="43"/>
      <c r="GN78" s="43"/>
      <c r="GO78" s="43">
        <v>1</v>
      </c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</row>
    <row r="79" spans="1:212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FY79" s="44" t="s">
        <v>220</v>
      </c>
      <c r="FZ79" s="43">
        <f t="shared" si="15"/>
        <v>49</v>
      </c>
      <c r="GA79" s="43"/>
      <c r="GB79" s="43"/>
      <c r="GC79" s="43"/>
      <c r="GD79" s="43"/>
      <c r="GE79" s="43"/>
      <c r="GF79" s="43"/>
      <c r="GG79" s="43"/>
      <c r="GH79" s="43"/>
      <c r="GI79" s="43"/>
      <c r="GJ79" s="43">
        <f t="shared" si="16"/>
        <v>49</v>
      </c>
      <c r="GK79" s="43">
        <f t="shared" si="17"/>
        <v>0</v>
      </c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</row>
    <row r="80" spans="1:212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FY80" s="44" t="s">
        <v>221</v>
      </c>
      <c r="FZ80" s="43">
        <f t="shared" si="15"/>
        <v>50</v>
      </c>
      <c r="GA80" s="43"/>
      <c r="GB80" s="43"/>
      <c r="GC80" s="43"/>
      <c r="GD80" s="43"/>
      <c r="GE80" s="43"/>
      <c r="GF80" s="43"/>
      <c r="GG80" s="43"/>
      <c r="GH80" s="43"/>
      <c r="GI80" s="43"/>
      <c r="GJ80" s="43">
        <f t="shared" si="16"/>
        <v>50</v>
      </c>
      <c r="GK80" s="43">
        <f t="shared" si="17"/>
        <v>0</v>
      </c>
      <c r="GL80" s="43"/>
      <c r="GM80" s="43"/>
      <c r="GN80" s="43">
        <v>1</v>
      </c>
      <c r="GO80" s="43"/>
      <c r="GP80" s="43">
        <v>1</v>
      </c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</row>
    <row r="81" spans="1:212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FY81" s="44" t="s">
        <v>222</v>
      </c>
      <c r="FZ81" s="43">
        <f t="shared" si="15"/>
        <v>51</v>
      </c>
      <c r="GA81" s="43"/>
      <c r="GB81" s="43"/>
      <c r="GC81" s="43"/>
      <c r="GD81" s="43"/>
      <c r="GE81" s="43"/>
      <c r="GF81" s="43"/>
      <c r="GG81" s="43"/>
      <c r="GH81" s="43"/>
      <c r="GI81" s="43"/>
      <c r="GJ81" s="43">
        <f t="shared" si="16"/>
        <v>51</v>
      </c>
      <c r="GK81" s="43">
        <f t="shared" si="17"/>
        <v>0</v>
      </c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</row>
    <row r="82" spans="1:212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FY82" s="44" t="s">
        <v>223</v>
      </c>
      <c r="FZ82" s="43">
        <f t="shared" si="15"/>
        <v>52</v>
      </c>
      <c r="GA82" s="43"/>
      <c r="GB82" s="43"/>
      <c r="GC82" s="43"/>
      <c r="GD82" s="43"/>
      <c r="GE82" s="43"/>
      <c r="GF82" s="43"/>
      <c r="GG82" s="43"/>
      <c r="GH82" s="43"/>
      <c r="GI82" s="43"/>
      <c r="GJ82" s="43">
        <f t="shared" si="16"/>
        <v>52</v>
      </c>
      <c r="GK82" s="43">
        <f t="shared" si="17"/>
        <v>0</v>
      </c>
      <c r="GL82" s="43"/>
      <c r="GM82" s="43"/>
      <c r="GN82" s="43"/>
      <c r="GO82" s="43">
        <v>1</v>
      </c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</row>
    <row r="83" spans="1:212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FY83" s="44" t="s">
        <v>224</v>
      </c>
      <c r="FZ83" s="43">
        <f t="shared" si="15"/>
        <v>53</v>
      </c>
      <c r="GA83" s="43"/>
      <c r="GB83" s="43"/>
      <c r="GC83" s="43"/>
      <c r="GD83" s="43"/>
      <c r="GE83" s="43"/>
      <c r="GF83" s="43"/>
      <c r="GG83" s="43"/>
      <c r="GH83" s="43"/>
      <c r="GI83" s="43"/>
      <c r="GJ83" s="43">
        <f t="shared" si="16"/>
        <v>53</v>
      </c>
      <c r="GK83" s="43">
        <f t="shared" si="17"/>
        <v>0</v>
      </c>
      <c r="GL83" s="43"/>
      <c r="GM83" s="43"/>
      <c r="GN83" s="43"/>
      <c r="GO83" s="43"/>
      <c r="GP83" s="43">
        <v>1</v>
      </c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</row>
    <row r="84" spans="1:212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FY84" s="44" t="s">
        <v>225</v>
      </c>
      <c r="FZ84" s="43">
        <f t="shared" si="15"/>
        <v>54</v>
      </c>
      <c r="GA84" s="43"/>
      <c r="GB84" s="43"/>
      <c r="GC84" s="43"/>
      <c r="GD84" s="43"/>
      <c r="GE84" s="43"/>
      <c r="GF84" s="43"/>
      <c r="GG84" s="43"/>
      <c r="GH84" s="43"/>
      <c r="GI84" s="43"/>
      <c r="GJ84" s="43">
        <f t="shared" si="16"/>
        <v>54</v>
      </c>
      <c r="GK84" s="43">
        <f t="shared" si="17"/>
        <v>0</v>
      </c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</row>
    <row r="85" spans="1:212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FY85" s="44" t="s">
        <v>226</v>
      </c>
      <c r="FZ85" s="43">
        <f t="shared" si="15"/>
        <v>55</v>
      </c>
      <c r="GA85" s="43"/>
      <c r="GB85" s="43"/>
      <c r="GC85" s="43"/>
      <c r="GD85" s="43"/>
      <c r="GE85" s="43"/>
      <c r="GF85" s="43"/>
      <c r="GG85" s="43"/>
      <c r="GH85" s="43"/>
      <c r="GI85" s="43"/>
      <c r="GJ85" s="43">
        <f t="shared" si="16"/>
        <v>55</v>
      </c>
      <c r="GK85" s="43">
        <f t="shared" si="17"/>
        <v>0</v>
      </c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</row>
    <row r="86" spans="1:212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FY86" s="44" t="s">
        <v>227</v>
      </c>
      <c r="FZ86" s="43">
        <f t="shared" si="15"/>
        <v>56</v>
      </c>
      <c r="GA86" s="43"/>
      <c r="GB86" s="43"/>
      <c r="GC86" s="43"/>
      <c r="GD86" s="43"/>
      <c r="GE86" s="43"/>
      <c r="GF86" s="43"/>
      <c r="GG86" s="43"/>
      <c r="GH86" s="43"/>
      <c r="GI86" s="43"/>
      <c r="GJ86" s="43">
        <f t="shared" si="16"/>
        <v>56</v>
      </c>
      <c r="GK86" s="43">
        <f t="shared" si="17"/>
        <v>0</v>
      </c>
      <c r="GL86" s="43"/>
      <c r="GM86" s="43">
        <v>1</v>
      </c>
      <c r="GN86" s="43">
        <v>1</v>
      </c>
      <c r="GO86" s="43">
        <v>1</v>
      </c>
      <c r="GP86" s="43">
        <v>1</v>
      </c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</row>
    <row r="87" spans="1:212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FY87" s="44" t="s">
        <v>228</v>
      </c>
      <c r="FZ87" s="43">
        <f t="shared" si="15"/>
        <v>57</v>
      </c>
      <c r="GA87" s="43"/>
      <c r="GB87" s="43"/>
      <c r="GC87" s="43"/>
      <c r="GD87" s="43"/>
      <c r="GE87" s="43"/>
      <c r="GF87" s="43"/>
      <c r="GG87" s="43"/>
      <c r="GH87" s="43"/>
      <c r="GI87" s="43"/>
      <c r="GJ87" s="43">
        <f t="shared" si="16"/>
        <v>57</v>
      </c>
      <c r="GK87" s="43">
        <f t="shared" si="17"/>
        <v>0</v>
      </c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</row>
    <row r="88" spans="1:212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FY88" s="44" t="s">
        <v>229</v>
      </c>
      <c r="FZ88" s="43">
        <f t="shared" si="15"/>
        <v>58</v>
      </c>
      <c r="GA88" s="43"/>
      <c r="GB88" s="43"/>
      <c r="GC88" s="43"/>
      <c r="GD88" s="43"/>
      <c r="GE88" s="43"/>
      <c r="GF88" s="43"/>
      <c r="GG88" s="43"/>
      <c r="GH88" s="43"/>
      <c r="GI88" s="43"/>
      <c r="GJ88" s="43">
        <f t="shared" si="16"/>
        <v>58</v>
      </c>
      <c r="GK88" s="43">
        <f t="shared" si="17"/>
        <v>0</v>
      </c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</row>
    <row r="89" spans="1:212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FY89" s="44" t="s">
        <v>230</v>
      </c>
      <c r="FZ89" s="43">
        <f t="shared" si="15"/>
        <v>59</v>
      </c>
      <c r="GA89" s="43"/>
      <c r="GB89" s="43"/>
      <c r="GC89" s="43"/>
      <c r="GD89" s="43"/>
      <c r="GE89" s="43"/>
      <c r="GF89" s="43"/>
      <c r="GG89" s="43"/>
      <c r="GH89" s="43"/>
      <c r="GI89" s="43"/>
      <c r="GJ89" s="43">
        <f t="shared" si="16"/>
        <v>59</v>
      </c>
      <c r="GK89" s="43">
        <f t="shared" si="17"/>
        <v>0</v>
      </c>
      <c r="GL89" s="43"/>
      <c r="GM89" s="43"/>
      <c r="GN89" s="43"/>
      <c r="GO89" s="43"/>
      <c r="GP89" s="43">
        <v>1</v>
      </c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</row>
    <row r="90" spans="1:212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FY90" s="44" t="s">
        <v>231</v>
      </c>
      <c r="FZ90" s="43">
        <f t="shared" si="15"/>
        <v>60</v>
      </c>
      <c r="GA90" s="43"/>
      <c r="GB90" s="43"/>
      <c r="GC90" s="43"/>
      <c r="GD90" s="43"/>
      <c r="GE90" s="43"/>
      <c r="GF90" s="43"/>
      <c r="GG90" s="43"/>
      <c r="GH90" s="43"/>
      <c r="GI90" s="43"/>
      <c r="GJ90" s="43">
        <f t="shared" si="16"/>
        <v>60</v>
      </c>
      <c r="GK90" s="43">
        <f t="shared" si="17"/>
        <v>0</v>
      </c>
      <c r="GL90" s="43"/>
      <c r="GM90" s="43"/>
      <c r="GN90" s="43"/>
      <c r="GO90" s="43">
        <v>1</v>
      </c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</row>
    <row r="91" spans="1:212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FY91" s="44" t="s">
        <v>232</v>
      </c>
      <c r="FZ91" s="43">
        <f t="shared" si="15"/>
        <v>61</v>
      </c>
      <c r="GA91" s="43"/>
      <c r="GB91" s="43"/>
      <c r="GC91" s="43"/>
      <c r="GD91" s="43"/>
      <c r="GE91" s="43"/>
      <c r="GF91" s="43"/>
      <c r="GG91" s="43"/>
      <c r="GH91" s="43"/>
      <c r="GI91" s="43"/>
      <c r="GJ91" s="43">
        <f t="shared" si="16"/>
        <v>61</v>
      </c>
      <c r="GK91" s="43">
        <f t="shared" si="17"/>
        <v>0</v>
      </c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</row>
    <row r="92" spans="1:212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FY92" s="44" t="s">
        <v>233</v>
      </c>
      <c r="FZ92" s="43">
        <f t="shared" si="15"/>
        <v>62</v>
      </c>
      <c r="GA92" s="43"/>
      <c r="GB92" s="43"/>
      <c r="GC92" s="43"/>
      <c r="GD92" s="43"/>
      <c r="GE92" s="43"/>
      <c r="GF92" s="43"/>
      <c r="GG92" s="43"/>
      <c r="GH92" s="43"/>
      <c r="GI92" s="43"/>
      <c r="GJ92" s="43">
        <f t="shared" si="16"/>
        <v>62</v>
      </c>
      <c r="GK92" s="43">
        <f t="shared" si="17"/>
        <v>0</v>
      </c>
      <c r="GL92" s="43"/>
      <c r="GM92" s="43"/>
      <c r="GN92" s="43">
        <v>1</v>
      </c>
      <c r="GO92" s="43"/>
      <c r="GP92" s="43">
        <v>1</v>
      </c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</row>
    <row r="93" spans="1:212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FY93" s="44" t="s">
        <v>234</v>
      </c>
      <c r="FZ93" s="43">
        <f t="shared" si="15"/>
        <v>63</v>
      </c>
      <c r="GA93" s="43"/>
      <c r="GB93" s="43"/>
      <c r="GC93" s="43"/>
      <c r="GD93" s="43"/>
      <c r="GE93" s="43"/>
      <c r="GF93" s="43"/>
      <c r="GG93" s="43"/>
      <c r="GH93" s="43"/>
      <c r="GI93" s="43"/>
      <c r="GJ93" s="43">
        <f t="shared" si="16"/>
        <v>63</v>
      </c>
      <c r="GK93" s="43">
        <f t="shared" si="17"/>
        <v>0</v>
      </c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</row>
    <row r="94" spans="1:212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FY94" s="44" t="s">
        <v>235</v>
      </c>
      <c r="FZ94" s="43">
        <f t="shared" si="15"/>
        <v>64</v>
      </c>
      <c r="GA94" s="43"/>
      <c r="GB94" s="43"/>
      <c r="GC94" s="43"/>
      <c r="GD94" s="43"/>
      <c r="GE94" s="43"/>
      <c r="GF94" s="43"/>
      <c r="GG94" s="43"/>
      <c r="GH94" s="43"/>
      <c r="GI94" s="43"/>
      <c r="GJ94" s="43">
        <f t="shared" si="16"/>
        <v>64</v>
      </c>
      <c r="GK94" s="43">
        <f t="shared" si="17"/>
        <v>0</v>
      </c>
      <c r="GL94" s="43"/>
      <c r="GM94" s="43"/>
      <c r="GN94" s="43"/>
      <c r="GO94" s="43">
        <v>1</v>
      </c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</row>
    <row r="95" spans="1:212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FY95" s="44" t="s">
        <v>236</v>
      </c>
      <c r="FZ95" s="43">
        <f t="shared" si="15"/>
        <v>65</v>
      </c>
      <c r="GA95" s="43"/>
      <c r="GB95" s="43"/>
      <c r="GC95" s="43"/>
      <c r="GD95" s="43"/>
      <c r="GE95" s="43"/>
      <c r="GF95" s="43"/>
      <c r="GG95" s="43"/>
      <c r="GH95" s="43"/>
      <c r="GI95" s="43"/>
      <c r="GJ95" s="43">
        <f t="shared" si="16"/>
        <v>65</v>
      </c>
      <c r="GK95" s="43">
        <f t="shared" si="17"/>
        <v>0</v>
      </c>
      <c r="GL95" s="43"/>
      <c r="GM95" s="43"/>
      <c r="GN95" s="43"/>
      <c r="GO95" s="43"/>
      <c r="GP95" s="43">
        <v>1</v>
      </c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</row>
    <row r="96" spans="1:212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FY96" s="44" t="s">
        <v>237</v>
      </c>
      <c r="FZ96" s="43">
        <f t="shared" si="15"/>
        <v>66</v>
      </c>
      <c r="GA96" s="43"/>
      <c r="GB96" s="43"/>
      <c r="GC96" s="43"/>
      <c r="GD96" s="43"/>
      <c r="GE96" s="43"/>
      <c r="GF96" s="43"/>
      <c r="GG96" s="43"/>
      <c r="GH96" s="43"/>
      <c r="GI96" s="43"/>
      <c r="GJ96" s="43">
        <f t="shared" si="16"/>
        <v>66</v>
      </c>
      <c r="GK96" s="43">
        <f t="shared" si="17"/>
        <v>0</v>
      </c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</row>
    <row r="97" spans="1:212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FY97" s="44" t="s">
        <v>238</v>
      </c>
      <c r="FZ97" s="43">
        <f t="shared" si="15"/>
        <v>67</v>
      </c>
      <c r="GA97" s="43"/>
      <c r="GB97" s="43"/>
      <c r="GC97" s="43"/>
      <c r="GD97" s="43"/>
      <c r="GE97" s="43"/>
      <c r="GF97" s="43"/>
      <c r="GG97" s="43"/>
      <c r="GH97" s="43"/>
      <c r="GI97" s="43"/>
      <c r="GJ97" s="43">
        <f t="shared" si="16"/>
        <v>67</v>
      </c>
      <c r="GK97" s="43">
        <f t="shared" si="17"/>
        <v>0</v>
      </c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</row>
    <row r="98" spans="1:212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FY98" s="44" t="s">
        <v>239</v>
      </c>
      <c r="FZ98" s="43">
        <f t="shared" si="15"/>
        <v>68</v>
      </c>
      <c r="GA98" s="43"/>
      <c r="GB98" s="43"/>
      <c r="GC98" s="43"/>
      <c r="GD98" s="43"/>
      <c r="GE98" s="43"/>
      <c r="GF98" s="43"/>
      <c r="GG98" s="43"/>
      <c r="GH98" s="43"/>
      <c r="GI98" s="43"/>
      <c r="GJ98" s="43">
        <f t="shared" si="16"/>
        <v>68</v>
      </c>
      <c r="GK98" s="43">
        <f t="shared" si="17"/>
        <v>0</v>
      </c>
      <c r="GL98" s="43"/>
      <c r="GM98" s="43">
        <v>1</v>
      </c>
      <c r="GN98" s="43">
        <v>1</v>
      </c>
      <c r="GO98" s="43">
        <v>1</v>
      </c>
      <c r="GP98" s="43">
        <v>1</v>
      </c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</row>
    <row r="99" spans="1:212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FY99" s="44" t="s">
        <v>240</v>
      </c>
      <c r="FZ99" s="43">
        <f t="shared" si="15"/>
        <v>69</v>
      </c>
      <c r="GA99" s="43"/>
      <c r="GB99" s="43"/>
      <c r="GC99" s="43"/>
      <c r="GD99" s="43"/>
      <c r="GE99" s="43"/>
      <c r="GF99" s="43"/>
      <c r="GG99" s="43"/>
      <c r="GH99" s="43"/>
      <c r="GI99" s="43"/>
      <c r="GJ99" s="43">
        <f t="shared" si="16"/>
        <v>69</v>
      </c>
      <c r="GK99" s="43">
        <f t="shared" si="17"/>
        <v>0</v>
      </c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</row>
    <row r="100" spans="1:212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FY100" s="44" t="s">
        <v>241</v>
      </c>
      <c r="FZ100" s="43">
        <f t="shared" si="15"/>
        <v>70</v>
      </c>
      <c r="GA100" s="43"/>
      <c r="GB100" s="43"/>
      <c r="GC100" s="43"/>
      <c r="GD100" s="43"/>
      <c r="GE100" s="43"/>
      <c r="GF100" s="43"/>
      <c r="GG100" s="43"/>
      <c r="GH100" s="43"/>
      <c r="GI100" s="43"/>
      <c r="GJ100" s="43">
        <f t="shared" si="16"/>
        <v>70</v>
      </c>
      <c r="GK100" s="43">
        <f t="shared" si="17"/>
        <v>0</v>
      </c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</row>
    <row r="101" spans="1:212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FY101" s="44" t="s">
        <v>242</v>
      </c>
      <c r="FZ101" s="43">
        <f t="shared" si="15"/>
        <v>71</v>
      </c>
      <c r="GA101" s="43"/>
      <c r="GB101" s="43"/>
      <c r="GC101" s="43"/>
      <c r="GD101" s="43"/>
      <c r="GE101" s="43"/>
      <c r="GF101" s="43"/>
      <c r="GG101" s="43"/>
      <c r="GH101" s="43"/>
      <c r="GI101" s="43"/>
      <c r="GJ101" s="43">
        <f t="shared" si="16"/>
        <v>71</v>
      </c>
      <c r="GK101" s="43">
        <f t="shared" si="17"/>
        <v>0</v>
      </c>
      <c r="GL101" s="43"/>
      <c r="GM101" s="43"/>
      <c r="GN101" s="43"/>
      <c r="GO101" s="43"/>
      <c r="GP101" s="43">
        <v>1</v>
      </c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</row>
    <row r="102" spans="1:212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FY102" s="44" t="s">
        <v>243</v>
      </c>
      <c r="FZ102" s="43">
        <f t="shared" si="15"/>
        <v>72</v>
      </c>
      <c r="GA102" s="43"/>
      <c r="GB102" s="43"/>
      <c r="GC102" s="43"/>
      <c r="GD102" s="43"/>
      <c r="GE102" s="43"/>
      <c r="GF102" s="43"/>
      <c r="GG102" s="43"/>
      <c r="GH102" s="43"/>
      <c r="GI102" s="43"/>
      <c r="GJ102" s="43">
        <f t="shared" si="16"/>
        <v>72</v>
      </c>
      <c r="GK102" s="43">
        <f t="shared" si="17"/>
        <v>0</v>
      </c>
      <c r="GL102" s="43"/>
      <c r="GM102" s="43"/>
      <c r="GN102" s="43"/>
      <c r="GO102" s="43">
        <v>1</v>
      </c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</row>
    <row r="103" spans="1:212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FY103" s="44" t="s">
        <v>244</v>
      </c>
      <c r="FZ103" s="43">
        <f t="shared" si="15"/>
        <v>73</v>
      </c>
      <c r="GA103" s="43"/>
      <c r="GB103" s="43"/>
      <c r="GC103" s="43"/>
      <c r="GD103" s="43"/>
      <c r="GE103" s="43"/>
      <c r="GF103" s="43"/>
      <c r="GG103" s="43"/>
      <c r="GH103" s="43"/>
      <c r="GI103" s="43"/>
      <c r="GJ103" s="43">
        <f t="shared" si="16"/>
        <v>73</v>
      </c>
      <c r="GK103" s="43">
        <f t="shared" si="17"/>
        <v>0</v>
      </c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</row>
    <row r="104" spans="1:212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FY104" s="44" t="s">
        <v>245</v>
      </c>
      <c r="FZ104" s="43">
        <f t="shared" si="15"/>
        <v>74</v>
      </c>
      <c r="GA104" s="43"/>
      <c r="GB104" s="43"/>
      <c r="GC104" s="43"/>
      <c r="GD104" s="43"/>
      <c r="GE104" s="43"/>
      <c r="GF104" s="43"/>
      <c r="GG104" s="43"/>
      <c r="GH104" s="43"/>
      <c r="GI104" s="43"/>
      <c r="GJ104" s="43">
        <f t="shared" si="16"/>
        <v>74</v>
      </c>
      <c r="GK104" s="43">
        <f t="shared" si="17"/>
        <v>0</v>
      </c>
      <c r="GL104" s="43"/>
      <c r="GM104" s="43"/>
      <c r="GN104" s="43">
        <v>1</v>
      </c>
      <c r="GO104" s="43"/>
      <c r="GP104" s="43">
        <v>1</v>
      </c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</row>
    <row r="105" spans="1:212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FY105" s="44" t="s">
        <v>246</v>
      </c>
      <c r="FZ105" s="43">
        <f t="shared" si="15"/>
        <v>75</v>
      </c>
      <c r="GA105" s="43"/>
      <c r="GB105" s="43"/>
      <c r="GC105" s="43"/>
      <c r="GD105" s="43"/>
      <c r="GE105" s="43"/>
      <c r="GF105" s="43"/>
      <c r="GG105" s="43"/>
      <c r="GH105" s="43"/>
      <c r="GI105" s="43"/>
      <c r="GJ105" s="43">
        <f t="shared" si="16"/>
        <v>75</v>
      </c>
      <c r="GK105" s="43">
        <f t="shared" si="17"/>
        <v>0</v>
      </c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</row>
    <row r="106" spans="1:212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FY106" s="44" t="s">
        <v>247</v>
      </c>
      <c r="FZ106" s="43">
        <f t="shared" si="15"/>
        <v>76</v>
      </c>
      <c r="GA106" s="43"/>
      <c r="GB106" s="43"/>
      <c r="GC106" s="43"/>
      <c r="GD106" s="43"/>
      <c r="GE106" s="43"/>
      <c r="GF106" s="43"/>
      <c r="GG106" s="43"/>
      <c r="GH106" s="43"/>
      <c r="GI106" s="43"/>
      <c r="GJ106" s="43">
        <f t="shared" si="16"/>
        <v>76</v>
      </c>
      <c r="GK106" s="43">
        <f t="shared" si="17"/>
        <v>0</v>
      </c>
      <c r="GL106" s="43"/>
      <c r="GM106" s="43"/>
      <c r="GN106" s="43"/>
      <c r="GO106" s="43">
        <v>1</v>
      </c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</row>
    <row r="107" spans="1:212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FY107" s="44" t="s">
        <v>248</v>
      </c>
      <c r="FZ107" s="43">
        <f t="shared" si="15"/>
        <v>77</v>
      </c>
      <c r="GA107" s="43"/>
      <c r="GB107" s="43"/>
      <c r="GC107" s="43"/>
      <c r="GD107" s="43"/>
      <c r="GE107" s="43"/>
      <c r="GF107" s="43"/>
      <c r="GG107" s="43"/>
      <c r="GH107" s="43"/>
      <c r="GI107" s="43"/>
      <c r="GJ107" s="43">
        <f t="shared" si="16"/>
        <v>77</v>
      </c>
      <c r="GK107" s="43">
        <f t="shared" si="17"/>
        <v>0</v>
      </c>
      <c r="GL107" s="43"/>
      <c r="GM107" s="43"/>
      <c r="GN107" s="43"/>
      <c r="GO107" s="43"/>
      <c r="GP107" s="43">
        <v>1</v>
      </c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</row>
    <row r="108" spans="1:212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FY108" s="44" t="s">
        <v>249</v>
      </c>
      <c r="FZ108" s="43">
        <f t="shared" si="15"/>
        <v>78</v>
      </c>
      <c r="GA108" s="43"/>
      <c r="GB108" s="43"/>
      <c r="GC108" s="43"/>
      <c r="GD108" s="43"/>
      <c r="GE108" s="43"/>
      <c r="GF108" s="43"/>
      <c r="GG108" s="43"/>
      <c r="GH108" s="43"/>
      <c r="GI108" s="43"/>
      <c r="GJ108" s="43">
        <f t="shared" si="16"/>
        <v>78</v>
      </c>
      <c r="GK108" s="43">
        <f t="shared" si="17"/>
        <v>0</v>
      </c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</row>
    <row r="109" spans="1:212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FY109" s="44" t="s">
        <v>250</v>
      </c>
      <c r="FZ109" s="43">
        <f t="shared" si="15"/>
        <v>79</v>
      </c>
      <c r="GA109" s="43"/>
      <c r="GB109" s="43"/>
      <c r="GC109" s="43"/>
      <c r="GD109" s="43"/>
      <c r="GE109" s="43"/>
      <c r="GF109" s="43"/>
      <c r="GG109" s="43"/>
      <c r="GH109" s="43"/>
      <c r="GI109" s="43"/>
      <c r="GJ109" s="43">
        <f t="shared" si="16"/>
        <v>79</v>
      </c>
      <c r="GK109" s="43">
        <f t="shared" si="17"/>
        <v>0</v>
      </c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</row>
    <row r="110" spans="1:212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FY110" s="44" t="s">
        <v>251</v>
      </c>
      <c r="FZ110" s="43">
        <f t="shared" si="15"/>
        <v>80</v>
      </c>
      <c r="GA110" s="43"/>
      <c r="GB110" s="43"/>
      <c r="GC110" s="43"/>
      <c r="GD110" s="43"/>
      <c r="GE110" s="43"/>
      <c r="GF110" s="43"/>
      <c r="GG110" s="43"/>
      <c r="GH110" s="43"/>
      <c r="GI110" s="43"/>
      <c r="GJ110" s="43">
        <f t="shared" si="16"/>
        <v>80</v>
      </c>
      <c r="GK110" s="43">
        <f t="shared" si="17"/>
        <v>0</v>
      </c>
      <c r="GL110" s="43"/>
      <c r="GM110" s="43">
        <v>1</v>
      </c>
      <c r="GN110" s="43">
        <v>1</v>
      </c>
      <c r="GO110" s="43">
        <v>1</v>
      </c>
      <c r="GP110" s="43">
        <v>1</v>
      </c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</row>
    <row r="111" spans="1:212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FY111" s="44" t="s">
        <v>252</v>
      </c>
      <c r="FZ111" s="43">
        <f t="shared" si="15"/>
        <v>81</v>
      </c>
      <c r="GA111" s="43"/>
      <c r="GB111" s="43"/>
      <c r="GC111" s="43"/>
      <c r="GD111" s="43"/>
      <c r="GE111" s="43"/>
      <c r="GF111" s="43"/>
      <c r="GG111" s="43"/>
      <c r="GH111" s="43"/>
      <c r="GI111" s="43"/>
      <c r="GJ111" s="43">
        <f t="shared" si="16"/>
        <v>81</v>
      </c>
      <c r="GK111" s="43">
        <f t="shared" si="17"/>
        <v>0</v>
      </c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</row>
    <row r="112" spans="1:212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FY112" s="44" t="s">
        <v>253</v>
      </c>
      <c r="FZ112" s="43">
        <f t="shared" si="15"/>
        <v>82</v>
      </c>
      <c r="GA112" s="43"/>
      <c r="GB112" s="43"/>
      <c r="GC112" s="43"/>
      <c r="GD112" s="43"/>
      <c r="GE112" s="43"/>
      <c r="GF112" s="43"/>
      <c r="GG112" s="43"/>
      <c r="GH112" s="43"/>
      <c r="GI112" s="43"/>
      <c r="GJ112" s="43">
        <f t="shared" si="16"/>
        <v>82</v>
      </c>
      <c r="GK112" s="43">
        <f t="shared" si="17"/>
        <v>0</v>
      </c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</row>
    <row r="113" spans="1:212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FY113" s="44" t="s">
        <v>254</v>
      </c>
      <c r="FZ113" s="43">
        <f t="shared" si="15"/>
        <v>83</v>
      </c>
      <c r="GA113" s="43"/>
      <c r="GB113" s="43"/>
      <c r="GC113" s="43"/>
      <c r="GD113" s="43"/>
      <c r="GE113" s="43"/>
      <c r="GF113" s="43"/>
      <c r="GG113" s="43"/>
      <c r="GH113" s="43"/>
      <c r="GI113" s="43"/>
      <c r="GJ113" s="43">
        <f t="shared" si="16"/>
        <v>83</v>
      </c>
      <c r="GK113" s="43">
        <f t="shared" si="17"/>
        <v>0</v>
      </c>
      <c r="GL113" s="43"/>
      <c r="GM113" s="43"/>
      <c r="GN113" s="43"/>
      <c r="GO113" s="43"/>
      <c r="GP113" s="43">
        <v>1</v>
      </c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</row>
    <row r="114" spans="1:212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FY114" s="44" t="s">
        <v>255</v>
      </c>
      <c r="FZ114" s="43">
        <f t="shared" si="15"/>
        <v>84</v>
      </c>
      <c r="GA114" s="43"/>
      <c r="GB114" s="43"/>
      <c r="GC114" s="43"/>
      <c r="GD114" s="43"/>
      <c r="GE114" s="43"/>
      <c r="GF114" s="43"/>
      <c r="GG114" s="43"/>
      <c r="GH114" s="43"/>
      <c r="GI114" s="43"/>
      <c r="GJ114" s="43">
        <f t="shared" si="16"/>
        <v>84</v>
      </c>
      <c r="GK114" s="43">
        <f t="shared" si="17"/>
        <v>0</v>
      </c>
      <c r="GL114" s="43"/>
      <c r="GM114" s="43"/>
      <c r="GN114" s="43"/>
      <c r="GO114" s="43">
        <v>1</v>
      </c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</row>
    <row r="115" spans="1:212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FY115" s="44" t="s">
        <v>256</v>
      </c>
      <c r="FZ115" s="43">
        <f t="shared" si="15"/>
        <v>85</v>
      </c>
      <c r="GA115" s="43"/>
      <c r="GB115" s="43"/>
      <c r="GC115" s="43"/>
      <c r="GD115" s="43"/>
      <c r="GE115" s="43"/>
      <c r="GF115" s="43"/>
      <c r="GG115" s="43"/>
      <c r="GH115" s="43"/>
      <c r="GI115" s="43"/>
      <c r="GJ115" s="43">
        <f t="shared" si="16"/>
        <v>85</v>
      </c>
      <c r="GK115" s="43">
        <f t="shared" si="17"/>
        <v>0</v>
      </c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</row>
    <row r="116" spans="1:212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FY116" s="44" t="s">
        <v>257</v>
      </c>
      <c r="FZ116" s="43">
        <f t="shared" si="15"/>
        <v>86</v>
      </c>
      <c r="GA116" s="43"/>
      <c r="GB116" s="43"/>
      <c r="GC116" s="43"/>
      <c r="GD116" s="43"/>
      <c r="GE116" s="43"/>
      <c r="GF116" s="43"/>
      <c r="GG116" s="43"/>
      <c r="GH116" s="43"/>
      <c r="GI116" s="43"/>
      <c r="GJ116" s="43">
        <f t="shared" si="16"/>
        <v>86</v>
      </c>
      <c r="GK116" s="43">
        <f t="shared" si="17"/>
        <v>0</v>
      </c>
      <c r="GL116" s="43"/>
      <c r="GM116" s="43"/>
      <c r="GN116" s="43">
        <v>1</v>
      </c>
      <c r="GO116" s="43"/>
      <c r="GP116" s="43">
        <v>1</v>
      </c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</row>
    <row r="117" spans="1:212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FY117" s="44" t="s">
        <v>258</v>
      </c>
      <c r="FZ117" s="43">
        <f t="shared" si="15"/>
        <v>87</v>
      </c>
      <c r="GA117" s="43"/>
      <c r="GB117" s="43"/>
      <c r="GC117" s="43"/>
      <c r="GD117" s="43"/>
      <c r="GE117" s="43"/>
      <c r="GF117" s="43"/>
      <c r="GG117" s="43"/>
      <c r="GH117" s="43"/>
      <c r="GI117" s="43"/>
      <c r="GJ117" s="43">
        <f t="shared" si="16"/>
        <v>87</v>
      </c>
      <c r="GK117" s="43">
        <f t="shared" si="17"/>
        <v>0</v>
      </c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</row>
    <row r="118" spans="1:212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FY118" s="44" t="s">
        <v>259</v>
      </c>
      <c r="FZ118" s="43">
        <f t="shared" si="15"/>
        <v>88</v>
      </c>
      <c r="GA118" s="43"/>
      <c r="GB118" s="43"/>
      <c r="GC118" s="43"/>
      <c r="GD118" s="43"/>
      <c r="GE118" s="43"/>
      <c r="GF118" s="43"/>
      <c r="GG118" s="43"/>
      <c r="GH118" s="43"/>
      <c r="GI118" s="43"/>
      <c r="GJ118" s="43">
        <f t="shared" si="16"/>
        <v>88</v>
      </c>
      <c r="GK118" s="43">
        <f t="shared" si="17"/>
        <v>0</v>
      </c>
      <c r="GL118" s="43"/>
      <c r="GM118" s="43"/>
      <c r="GN118" s="43"/>
      <c r="GO118" s="43">
        <v>1</v>
      </c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</row>
    <row r="119" spans="1:212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FY119" s="44" t="s">
        <v>260</v>
      </c>
      <c r="FZ119" s="43">
        <f t="shared" si="15"/>
        <v>89</v>
      </c>
      <c r="GA119" s="43"/>
      <c r="GB119" s="43"/>
      <c r="GC119" s="43"/>
      <c r="GD119" s="43"/>
      <c r="GE119" s="43"/>
      <c r="GF119" s="43"/>
      <c r="GG119" s="43"/>
      <c r="GH119" s="43"/>
      <c r="GI119" s="43"/>
      <c r="GJ119" s="43">
        <f t="shared" si="16"/>
        <v>89</v>
      </c>
      <c r="GK119" s="43">
        <f t="shared" si="17"/>
        <v>0</v>
      </c>
      <c r="GL119" s="43"/>
      <c r="GM119" s="43"/>
      <c r="GN119" s="43"/>
      <c r="GO119" s="43"/>
      <c r="GP119" s="43">
        <v>1</v>
      </c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</row>
    <row r="120" spans="1:212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FY120" s="44" t="s">
        <v>261</v>
      </c>
      <c r="FZ120" s="43">
        <f t="shared" si="15"/>
        <v>90</v>
      </c>
      <c r="GA120" s="43"/>
      <c r="GB120" s="43"/>
      <c r="GC120" s="43"/>
      <c r="GD120" s="43"/>
      <c r="GE120" s="43"/>
      <c r="GF120" s="43"/>
      <c r="GG120" s="43"/>
      <c r="GH120" s="43"/>
      <c r="GI120" s="43"/>
      <c r="GJ120" s="43">
        <f t="shared" si="16"/>
        <v>90</v>
      </c>
      <c r="GK120" s="43">
        <f t="shared" si="17"/>
        <v>0</v>
      </c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</row>
    <row r="121" spans="1:212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FY121" s="44" t="s">
        <v>262</v>
      </c>
      <c r="FZ121" s="43">
        <f t="shared" si="15"/>
        <v>91</v>
      </c>
      <c r="GA121" s="43"/>
      <c r="GB121" s="43"/>
      <c r="GC121" s="43"/>
      <c r="GD121" s="43"/>
      <c r="GE121" s="43"/>
      <c r="GF121" s="43"/>
      <c r="GG121" s="43"/>
      <c r="GH121" s="43"/>
      <c r="GI121" s="43"/>
      <c r="GJ121" s="43">
        <f t="shared" si="16"/>
        <v>91</v>
      </c>
      <c r="GK121" s="43">
        <f t="shared" si="17"/>
        <v>0</v>
      </c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</row>
    <row r="122" spans="1:212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FY122" s="44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>
        <f t="shared" si="16"/>
        <v>92</v>
      </c>
      <c r="GK122" s="43">
        <f t="shared" si="17"/>
        <v>0</v>
      </c>
      <c r="GL122" s="43"/>
      <c r="GM122" s="43">
        <v>1</v>
      </c>
      <c r="GN122" s="43">
        <v>1</v>
      </c>
      <c r="GO122" s="43">
        <v>1</v>
      </c>
      <c r="GP122" s="43">
        <v>1</v>
      </c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</row>
    <row r="123" spans="1:212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FY123" s="44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>
        <f t="shared" si="16"/>
        <v>93</v>
      </c>
      <c r="GK123" s="43">
        <f t="shared" si="17"/>
        <v>0</v>
      </c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</row>
    <row r="124" spans="1:212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FY124" s="44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>
        <f t="shared" si="16"/>
        <v>94</v>
      </c>
      <c r="GK124" s="43">
        <f t="shared" si="17"/>
        <v>0</v>
      </c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</row>
    <row r="125" spans="1:212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FY125" s="44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>
        <f t="shared" si="16"/>
        <v>95</v>
      </c>
      <c r="GK125" s="43">
        <f t="shared" si="17"/>
        <v>0</v>
      </c>
      <c r="GL125" s="43"/>
      <c r="GM125" s="43"/>
      <c r="GN125" s="43"/>
      <c r="GO125" s="43"/>
      <c r="GP125" s="43">
        <v>1</v>
      </c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</row>
    <row r="126" spans="1:212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FY126" s="44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>
        <f t="shared" si="16"/>
        <v>96</v>
      </c>
      <c r="GK126" s="43">
        <f t="shared" si="17"/>
        <v>0</v>
      </c>
      <c r="GL126" s="43"/>
      <c r="GM126" s="43"/>
      <c r="GN126" s="43"/>
      <c r="GO126" s="43">
        <v>1</v>
      </c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</row>
    <row r="127" spans="1:212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FY127" s="44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>
        <f t="shared" si="16"/>
        <v>97</v>
      </c>
      <c r="GK127" s="43">
        <f t="shared" si="17"/>
        <v>0</v>
      </c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</row>
    <row r="128" spans="1:212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FY128" s="44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>
        <f t="shared" si="16"/>
        <v>98</v>
      </c>
      <c r="GK128" s="43">
        <f t="shared" si="17"/>
        <v>0</v>
      </c>
      <c r="GL128" s="43"/>
      <c r="GM128" s="43"/>
      <c r="GN128" s="43">
        <v>1</v>
      </c>
      <c r="GO128" s="43"/>
      <c r="GP128" s="43">
        <v>1</v>
      </c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</row>
    <row r="129" spans="1:212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FY129" s="44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>
        <f t="shared" si="16"/>
        <v>99</v>
      </c>
      <c r="GK129" s="43">
        <f t="shared" si="17"/>
        <v>0</v>
      </c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</row>
    <row r="130" spans="1:212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FY130" s="44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>
        <f t="shared" si="16"/>
        <v>100</v>
      </c>
      <c r="GK130" s="43">
        <f t="shared" si="17"/>
        <v>0</v>
      </c>
      <c r="GL130" s="43"/>
      <c r="GM130" s="43"/>
      <c r="GN130" s="43"/>
      <c r="GO130" s="43">
        <v>1</v>
      </c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</row>
    <row r="131" spans="1:212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FY131" s="44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>
        <f t="shared" si="16"/>
        <v>101</v>
      </c>
      <c r="GK131" s="43">
        <f t="shared" si="17"/>
        <v>0</v>
      </c>
      <c r="GL131" s="43"/>
      <c r="GM131" s="43"/>
      <c r="GN131" s="43"/>
      <c r="GO131" s="43"/>
      <c r="GP131" s="43">
        <v>1</v>
      </c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</row>
    <row r="132" spans="1:212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FY132" s="44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>
        <f t="shared" ref="GJ132:GJ173" si="18">+GJ131+1</f>
        <v>102</v>
      </c>
      <c r="GK132" s="43">
        <f t="shared" si="17"/>
        <v>0</v>
      </c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</row>
    <row r="133" spans="1:212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FY133" s="44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>
        <f t="shared" si="18"/>
        <v>103</v>
      </c>
      <c r="GK133" s="43">
        <f t="shared" ref="GK133:GK173" si="19">+IF($C$8=$GM$1,GM133,IF($C$8=$GN$1,GN133,IF($C$8=$GO$1,GO133,IF($C$8=$GP$1,GP133,0))))</f>
        <v>0</v>
      </c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</row>
    <row r="134" spans="1:212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FY134" s="44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>
        <f t="shared" si="18"/>
        <v>104</v>
      </c>
      <c r="GK134" s="43">
        <f t="shared" si="19"/>
        <v>0</v>
      </c>
      <c r="GL134" s="43"/>
      <c r="GM134" s="43">
        <v>1</v>
      </c>
      <c r="GN134" s="43">
        <v>1</v>
      </c>
      <c r="GO134" s="43">
        <v>1</v>
      </c>
      <c r="GP134" s="43">
        <v>1</v>
      </c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</row>
    <row r="135" spans="1:212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FY135" s="44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>
        <f t="shared" si="18"/>
        <v>105</v>
      </c>
      <c r="GK135" s="43">
        <f t="shared" si="19"/>
        <v>0</v>
      </c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GZ135" s="43"/>
      <c r="HA135" s="43"/>
      <c r="HB135" s="43"/>
      <c r="HC135" s="43"/>
      <c r="HD135" s="43"/>
    </row>
    <row r="136" spans="1:212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FY136" s="44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>
        <f t="shared" si="18"/>
        <v>106</v>
      </c>
      <c r="GK136" s="43">
        <f t="shared" si="19"/>
        <v>0</v>
      </c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</row>
    <row r="137" spans="1:212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FY137" s="44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>
        <f t="shared" si="18"/>
        <v>107</v>
      </c>
      <c r="GK137" s="43">
        <f t="shared" si="19"/>
        <v>0</v>
      </c>
      <c r="GL137" s="43"/>
      <c r="GM137" s="43"/>
      <c r="GN137" s="43"/>
      <c r="GO137" s="43"/>
      <c r="GP137" s="43">
        <v>1</v>
      </c>
      <c r="GQ137" s="43"/>
      <c r="GR137" s="43"/>
      <c r="GS137" s="43"/>
      <c r="GT137" s="43"/>
      <c r="GU137" s="43"/>
      <c r="GV137" s="43"/>
      <c r="GW137" s="43"/>
      <c r="GX137" s="43"/>
      <c r="GY137" s="43"/>
      <c r="GZ137" s="43"/>
      <c r="HA137" s="43"/>
      <c r="HB137" s="43"/>
      <c r="HC137" s="43"/>
      <c r="HD137" s="43"/>
    </row>
    <row r="138" spans="1:212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FY138" s="44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>
        <f t="shared" si="18"/>
        <v>108</v>
      </c>
      <c r="GK138" s="43">
        <f t="shared" si="19"/>
        <v>0</v>
      </c>
      <c r="GL138" s="43"/>
      <c r="GM138" s="43"/>
      <c r="GN138" s="43"/>
      <c r="GO138" s="43">
        <v>1</v>
      </c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GZ138" s="43"/>
      <c r="HA138" s="43"/>
      <c r="HB138" s="43"/>
      <c r="HC138" s="43"/>
      <c r="HD138" s="43"/>
    </row>
    <row r="139" spans="1:212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FY139" s="44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>
        <f t="shared" si="18"/>
        <v>109</v>
      </c>
      <c r="GK139" s="43">
        <f t="shared" si="19"/>
        <v>0</v>
      </c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</row>
    <row r="140" spans="1:212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FY140" s="44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>
        <f t="shared" si="18"/>
        <v>110</v>
      </c>
      <c r="GK140" s="43">
        <f t="shared" si="19"/>
        <v>0</v>
      </c>
      <c r="GL140" s="43"/>
      <c r="GM140" s="43"/>
      <c r="GN140" s="43">
        <v>1</v>
      </c>
      <c r="GO140" s="43"/>
      <c r="GP140" s="43">
        <v>1</v>
      </c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</row>
    <row r="141" spans="1:212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FY141" s="44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>
        <f t="shared" si="18"/>
        <v>111</v>
      </c>
      <c r="GK141" s="43">
        <f t="shared" si="19"/>
        <v>0</v>
      </c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</row>
    <row r="142" spans="1:212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FY142" s="44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>
        <f t="shared" si="18"/>
        <v>112</v>
      </c>
      <c r="GK142" s="43">
        <f t="shared" si="19"/>
        <v>0</v>
      </c>
      <c r="GL142" s="43"/>
      <c r="GM142" s="43"/>
      <c r="GN142" s="43"/>
      <c r="GO142" s="43">
        <v>1</v>
      </c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GZ142" s="43"/>
      <c r="HA142" s="43"/>
      <c r="HB142" s="43"/>
      <c r="HC142" s="43"/>
      <c r="HD142" s="43"/>
    </row>
    <row r="143" spans="1:212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FY143" s="44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>
        <f t="shared" si="18"/>
        <v>113</v>
      </c>
      <c r="GK143" s="43">
        <f t="shared" si="19"/>
        <v>0</v>
      </c>
      <c r="GL143" s="43"/>
      <c r="GM143" s="43"/>
      <c r="GN143" s="43"/>
      <c r="GO143" s="43"/>
      <c r="GP143" s="43">
        <v>1</v>
      </c>
      <c r="GQ143" s="43"/>
      <c r="GR143" s="43"/>
      <c r="GS143" s="43"/>
      <c r="GT143" s="43"/>
      <c r="GU143" s="43"/>
      <c r="GV143" s="43"/>
      <c r="GW143" s="43"/>
      <c r="GX143" s="43"/>
      <c r="GY143" s="43"/>
      <c r="GZ143" s="43"/>
      <c r="HA143" s="43"/>
      <c r="HB143" s="43"/>
      <c r="HC143" s="43"/>
      <c r="HD143" s="43"/>
    </row>
    <row r="144" spans="1:212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FY144" s="44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>
        <f t="shared" si="18"/>
        <v>114</v>
      </c>
      <c r="GK144" s="43">
        <f t="shared" si="19"/>
        <v>0</v>
      </c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</row>
    <row r="145" spans="1:212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FY145" s="44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>
        <f t="shared" si="18"/>
        <v>115</v>
      </c>
      <c r="GK145" s="43">
        <f t="shared" si="19"/>
        <v>0</v>
      </c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GZ145" s="43"/>
      <c r="HA145" s="43"/>
      <c r="HB145" s="43"/>
      <c r="HC145" s="43"/>
      <c r="HD145" s="43"/>
    </row>
    <row r="146" spans="1:212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FY146" s="44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>
        <f t="shared" si="18"/>
        <v>116</v>
      </c>
      <c r="GK146" s="43">
        <f t="shared" si="19"/>
        <v>0</v>
      </c>
      <c r="GL146" s="43"/>
      <c r="GM146" s="43">
        <v>1</v>
      </c>
      <c r="GN146" s="43">
        <v>1</v>
      </c>
      <c r="GO146" s="43">
        <v>1</v>
      </c>
      <c r="GP146" s="43">
        <v>1</v>
      </c>
      <c r="GQ146" s="43"/>
      <c r="GR146" s="43"/>
      <c r="GS146" s="43"/>
      <c r="GT146" s="43"/>
      <c r="GU146" s="43"/>
      <c r="GV146" s="43"/>
      <c r="GW146" s="43"/>
      <c r="GX146" s="43"/>
      <c r="GY146" s="43"/>
      <c r="GZ146" s="43"/>
      <c r="HA146" s="43"/>
      <c r="HB146" s="43"/>
      <c r="HC146" s="43"/>
      <c r="HD146" s="43"/>
    </row>
    <row r="147" spans="1:212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FY147" s="44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>
        <f t="shared" si="18"/>
        <v>117</v>
      </c>
      <c r="GK147" s="43">
        <f t="shared" si="19"/>
        <v>0</v>
      </c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</row>
    <row r="148" spans="1:212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FY148" s="44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>
        <f t="shared" si="18"/>
        <v>118</v>
      </c>
      <c r="GK148" s="43">
        <f t="shared" si="19"/>
        <v>0</v>
      </c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</row>
    <row r="149" spans="1:212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FY149" s="44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>
        <f t="shared" si="18"/>
        <v>119</v>
      </c>
      <c r="GK149" s="43">
        <f t="shared" si="19"/>
        <v>0</v>
      </c>
      <c r="GL149" s="43"/>
      <c r="GM149" s="43"/>
      <c r="GN149" s="43"/>
      <c r="GO149" s="43"/>
      <c r="GP149" s="43">
        <v>1</v>
      </c>
      <c r="GQ149" s="43"/>
      <c r="GR149" s="43"/>
      <c r="GS149" s="43"/>
      <c r="GT149" s="43"/>
      <c r="GU149" s="43"/>
      <c r="GV149" s="43"/>
      <c r="GW149" s="43"/>
      <c r="GX149" s="43"/>
      <c r="GY149" s="43"/>
      <c r="GZ149" s="43"/>
      <c r="HA149" s="43"/>
      <c r="HB149" s="43"/>
      <c r="HC149" s="43"/>
      <c r="HD149" s="43"/>
    </row>
    <row r="150" spans="1:212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FY150" s="44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>
        <f t="shared" si="18"/>
        <v>120</v>
      </c>
      <c r="GK150" s="43">
        <f t="shared" si="19"/>
        <v>0</v>
      </c>
      <c r="GL150" s="43"/>
      <c r="GM150" s="43"/>
      <c r="GN150" s="43"/>
      <c r="GO150" s="43">
        <v>1</v>
      </c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GZ150" s="43"/>
      <c r="HA150" s="43"/>
      <c r="HB150" s="43"/>
      <c r="HC150" s="43"/>
      <c r="HD150" s="43"/>
    </row>
    <row r="151" spans="1:212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FY151" s="44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>
        <f t="shared" si="18"/>
        <v>121</v>
      </c>
      <c r="GK151" s="43">
        <f t="shared" si="19"/>
        <v>0</v>
      </c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GZ151" s="43"/>
      <c r="HA151" s="43"/>
      <c r="HB151" s="43"/>
      <c r="HC151" s="43"/>
      <c r="HD151" s="43"/>
    </row>
    <row r="152" spans="1:212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FY152" s="44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>
        <f t="shared" si="18"/>
        <v>122</v>
      </c>
      <c r="GK152" s="43">
        <f t="shared" si="19"/>
        <v>0</v>
      </c>
      <c r="GL152" s="43"/>
      <c r="GM152" s="43"/>
      <c r="GN152" s="43">
        <v>1</v>
      </c>
      <c r="GO152" s="43"/>
      <c r="GP152" s="43">
        <v>1</v>
      </c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</row>
    <row r="153" spans="1:212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FY153" s="44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>
        <f t="shared" si="18"/>
        <v>123</v>
      </c>
      <c r="GK153" s="43">
        <f t="shared" si="19"/>
        <v>0</v>
      </c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GZ153" s="43"/>
      <c r="HA153" s="43"/>
      <c r="HB153" s="43"/>
      <c r="HC153" s="43"/>
      <c r="HD153" s="43"/>
    </row>
    <row r="154" spans="1:212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FY154" s="44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>
        <f t="shared" si="18"/>
        <v>124</v>
      </c>
      <c r="GK154" s="43">
        <f t="shared" si="19"/>
        <v>0</v>
      </c>
      <c r="GL154" s="43"/>
      <c r="GM154" s="43"/>
      <c r="GN154" s="43"/>
      <c r="GO154" s="43">
        <v>1</v>
      </c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</row>
    <row r="155" spans="1:212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FY155" s="44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>
        <f t="shared" si="18"/>
        <v>125</v>
      </c>
      <c r="GK155" s="43">
        <f t="shared" si="19"/>
        <v>0</v>
      </c>
      <c r="GL155" s="43"/>
      <c r="GM155" s="43"/>
      <c r="GN155" s="43"/>
      <c r="GO155" s="43"/>
      <c r="GP155" s="43">
        <v>1</v>
      </c>
      <c r="GQ155" s="43"/>
      <c r="GR155" s="43"/>
      <c r="GS155" s="43"/>
      <c r="GT155" s="43"/>
      <c r="GU155" s="43"/>
      <c r="GV155" s="43"/>
      <c r="GW155" s="43"/>
      <c r="GX155" s="43"/>
      <c r="GY155" s="43"/>
      <c r="GZ155" s="43"/>
      <c r="HA155" s="43"/>
      <c r="HB155" s="43"/>
      <c r="HC155" s="43"/>
      <c r="HD155" s="43"/>
    </row>
    <row r="156" spans="1:212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FY156" s="44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>
        <f t="shared" si="18"/>
        <v>126</v>
      </c>
      <c r="GK156" s="43">
        <f t="shared" si="19"/>
        <v>0</v>
      </c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</row>
    <row r="157" spans="1:212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FY157" s="44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>
        <f t="shared" si="18"/>
        <v>127</v>
      </c>
      <c r="GK157" s="43">
        <f t="shared" si="19"/>
        <v>0</v>
      </c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GZ157" s="43"/>
      <c r="HA157" s="43"/>
      <c r="HB157" s="43"/>
      <c r="HC157" s="43"/>
      <c r="HD157" s="43"/>
    </row>
    <row r="158" spans="1:212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FY158" s="44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>
        <f t="shared" si="18"/>
        <v>128</v>
      </c>
      <c r="GK158" s="43">
        <f t="shared" si="19"/>
        <v>0</v>
      </c>
      <c r="GL158" s="43"/>
      <c r="GM158" s="43">
        <v>1</v>
      </c>
      <c r="GN158" s="43">
        <v>1</v>
      </c>
      <c r="GO158" s="43">
        <v>1</v>
      </c>
      <c r="GP158" s="43">
        <v>1</v>
      </c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</row>
    <row r="159" spans="1:212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FY159" s="44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>
        <f t="shared" si="18"/>
        <v>129</v>
      </c>
      <c r="GK159" s="43">
        <f t="shared" si="19"/>
        <v>0</v>
      </c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GZ159" s="43"/>
      <c r="HA159" s="43"/>
      <c r="HB159" s="43"/>
      <c r="HC159" s="43"/>
      <c r="HD159" s="43"/>
    </row>
    <row r="160" spans="1:212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FY160" s="44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>
        <f t="shared" si="18"/>
        <v>130</v>
      </c>
      <c r="GK160" s="43">
        <f t="shared" si="19"/>
        <v>0</v>
      </c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</row>
    <row r="161" spans="1:212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FY161" s="44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>
        <f t="shared" si="18"/>
        <v>131</v>
      </c>
      <c r="GK161" s="43">
        <f t="shared" si="19"/>
        <v>0</v>
      </c>
      <c r="GL161" s="43"/>
      <c r="GM161" s="43"/>
      <c r="GN161" s="43"/>
      <c r="GO161" s="43"/>
      <c r="GP161" s="43">
        <v>1</v>
      </c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</row>
    <row r="162" spans="1:212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FY162" s="44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>
        <f t="shared" si="18"/>
        <v>132</v>
      </c>
      <c r="GK162" s="43">
        <f t="shared" si="19"/>
        <v>0</v>
      </c>
      <c r="GL162" s="43"/>
      <c r="GM162" s="43"/>
      <c r="GN162" s="43"/>
      <c r="GO162" s="43">
        <v>1</v>
      </c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</row>
    <row r="163" spans="1:212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FY163" s="44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>
        <f t="shared" si="18"/>
        <v>133</v>
      </c>
      <c r="GK163" s="43">
        <f t="shared" si="19"/>
        <v>0</v>
      </c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</row>
    <row r="164" spans="1:212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FY164" s="44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>
        <f t="shared" si="18"/>
        <v>134</v>
      </c>
      <c r="GK164" s="43">
        <f t="shared" si="19"/>
        <v>0</v>
      </c>
      <c r="GL164" s="43"/>
      <c r="GM164" s="43"/>
      <c r="GN164" s="43">
        <v>1</v>
      </c>
      <c r="GO164" s="43"/>
      <c r="GP164" s="43">
        <v>1</v>
      </c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</row>
    <row r="165" spans="1:212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FY165" s="44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>
        <f t="shared" si="18"/>
        <v>135</v>
      </c>
      <c r="GK165" s="43">
        <f t="shared" si="19"/>
        <v>0</v>
      </c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</row>
    <row r="166" spans="1:212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FY166" s="44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>
        <f t="shared" si="18"/>
        <v>136</v>
      </c>
      <c r="GK166" s="43">
        <f t="shared" si="19"/>
        <v>0</v>
      </c>
      <c r="GL166" s="43"/>
      <c r="GM166" s="43"/>
      <c r="GN166" s="43"/>
      <c r="GO166" s="43">
        <v>1</v>
      </c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</row>
    <row r="167" spans="1:212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FY167" s="44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>
        <f t="shared" si="18"/>
        <v>137</v>
      </c>
      <c r="GK167" s="43">
        <f t="shared" si="19"/>
        <v>0</v>
      </c>
      <c r="GL167" s="43"/>
      <c r="GM167" s="43"/>
      <c r="GN167" s="43"/>
      <c r="GO167" s="43"/>
      <c r="GP167" s="43">
        <v>1</v>
      </c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</row>
    <row r="168" spans="1:212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FY168" s="44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>
        <f t="shared" si="18"/>
        <v>138</v>
      </c>
      <c r="GK168" s="43">
        <f t="shared" si="19"/>
        <v>0</v>
      </c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</row>
    <row r="169" spans="1:212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FY169" s="44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>
        <f t="shared" si="18"/>
        <v>139</v>
      </c>
      <c r="GK169" s="43">
        <f t="shared" si="19"/>
        <v>0</v>
      </c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</row>
    <row r="170" spans="1:21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FY170" s="44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>
        <f t="shared" si="18"/>
        <v>140</v>
      </c>
      <c r="GK170" s="43">
        <f t="shared" si="19"/>
        <v>0</v>
      </c>
      <c r="GL170" s="43"/>
      <c r="GM170" s="43">
        <v>1</v>
      </c>
      <c r="GN170" s="43">
        <v>1</v>
      </c>
      <c r="GO170" s="43">
        <v>1</v>
      </c>
      <c r="GP170" s="43">
        <v>1</v>
      </c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</row>
    <row r="171" spans="1:212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FY171" s="44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>
        <f t="shared" si="18"/>
        <v>141</v>
      </c>
      <c r="GK171" s="43">
        <f t="shared" si="19"/>
        <v>0</v>
      </c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</row>
    <row r="172" spans="1:212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FY172" s="44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>
        <f t="shared" si="18"/>
        <v>142</v>
      </c>
      <c r="GK172" s="43">
        <f t="shared" si="19"/>
        <v>0</v>
      </c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</row>
    <row r="173" spans="1:212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FY173" s="44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>
        <f t="shared" si="18"/>
        <v>143</v>
      </c>
      <c r="GK173" s="43">
        <f t="shared" si="19"/>
        <v>0</v>
      </c>
      <c r="GL173" s="43"/>
      <c r="GM173" s="43"/>
      <c r="GN173" s="43"/>
      <c r="GO173" s="43"/>
      <c r="GP173" s="43">
        <v>1</v>
      </c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</row>
    <row r="174" spans="1:212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FY174" s="44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>
        <v>1</v>
      </c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GZ174" s="43"/>
      <c r="HA174" s="43"/>
      <c r="HB174" s="43"/>
      <c r="HC174" s="43"/>
      <c r="HD174" s="43"/>
    </row>
    <row r="175" spans="1:212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FY175" s="44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3"/>
      <c r="HC175" s="43"/>
      <c r="HD175" s="43"/>
    </row>
    <row r="176" spans="1:212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FY176" s="44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>
        <v>1</v>
      </c>
      <c r="GO176" s="43"/>
      <c r="GP176" s="43">
        <v>1</v>
      </c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</row>
    <row r="177" spans="1:212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FY177" s="44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GZ177" s="43"/>
      <c r="HA177" s="43"/>
      <c r="HB177" s="43"/>
      <c r="HC177" s="43"/>
      <c r="HD177" s="43"/>
    </row>
    <row r="178" spans="1:212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FY178" s="44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>
        <v>1</v>
      </c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GZ178" s="43"/>
      <c r="HA178" s="43"/>
      <c r="HB178" s="43"/>
      <c r="HC178" s="43"/>
      <c r="HD178" s="43"/>
    </row>
    <row r="179" spans="1:212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FY179" s="44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>
        <v>1</v>
      </c>
      <c r="GQ179" s="43"/>
      <c r="GR179" s="43"/>
      <c r="GS179" s="43"/>
      <c r="GT179" s="43"/>
      <c r="GU179" s="43"/>
      <c r="GV179" s="43"/>
      <c r="GW179" s="43"/>
      <c r="GX179" s="43"/>
      <c r="GY179" s="43"/>
      <c r="GZ179" s="43"/>
      <c r="HA179" s="43"/>
      <c r="HB179" s="43"/>
      <c r="HC179" s="43"/>
      <c r="HD179" s="43"/>
    </row>
    <row r="180" spans="1:212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FY180" s="44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GZ180" s="43"/>
      <c r="HA180" s="43"/>
      <c r="HB180" s="43"/>
      <c r="HC180" s="43"/>
      <c r="HD180" s="43"/>
    </row>
    <row r="181" spans="1:212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FY181" s="44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GZ181" s="43"/>
      <c r="HA181" s="43"/>
      <c r="HB181" s="43"/>
      <c r="HC181" s="43"/>
      <c r="HD181" s="43"/>
    </row>
    <row r="182" spans="1:212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FY182" s="44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>
        <v>1</v>
      </c>
      <c r="GN182" s="43">
        <v>1</v>
      </c>
      <c r="GO182" s="43">
        <v>1</v>
      </c>
      <c r="GP182" s="43">
        <v>1</v>
      </c>
      <c r="GQ182" s="43"/>
      <c r="GR182" s="43"/>
      <c r="GS182" s="43"/>
      <c r="GT182" s="43"/>
      <c r="GU182" s="43"/>
      <c r="GV182" s="43"/>
      <c r="GW182" s="43"/>
      <c r="GX182" s="43"/>
      <c r="GY182" s="43"/>
      <c r="GZ182" s="43"/>
      <c r="HA182" s="43"/>
      <c r="HB182" s="43"/>
      <c r="HC182" s="43"/>
      <c r="HD182" s="43"/>
    </row>
    <row r="183" spans="1:212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FY183" s="44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>
        <v>1</v>
      </c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GZ183" s="43"/>
      <c r="HA183" s="43"/>
      <c r="HB183" s="43"/>
      <c r="HC183" s="43"/>
      <c r="HD183" s="43"/>
    </row>
    <row r="184" spans="1:212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FY184" s="44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>
        <v>1</v>
      </c>
      <c r="GN184" s="43">
        <v>1</v>
      </c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GZ184" s="43"/>
      <c r="HA184" s="43"/>
      <c r="HB184" s="43"/>
      <c r="HC184" s="43"/>
      <c r="HD184" s="43"/>
    </row>
    <row r="185" spans="1:212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FY185" s="44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>
        <v>1</v>
      </c>
      <c r="GN185" s="43"/>
      <c r="GO185" s="43">
        <v>1</v>
      </c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GZ185" s="43"/>
      <c r="HA185" s="43"/>
      <c r="HB185" s="43"/>
      <c r="HC185" s="43"/>
      <c r="HD185" s="43"/>
    </row>
    <row r="186" spans="1:212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FY186" s="44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>
        <v>1</v>
      </c>
      <c r="GN186" s="43">
        <v>1</v>
      </c>
      <c r="GO186" s="43"/>
      <c r="GP186" s="43">
        <v>1</v>
      </c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</row>
    <row r="187" spans="1:212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FY187" s="44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>
        <v>1</v>
      </c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GZ187" s="43"/>
      <c r="HA187" s="43"/>
      <c r="HB187" s="43"/>
      <c r="HC187" s="43"/>
      <c r="HD187" s="43"/>
    </row>
    <row r="188" spans="1:212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FY188" s="44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>
        <v>1</v>
      </c>
      <c r="GN188" s="43">
        <v>1</v>
      </c>
      <c r="GO188" s="43">
        <v>1</v>
      </c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GZ188" s="43"/>
      <c r="HA188" s="43"/>
      <c r="HB188" s="43"/>
      <c r="HC188" s="43"/>
      <c r="HD188" s="43"/>
    </row>
    <row r="189" spans="1:212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FY189" s="44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>
        <v>1</v>
      </c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GZ189" s="43"/>
      <c r="HA189" s="43"/>
      <c r="HB189" s="43"/>
      <c r="HC189" s="43"/>
      <c r="HD189" s="43"/>
    </row>
    <row r="190" spans="1:212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FY190" s="44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>
        <v>1</v>
      </c>
      <c r="GN190" s="43">
        <v>1</v>
      </c>
      <c r="GO190" s="43"/>
      <c r="GP190" s="43">
        <v>1</v>
      </c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</row>
    <row r="191" spans="1:212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FY191" s="44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>
        <v>1</v>
      </c>
      <c r="GN191" s="43"/>
      <c r="GO191" s="43">
        <v>1</v>
      </c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GZ191" s="43"/>
      <c r="HA191" s="43"/>
      <c r="HB191" s="43"/>
      <c r="HC191" s="43"/>
      <c r="HD191" s="43"/>
    </row>
    <row r="192" spans="1:212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FY192" s="44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>
        <v>1</v>
      </c>
      <c r="GN192" s="43">
        <v>1</v>
      </c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GZ192" s="43"/>
      <c r="HA192" s="43"/>
      <c r="HB192" s="43"/>
      <c r="HC192" s="43"/>
      <c r="HD192" s="43"/>
    </row>
    <row r="193" spans="1:212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FY193" s="44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>
        <v>1</v>
      </c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GZ193" s="43"/>
      <c r="HA193" s="43"/>
      <c r="HB193" s="43"/>
      <c r="HC193" s="43"/>
      <c r="HD193" s="43"/>
    </row>
    <row r="194" spans="1:212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FY194" s="44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>
        <v>1</v>
      </c>
      <c r="GN194" s="43">
        <v>1</v>
      </c>
      <c r="GO194" s="43">
        <v>1</v>
      </c>
      <c r="GP194" s="43">
        <v>1</v>
      </c>
      <c r="GQ194" s="43"/>
      <c r="GR194" s="43"/>
      <c r="GS194" s="43"/>
      <c r="GT194" s="43"/>
      <c r="GU194" s="43"/>
      <c r="GV194" s="43"/>
      <c r="GW194" s="43"/>
      <c r="GX194" s="43"/>
      <c r="GY194" s="43"/>
      <c r="GZ194" s="43"/>
      <c r="HA194" s="43"/>
      <c r="HB194" s="43"/>
      <c r="HC194" s="43"/>
      <c r="HD194" s="43"/>
    </row>
    <row r="195" spans="1:212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FY195" s="44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>
        <v>1</v>
      </c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GZ195" s="43"/>
      <c r="HA195" s="43"/>
      <c r="HB195" s="43"/>
      <c r="HC195" s="43"/>
      <c r="HD195" s="43"/>
    </row>
    <row r="196" spans="1:212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FY196" s="44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>
        <v>1</v>
      </c>
      <c r="GN196" s="43">
        <v>1</v>
      </c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GZ196" s="43"/>
      <c r="HA196" s="43"/>
      <c r="HB196" s="43"/>
      <c r="HC196" s="43"/>
      <c r="HD196" s="43"/>
    </row>
    <row r="197" spans="1:212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FY197" s="44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>
        <v>1</v>
      </c>
      <c r="GN197" s="43"/>
      <c r="GO197" s="43">
        <v>1</v>
      </c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GZ197" s="43"/>
      <c r="HA197" s="43"/>
      <c r="HB197" s="43"/>
      <c r="HC197" s="43"/>
      <c r="HD197" s="43"/>
    </row>
    <row r="198" spans="1:212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FY198" s="44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>
        <v>1</v>
      </c>
      <c r="GN198" s="43">
        <v>1</v>
      </c>
      <c r="GO198" s="43"/>
      <c r="GP198" s="43">
        <v>1</v>
      </c>
      <c r="GQ198" s="43"/>
      <c r="GR198" s="43"/>
      <c r="GS198" s="43"/>
      <c r="GT198" s="43"/>
      <c r="GU198" s="43"/>
      <c r="GV198" s="43"/>
      <c r="GW198" s="43"/>
      <c r="GX198" s="43"/>
      <c r="GY198" s="43"/>
      <c r="GZ198" s="43"/>
      <c r="HA198" s="43"/>
      <c r="HB198" s="43"/>
      <c r="HC198" s="43"/>
      <c r="HD198" s="43"/>
    </row>
    <row r="199" spans="1:212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FY199" s="44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>
        <v>1</v>
      </c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GZ199" s="43"/>
      <c r="HA199" s="43"/>
      <c r="HB199" s="43"/>
      <c r="HC199" s="43"/>
      <c r="HD199" s="43"/>
    </row>
    <row r="200" spans="1:212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FY200" s="44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>
        <v>1</v>
      </c>
      <c r="GN200" s="43">
        <v>1</v>
      </c>
      <c r="GO200" s="43">
        <v>1</v>
      </c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</row>
    <row r="201" spans="1:212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FY201" s="44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>
        <v>1</v>
      </c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GZ201" s="43"/>
      <c r="HA201" s="43"/>
      <c r="HB201" s="43"/>
      <c r="HC201" s="43"/>
      <c r="HD201" s="43"/>
    </row>
    <row r="202" spans="1:212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FY202" s="44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>
        <v>1</v>
      </c>
      <c r="GN202" s="43">
        <v>1</v>
      </c>
      <c r="GO202" s="43"/>
      <c r="GP202" s="43">
        <v>1</v>
      </c>
      <c r="GQ202" s="43"/>
      <c r="GR202" s="43"/>
      <c r="GS202" s="43"/>
      <c r="GT202" s="43"/>
      <c r="GU202" s="43"/>
      <c r="GV202" s="43"/>
      <c r="GW202" s="43"/>
      <c r="GX202" s="43"/>
      <c r="GY202" s="43"/>
      <c r="GZ202" s="43"/>
      <c r="HA202" s="43"/>
      <c r="HB202" s="43"/>
      <c r="HC202" s="43"/>
      <c r="HD202" s="43"/>
    </row>
    <row r="203" spans="1:212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FY203" s="44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>
        <v>1</v>
      </c>
      <c r="GN203" s="43"/>
      <c r="GO203" s="43">
        <v>1</v>
      </c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GZ203" s="43"/>
      <c r="HA203" s="43"/>
      <c r="HB203" s="43"/>
      <c r="HC203" s="43"/>
      <c r="HD203" s="43"/>
    </row>
    <row r="204" spans="1:212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FY204" s="44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>
        <v>1</v>
      </c>
      <c r="GN204" s="43">
        <v>1</v>
      </c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GZ204" s="43"/>
      <c r="HA204" s="43"/>
      <c r="HB204" s="43"/>
      <c r="HC204" s="43"/>
      <c r="HD204" s="43"/>
    </row>
    <row r="205" spans="1:212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FY205" s="44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>
        <v>1</v>
      </c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GZ205" s="43"/>
      <c r="HA205" s="43"/>
      <c r="HB205" s="43"/>
      <c r="HC205" s="43"/>
      <c r="HD205" s="43"/>
    </row>
    <row r="206" spans="1:212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FY206" s="44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>
        <v>1</v>
      </c>
      <c r="GN206" s="43">
        <v>1</v>
      </c>
      <c r="GO206" s="43">
        <v>1</v>
      </c>
      <c r="GP206" s="43">
        <v>1</v>
      </c>
      <c r="GQ206" s="43"/>
      <c r="GR206" s="43"/>
      <c r="GS206" s="43"/>
      <c r="GT206" s="43"/>
      <c r="GU206" s="43"/>
      <c r="GV206" s="43"/>
      <c r="GW206" s="43"/>
      <c r="GX206" s="43"/>
      <c r="GY206" s="43"/>
      <c r="GZ206" s="43"/>
      <c r="HA206" s="43"/>
      <c r="HB206" s="43"/>
      <c r="HC206" s="43"/>
      <c r="HD206" s="43"/>
    </row>
    <row r="207" spans="1:212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FY207" s="44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>
        <v>1</v>
      </c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GZ207" s="43"/>
      <c r="HA207" s="43"/>
      <c r="HB207" s="43"/>
      <c r="HC207" s="43"/>
      <c r="HD207" s="43"/>
    </row>
    <row r="208" spans="1:212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FY208" s="44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>
        <v>1</v>
      </c>
      <c r="GN208" s="43">
        <v>1</v>
      </c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GZ208" s="43"/>
      <c r="HA208" s="43"/>
      <c r="HB208" s="43"/>
      <c r="HC208" s="43"/>
      <c r="HD208" s="43"/>
    </row>
    <row r="209" spans="1:212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FY209" s="44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>
        <v>1</v>
      </c>
      <c r="GN209" s="43"/>
      <c r="GO209" s="43">
        <v>1</v>
      </c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GZ209" s="43"/>
      <c r="HA209" s="43"/>
      <c r="HB209" s="43"/>
      <c r="HC209" s="43"/>
      <c r="HD209" s="43"/>
    </row>
    <row r="210" spans="1:212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FY210" s="44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>
        <v>1</v>
      </c>
      <c r="GN210" s="43">
        <v>1</v>
      </c>
      <c r="GO210" s="43"/>
      <c r="GP210" s="43">
        <v>1</v>
      </c>
      <c r="GQ210" s="43"/>
      <c r="GR210" s="43"/>
      <c r="GS210" s="43"/>
      <c r="GT210" s="43"/>
      <c r="GU210" s="43"/>
      <c r="GV210" s="43"/>
      <c r="GW210" s="43"/>
      <c r="GX210" s="43"/>
      <c r="GY210" s="43"/>
      <c r="GZ210" s="43"/>
      <c r="HA210" s="43"/>
      <c r="HB210" s="43"/>
      <c r="HC210" s="43"/>
      <c r="HD210" s="43"/>
    </row>
    <row r="211" spans="1:212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FY211" s="44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>
        <v>1</v>
      </c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GZ211" s="43"/>
      <c r="HA211" s="43"/>
      <c r="HB211" s="43"/>
      <c r="HC211" s="43"/>
      <c r="HD211" s="43"/>
    </row>
    <row r="212" spans="1:212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FY212" s="44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>
        <v>1</v>
      </c>
      <c r="GN212" s="43">
        <v>1</v>
      </c>
      <c r="GO212" s="43">
        <v>1</v>
      </c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GZ212" s="43"/>
      <c r="HA212" s="43"/>
      <c r="HB212" s="43"/>
      <c r="HC212" s="43"/>
      <c r="HD212" s="43"/>
    </row>
    <row r="213" spans="1:212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FY213" s="44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>
        <v>1</v>
      </c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GZ213" s="43"/>
      <c r="HA213" s="43"/>
      <c r="HB213" s="43"/>
      <c r="HC213" s="43"/>
      <c r="HD213" s="43"/>
    </row>
    <row r="214" spans="1:212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FY214" s="44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>
        <v>1</v>
      </c>
      <c r="GN214" s="43">
        <v>1</v>
      </c>
      <c r="GO214" s="43"/>
      <c r="GP214" s="43">
        <v>1</v>
      </c>
      <c r="GQ214" s="43"/>
      <c r="GR214" s="43"/>
      <c r="GS214" s="43"/>
      <c r="GT214" s="43"/>
      <c r="GU214" s="43"/>
      <c r="GV214" s="43"/>
      <c r="GW214" s="43"/>
      <c r="GX214" s="43"/>
      <c r="GY214" s="43"/>
      <c r="GZ214" s="43"/>
      <c r="HA214" s="43"/>
      <c r="HB214" s="43"/>
      <c r="HC214" s="43"/>
      <c r="HD214" s="43"/>
    </row>
    <row r="215" spans="1:212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FY215" s="44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>
        <v>1</v>
      </c>
      <c r="GN215" s="43"/>
      <c r="GO215" s="43">
        <v>1</v>
      </c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GZ215" s="43"/>
      <c r="HA215" s="43"/>
      <c r="HB215" s="43"/>
      <c r="HC215" s="43"/>
      <c r="HD215" s="43"/>
    </row>
    <row r="216" spans="1:212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FY216" s="44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>
        <v>1</v>
      </c>
      <c r="GN216" s="43">
        <v>1</v>
      </c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</row>
    <row r="217" spans="1:212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FY217" s="44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>
        <v>1</v>
      </c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</row>
    <row r="218" spans="1:212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FY218" s="44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>
        <v>1</v>
      </c>
      <c r="GN218" s="43">
        <v>1</v>
      </c>
      <c r="GO218" s="43">
        <v>1</v>
      </c>
      <c r="GP218" s="43">
        <v>1</v>
      </c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</row>
    <row r="219" spans="1:212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FY219" s="44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>
        <v>1</v>
      </c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GZ219" s="43"/>
      <c r="HA219" s="43"/>
      <c r="HB219" s="43"/>
      <c r="HC219" s="43"/>
      <c r="HD219" s="43"/>
    </row>
    <row r="220" spans="1:212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FY220" s="44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>
        <v>1</v>
      </c>
      <c r="GN220" s="43">
        <v>1</v>
      </c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GZ220" s="43"/>
      <c r="HA220" s="43"/>
      <c r="HB220" s="43"/>
      <c r="HC220" s="43"/>
      <c r="HD220" s="43"/>
    </row>
    <row r="221" spans="1:212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FY221" s="44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>
        <v>1</v>
      </c>
      <c r="GN221" s="43"/>
      <c r="GO221" s="43">
        <v>1</v>
      </c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</row>
    <row r="222" spans="1:212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FY222" s="44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>
        <v>1</v>
      </c>
      <c r="GN222" s="43"/>
      <c r="GO222" s="43"/>
      <c r="GP222" s="43">
        <v>1</v>
      </c>
      <c r="GQ222" s="43"/>
      <c r="GR222" s="43"/>
      <c r="GS222" s="43"/>
      <c r="GT222" s="43"/>
      <c r="GU222" s="43"/>
      <c r="GV222" s="43"/>
      <c r="GW222" s="43"/>
      <c r="GX222" s="43"/>
      <c r="GY222" s="43"/>
      <c r="GZ222" s="43"/>
      <c r="HA222" s="43"/>
      <c r="HB222" s="43"/>
      <c r="HC222" s="43"/>
      <c r="HD222" s="43"/>
    </row>
    <row r="223" spans="1:212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FY223" s="44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>
        <v>1</v>
      </c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GZ223" s="43"/>
      <c r="HA223" s="43"/>
      <c r="HB223" s="43"/>
      <c r="HC223" s="43"/>
      <c r="HD223" s="43"/>
    </row>
    <row r="224" spans="1:212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FY224" s="44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>
        <v>1</v>
      </c>
      <c r="GN224" s="43"/>
      <c r="GO224" s="43">
        <v>1</v>
      </c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GZ224" s="43"/>
      <c r="HA224" s="43"/>
      <c r="HB224" s="43"/>
      <c r="HC224" s="43"/>
      <c r="HD224" s="43"/>
    </row>
    <row r="225" spans="1:212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FY225" s="44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>
        <v>1</v>
      </c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</row>
    <row r="226" spans="1:212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FY226" s="44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>
        <v>1</v>
      </c>
      <c r="GN226" s="43"/>
      <c r="GO226" s="43"/>
      <c r="GP226" s="43">
        <v>1</v>
      </c>
      <c r="GQ226" s="43"/>
      <c r="GR226" s="43"/>
      <c r="GS226" s="43"/>
      <c r="GT226" s="43"/>
      <c r="GU226" s="43"/>
      <c r="GV226" s="43"/>
      <c r="GW226" s="43"/>
      <c r="GX226" s="43"/>
      <c r="GY226" s="43"/>
      <c r="GZ226" s="43"/>
      <c r="HA226" s="43"/>
      <c r="HB226" s="43"/>
      <c r="HC226" s="43"/>
      <c r="HD226" s="43"/>
    </row>
    <row r="227" spans="1:212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FY227" s="44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>
        <v>1</v>
      </c>
      <c r="GN227" s="43"/>
      <c r="GO227" s="43">
        <v>1</v>
      </c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GZ227" s="43"/>
      <c r="HA227" s="43"/>
      <c r="HB227" s="43"/>
      <c r="HC227" s="43"/>
      <c r="HD227" s="43"/>
    </row>
    <row r="228" spans="1:212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FY228" s="44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>
        <v>1</v>
      </c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GZ228" s="43"/>
      <c r="HA228" s="43"/>
      <c r="HB228" s="43"/>
      <c r="HC228" s="43"/>
      <c r="HD228" s="43"/>
    </row>
    <row r="229" spans="1:212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FY229" s="44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>
        <v>1</v>
      </c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GZ229" s="43"/>
      <c r="HA229" s="43"/>
      <c r="HB229" s="43"/>
      <c r="HC229" s="43"/>
      <c r="HD229" s="43"/>
    </row>
    <row r="230" spans="1:212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FY230" s="44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GZ230" s="43"/>
      <c r="HA230" s="43"/>
      <c r="HB230" s="43"/>
      <c r="HC230" s="43"/>
      <c r="HD230" s="43"/>
    </row>
    <row r="231" spans="1:212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FY231" s="44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>
        <v>1</v>
      </c>
      <c r="GP231" s="43">
        <v>1</v>
      </c>
      <c r="GQ231" s="43"/>
      <c r="GR231" s="43"/>
      <c r="GS231" s="43"/>
      <c r="GT231" s="43"/>
      <c r="GU231" s="43"/>
      <c r="GV231" s="43"/>
      <c r="GW231" s="43"/>
      <c r="GX231" s="43"/>
      <c r="GY231" s="43"/>
      <c r="GZ231" s="43"/>
      <c r="HA231" s="43"/>
      <c r="HB231" s="43"/>
      <c r="HC231" s="43"/>
      <c r="HD231" s="43"/>
    </row>
    <row r="232" spans="1:212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FY232" s="44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GZ232" s="43"/>
      <c r="HA232" s="43"/>
      <c r="HB232" s="43"/>
      <c r="HC232" s="43"/>
      <c r="HD232" s="43"/>
    </row>
    <row r="233" spans="1:212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FY233" s="44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GZ233" s="43"/>
      <c r="HA233" s="43"/>
      <c r="HB233" s="43"/>
      <c r="HC233" s="43"/>
      <c r="HD233" s="43"/>
    </row>
    <row r="234" spans="1:212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FY234" s="44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GZ234" s="43"/>
      <c r="HA234" s="43"/>
      <c r="HB234" s="43"/>
      <c r="HC234" s="43"/>
      <c r="HD234" s="43"/>
    </row>
    <row r="235" spans="1:212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FY235" s="44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GZ235" s="43"/>
      <c r="HA235" s="43"/>
      <c r="HB235" s="43"/>
      <c r="HC235" s="43"/>
      <c r="HD235" s="43"/>
    </row>
    <row r="236" spans="1:212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FY236" s="44"/>
      <c r="FZ236" s="43"/>
      <c r="GA236" s="43"/>
      <c r="GB236" s="43"/>
      <c r="GC236" s="43"/>
      <c r="GD236" s="43"/>
      <c r="GE236" s="43"/>
      <c r="GF236" s="43"/>
      <c r="GG236" s="43"/>
      <c r="GH236" s="43"/>
      <c r="GI236" s="43"/>
      <c r="GJ236" s="43"/>
      <c r="GK236" s="43"/>
      <c r="GL236" s="43"/>
      <c r="GM236" s="43"/>
      <c r="GN236" s="43"/>
      <c r="GO236" s="43"/>
      <c r="GP236" s="43"/>
      <c r="GQ236" s="43"/>
      <c r="GR236" s="43"/>
      <c r="GS236" s="43"/>
      <c r="GT236" s="43"/>
      <c r="GU236" s="43"/>
      <c r="GV236" s="43"/>
      <c r="GW236" s="43"/>
      <c r="GX236" s="43"/>
      <c r="GY236" s="43"/>
      <c r="GZ236" s="43"/>
      <c r="HA236" s="43"/>
      <c r="HB236" s="43"/>
      <c r="HC236" s="43"/>
      <c r="HD236" s="43"/>
    </row>
    <row r="237" spans="1:212" x14ac:dyDescent="0.2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FY237" s="44"/>
      <c r="FZ237" s="43"/>
      <c r="GA237" s="43"/>
      <c r="GB237" s="43"/>
      <c r="GC237" s="43"/>
      <c r="GD237" s="43"/>
      <c r="GE237" s="43"/>
      <c r="GF237" s="43"/>
      <c r="GG237" s="43"/>
      <c r="GH237" s="43"/>
      <c r="GI237" s="43"/>
      <c r="GJ237" s="43"/>
      <c r="GK237" s="43"/>
      <c r="GL237" s="43"/>
      <c r="GM237" s="43"/>
      <c r="GN237" s="43"/>
      <c r="GO237" s="43"/>
      <c r="GP237" s="43"/>
      <c r="GQ237" s="43"/>
      <c r="GR237" s="43"/>
      <c r="GS237" s="43"/>
      <c r="GT237" s="43"/>
      <c r="GU237" s="43"/>
      <c r="GV237" s="43"/>
      <c r="GW237" s="43"/>
      <c r="GX237" s="43"/>
      <c r="GY237" s="43"/>
      <c r="GZ237" s="43"/>
      <c r="HA237" s="43"/>
      <c r="HB237" s="43"/>
      <c r="HC237" s="43"/>
      <c r="HD237" s="43"/>
    </row>
    <row r="238" spans="1:212" x14ac:dyDescent="0.2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FY238" s="44"/>
      <c r="FZ238" s="43"/>
      <c r="GA238" s="43"/>
      <c r="GB238" s="43"/>
      <c r="GC238" s="43"/>
      <c r="GD238" s="43"/>
      <c r="GE238" s="43"/>
      <c r="GF238" s="43"/>
      <c r="GG238" s="43"/>
      <c r="GH238" s="43"/>
      <c r="GI238" s="43"/>
      <c r="GJ238" s="43"/>
      <c r="GK238" s="43"/>
      <c r="GL238" s="43"/>
      <c r="GM238" s="43"/>
      <c r="GN238" s="43"/>
      <c r="GO238" s="43"/>
      <c r="GP238" s="43"/>
      <c r="GQ238" s="43"/>
      <c r="GR238" s="43"/>
      <c r="GS238" s="43"/>
      <c r="GT238" s="43"/>
      <c r="GU238" s="43"/>
      <c r="GV238" s="43"/>
      <c r="GW238" s="43"/>
      <c r="GX238" s="43"/>
      <c r="GY238" s="43"/>
      <c r="GZ238" s="43"/>
      <c r="HA238" s="43"/>
      <c r="HB238" s="43"/>
      <c r="HC238" s="43"/>
      <c r="HD238" s="43"/>
    </row>
    <row r="239" spans="1:212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FY239" s="44"/>
      <c r="FZ239" s="43"/>
      <c r="GA239" s="43"/>
      <c r="GB239" s="43"/>
      <c r="GC239" s="43"/>
      <c r="GD239" s="43"/>
      <c r="GE239" s="43"/>
      <c r="GF239" s="43"/>
      <c r="GG239" s="43"/>
      <c r="GH239" s="43"/>
      <c r="GI239" s="43"/>
      <c r="GJ239" s="43"/>
      <c r="GK239" s="43"/>
      <c r="GL239" s="43"/>
      <c r="GM239" s="43"/>
      <c r="GN239" s="43"/>
      <c r="GO239" s="43"/>
      <c r="GP239" s="43"/>
      <c r="GQ239" s="43"/>
      <c r="GR239" s="43"/>
      <c r="GS239" s="43"/>
      <c r="GT239" s="43"/>
      <c r="GU239" s="43"/>
      <c r="GV239" s="43"/>
      <c r="GW239" s="43"/>
      <c r="GX239" s="43"/>
      <c r="GY239" s="43"/>
      <c r="GZ239" s="43"/>
      <c r="HA239" s="43"/>
      <c r="HB239" s="43"/>
      <c r="HC239" s="43"/>
      <c r="HD239" s="43"/>
    </row>
    <row r="240" spans="1:212" x14ac:dyDescent="0.2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FY240" s="44"/>
      <c r="FZ240" s="43"/>
      <c r="GA240" s="43"/>
      <c r="GB240" s="43"/>
      <c r="GC240" s="43"/>
      <c r="GD240" s="43"/>
      <c r="GE240" s="43"/>
      <c r="GF240" s="43"/>
      <c r="GG240" s="43"/>
      <c r="GH240" s="43"/>
      <c r="GI240" s="43"/>
      <c r="GJ240" s="43"/>
      <c r="GK240" s="43"/>
      <c r="GL240" s="43"/>
      <c r="GM240" s="43"/>
      <c r="GN240" s="43"/>
      <c r="GO240" s="43"/>
      <c r="GP240" s="43"/>
      <c r="GQ240" s="43"/>
      <c r="GR240" s="43"/>
      <c r="GS240" s="43"/>
      <c r="GT240" s="43"/>
      <c r="GU240" s="43"/>
      <c r="GV240" s="43"/>
      <c r="GW240" s="43"/>
      <c r="GX240" s="43"/>
      <c r="GY240" s="43"/>
      <c r="GZ240" s="43"/>
      <c r="HA240" s="43"/>
      <c r="HB240" s="43"/>
      <c r="HC240" s="43"/>
      <c r="HD240" s="43"/>
    </row>
    <row r="241" spans="1:212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FY241" s="44"/>
      <c r="FZ241" s="43"/>
      <c r="GA241" s="43"/>
      <c r="GB241" s="43"/>
      <c r="GC241" s="43"/>
      <c r="GD241" s="43"/>
      <c r="GE241" s="43"/>
      <c r="GF241" s="43"/>
      <c r="GG241" s="43"/>
      <c r="GH241" s="43"/>
      <c r="GI241" s="43"/>
      <c r="GJ241" s="43"/>
      <c r="GK241" s="43"/>
      <c r="GL241" s="43"/>
      <c r="GM241" s="43"/>
      <c r="GN241" s="43"/>
      <c r="GO241" s="43"/>
      <c r="GP241" s="43"/>
      <c r="GQ241" s="43"/>
      <c r="GR241" s="43"/>
      <c r="GS241" s="43"/>
      <c r="GT241" s="43"/>
      <c r="GU241" s="43"/>
      <c r="GV241" s="43"/>
      <c r="GW241" s="43"/>
      <c r="GX241" s="43"/>
      <c r="GY241" s="43"/>
      <c r="GZ241" s="43"/>
      <c r="HA241" s="43"/>
      <c r="HB241" s="43"/>
      <c r="HC241" s="43"/>
      <c r="HD241" s="43"/>
    </row>
    <row r="242" spans="1:212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FY242" s="44"/>
      <c r="FZ242" s="43"/>
      <c r="GA242" s="43"/>
      <c r="GB242" s="43"/>
      <c r="GC242" s="43"/>
      <c r="GD242" s="43"/>
      <c r="GE242" s="43"/>
      <c r="GF242" s="43"/>
      <c r="GG242" s="43"/>
      <c r="GH242" s="43"/>
      <c r="GI242" s="43"/>
      <c r="GJ242" s="43"/>
      <c r="GK242" s="43"/>
      <c r="GL242" s="43"/>
      <c r="GM242" s="43"/>
      <c r="GN242" s="43"/>
      <c r="GO242" s="43"/>
      <c r="GP242" s="43"/>
      <c r="GQ242" s="43"/>
      <c r="GR242" s="43"/>
      <c r="GS242" s="43"/>
      <c r="GT242" s="43"/>
      <c r="GU242" s="43"/>
      <c r="GV242" s="43"/>
      <c r="GW242" s="43"/>
      <c r="GX242" s="43"/>
      <c r="GY242" s="43"/>
      <c r="GZ242" s="43"/>
      <c r="HA242" s="43"/>
      <c r="HB242" s="43"/>
      <c r="HC242" s="43"/>
      <c r="HD242" s="43"/>
    </row>
    <row r="243" spans="1:212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FY243" s="44"/>
      <c r="FZ243" s="43"/>
      <c r="GA243" s="43"/>
      <c r="GB243" s="43"/>
      <c r="GC243" s="43"/>
      <c r="GD243" s="43"/>
      <c r="GE243" s="43"/>
      <c r="GF243" s="43"/>
      <c r="GG243" s="43"/>
      <c r="GH243" s="43"/>
      <c r="GI243" s="43"/>
      <c r="GJ243" s="43"/>
      <c r="GK243" s="43"/>
      <c r="GL243" s="43"/>
      <c r="GM243" s="43"/>
      <c r="GN243" s="43"/>
      <c r="GO243" s="43"/>
      <c r="GP243" s="43"/>
      <c r="GQ243" s="43"/>
      <c r="GR243" s="43"/>
      <c r="GS243" s="43"/>
      <c r="GT243" s="43"/>
      <c r="GU243" s="43"/>
      <c r="GV243" s="43"/>
      <c r="GW243" s="43"/>
      <c r="GX243" s="43"/>
      <c r="GY243" s="43"/>
      <c r="GZ243" s="43"/>
      <c r="HA243" s="43"/>
      <c r="HB243" s="43"/>
      <c r="HC243" s="43"/>
      <c r="HD243" s="43"/>
    </row>
    <row r="244" spans="1:212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FY244" s="44"/>
      <c r="FZ244" s="43"/>
      <c r="GA244" s="43"/>
      <c r="GB244" s="43"/>
      <c r="GC244" s="43"/>
      <c r="GD244" s="43"/>
      <c r="GE244" s="43"/>
      <c r="GF244" s="43"/>
      <c r="GG244" s="43"/>
      <c r="GH244" s="43"/>
      <c r="GI244" s="43"/>
      <c r="GJ244" s="43"/>
      <c r="GK244" s="43"/>
      <c r="GL244" s="43"/>
      <c r="GM244" s="43"/>
      <c r="GN244" s="43"/>
      <c r="GO244" s="43"/>
      <c r="GP244" s="43"/>
      <c r="GQ244" s="43"/>
      <c r="GR244" s="43"/>
      <c r="GS244" s="43"/>
      <c r="GT244" s="43"/>
      <c r="GU244" s="43"/>
      <c r="GV244" s="43"/>
      <c r="GW244" s="43"/>
      <c r="GX244" s="43"/>
      <c r="GY244" s="43"/>
      <c r="GZ244" s="43"/>
      <c r="HA244" s="43"/>
      <c r="HB244" s="43"/>
      <c r="HC244" s="43"/>
      <c r="HD244" s="43"/>
    </row>
    <row r="245" spans="1:212" x14ac:dyDescent="0.2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FY245" s="44"/>
      <c r="FZ245" s="43"/>
      <c r="GA245" s="43"/>
      <c r="GB245" s="43"/>
      <c r="GC245" s="43"/>
      <c r="GD245" s="43"/>
      <c r="GE245" s="43"/>
      <c r="GF245" s="43"/>
      <c r="GG245" s="43"/>
      <c r="GH245" s="43"/>
      <c r="GI245" s="43"/>
      <c r="GJ245" s="43"/>
      <c r="GK245" s="43"/>
      <c r="GL245" s="43"/>
      <c r="GM245" s="43"/>
      <c r="GN245" s="43"/>
      <c r="GO245" s="43"/>
      <c r="GP245" s="43"/>
      <c r="GQ245" s="43"/>
      <c r="GR245" s="43"/>
      <c r="GS245" s="43"/>
      <c r="GT245" s="43"/>
      <c r="GU245" s="43"/>
      <c r="GV245" s="43"/>
      <c r="GW245" s="43"/>
      <c r="GX245" s="43"/>
      <c r="GY245" s="43"/>
      <c r="GZ245" s="43"/>
      <c r="HA245" s="43"/>
      <c r="HB245" s="43"/>
      <c r="HC245" s="43"/>
      <c r="HD245" s="43"/>
    </row>
    <row r="246" spans="1:212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FY246" s="44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</row>
    <row r="247" spans="1:212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FY247" s="44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</row>
    <row r="248" spans="1:212" x14ac:dyDescent="0.2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FY248" s="44"/>
      <c r="FZ248" s="43"/>
      <c r="GA248" s="43"/>
      <c r="GB248" s="43"/>
      <c r="GC248" s="43"/>
      <c r="GD248" s="43"/>
      <c r="GE248" s="43"/>
      <c r="GF248" s="43"/>
      <c r="GG248" s="43"/>
      <c r="GH248" s="43"/>
      <c r="GI248" s="43"/>
      <c r="GJ248" s="43"/>
      <c r="GK248" s="43"/>
      <c r="GL248" s="43"/>
      <c r="GM248" s="43"/>
      <c r="GN248" s="43"/>
      <c r="GO248" s="43"/>
      <c r="GP248" s="43"/>
      <c r="GQ248" s="43"/>
      <c r="GR248" s="43"/>
      <c r="GS248" s="43"/>
      <c r="GT248" s="43"/>
      <c r="GU248" s="43"/>
      <c r="GV248" s="43"/>
      <c r="GW248" s="43"/>
      <c r="GX248" s="43"/>
      <c r="GY248" s="43"/>
      <c r="GZ248" s="43"/>
      <c r="HA248" s="43"/>
      <c r="HB248" s="43"/>
      <c r="HC248" s="43"/>
      <c r="HD248" s="43"/>
    </row>
    <row r="249" spans="1:212" x14ac:dyDescent="0.2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FY249" s="44"/>
      <c r="FZ249" s="43"/>
      <c r="GA249" s="43"/>
      <c r="GB249" s="43"/>
      <c r="GC249" s="43"/>
      <c r="GD249" s="43"/>
      <c r="GE249" s="43"/>
      <c r="GF249" s="43"/>
      <c r="GG249" s="43"/>
      <c r="GH249" s="43"/>
      <c r="GI249" s="43"/>
      <c r="GJ249" s="43"/>
      <c r="GK249" s="43"/>
      <c r="GL249" s="43"/>
      <c r="GM249" s="43"/>
      <c r="GN249" s="43"/>
      <c r="GO249" s="43"/>
      <c r="GP249" s="43"/>
      <c r="GQ249" s="43"/>
      <c r="GR249" s="43"/>
      <c r="GS249" s="43"/>
      <c r="GT249" s="43"/>
      <c r="GU249" s="43"/>
      <c r="GV249" s="43"/>
      <c r="GW249" s="43"/>
      <c r="GX249" s="43"/>
      <c r="GY249" s="43"/>
      <c r="GZ249" s="43"/>
      <c r="HA249" s="43"/>
      <c r="HB249" s="43"/>
      <c r="HC249" s="43"/>
      <c r="HD249" s="43"/>
    </row>
    <row r="250" spans="1:212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FY250" s="44"/>
      <c r="FZ250" s="43"/>
      <c r="GA250" s="43"/>
      <c r="GB250" s="43"/>
      <c r="GC250" s="43"/>
      <c r="GD250" s="43"/>
      <c r="GE250" s="43"/>
      <c r="GF250" s="43"/>
      <c r="GG250" s="43"/>
      <c r="GH250" s="43"/>
      <c r="GI250" s="43"/>
      <c r="GJ250" s="43"/>
      <c r="GK250" s="43"/>
      <c r="GL250" s="43"/>
      <c r="GM250" s="43"/>
      <c r="GN250" s="43"/>
      <c r="GO250" s="43"/>
      <c r="GP250" s="43"/>
      <c r="GQ250" s="43"/>
      <c r="GR250" s="43"/>
      <c r="GS250" s="43"/>
      <c r="GT250" s="43"/>
      <c r="GU250" s="43"/>
      <c r="GV250" s="43"/>
      <c r="GW250" s="43"/>
      <c r="GX250" s="43"/>
      <c r="GY250" s="43"/>
      <c r="GZ250" s="43"/>
      <c r="HA250" s="43"/>
      <c r="HB250" s="43"/>
      <c r="HC250" s="43"/>
      <c r="HD250" s="43"/>
    </row>
    <row r="251" spans="1:212" x14ac:dyDescent="0.2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FY251" s="44"/>
      <c r="FZ251" s="43"/>
      <c r="GA251" s="43"/>
      <c r="GB251" s="43"/>
      <c r="GC251" s="43"/>
      <c r="GD251" s="43"/>
      <c r="GE251" s="43"/>
      <c r="GF251" s="43"/>
      <c r="GG251" s="43"/>
      <c r="GH251" s="43"/>
      <c r="GI251" s="43"/>
      <c r="GJ251" s="43"/>
      <c r="GK251" s="43"/>
      <c r="GL251" s="43"/>
      <c r="GM251" s="43"/>
      <c r="GN251" s="43"/>
      <c r="GO251" s="43"/>
      <c r="GP251" s="43"/>
      <c r="GQ251" s="43"/>
      <c r="GR251" s="43"/>
      <c r="GS251" s="43"/>
      <c r="GT251" s="43"/>
      <c r="GU251" s="43"/>
      <c r="GV251" s="43"/>
      <c r="GW251" s="43"/>
      <c r="GX251" s="43"/>
      <c r="GY251" s="43"/>
      <c r="GZ251" s="43"/>
      <c r="HA251" s="43"/>
      <c r="HB251" s="43"/>
      <c r="HC251" s="43"/>
      <c r="HD251" s="43"/>
    </row>
    <row r="252" spans="1:212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FY252" s="44"/>
      <c r="FZ252" s="43"/>
      <c r="GA252" s="43"/>
      <c r="GB252" s="43"/>
      <c r="GC252" s="43"/>
      <c r="GD252" s="43"/>
      <c r="GE252" s="43"/>
      <c r="GF252" s="43"/>
      <c r="GG252" s="43"/>
      <c r="GH252" s="43"/>
      <c r="GI252" s="43"/>
      <c r="GJ252" s="43"/>
      <c r="GK252" s="43"/>
      <c r="GL252" s="43"/>
      <c r="GM252" s="43"/>
      <c r="GN252" s="43"/>
      <c r="GO252" s="43"/>
      <c r="GP252" s="43"/>
      <c r="GQ252" s="43"/>
      <c r="GR252" s="43"/>
      <c r="GS252" s="43"/>
      <c r="GT252" s="43"/>
      <c r="GU252" s="43"/>
      <c r="GV252" s="43"/>
      <c r="GW252" s="43"/>
      <c r="GX252" s="43"/>
      <c r="GY252" s="43"/>
      <c r="GZ252" s="43"/>
      <c r="HA252" s="43"/>
      <c r="HB252" s="43"/>
      <c r="HC252" s="43"/>
      <c r="HD252" s="43"/>
    </row>
    <row r="253" spans="1:212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FY253" s="44"/>
      <c r="FZ253" s="43"/>
      <c r="GA253" s="43"/>
      <c r="GB253" s="43"/>
      <c r="GC253" s="43"/>
      <c r="GD253" s="43"/>
      <c r="GE253" s="43"/>
      <c r="GF253" s="43"/>
      <c r="GG253" s="43"/>
      <c r="GH253" s="43"/>
      <c r="GI253" s="43"/>
      <c r="GJ253" s="43"/>
      <c r="GK253" s="43"/>
      <c r="GL253" s="43"/>
      <c r="GM253" s="43"/>
      <c r="GN253" s="43"/>
      <c r="GO253" s="43"/>
      <c r="GP253" s="43"/>
      <c r="GQ253" s="43"/>
      <c r="GR253" s="43"/>
      <c r="GS253" s="43"/>
      <c r="GT253" s="43"/>
      <c r="GU253" s="43"/>
      <c r="GV253" s="43"/>
      <c r="GW253" s="43"/>
      <c r="GX253" s="43"/>
      <c r="GY253" s="43"/>
      <c r="GZ253" s="43"/>
      <c r="HA253" s="43"/>
      <c r="HB253" s="43"/>
      <c r="HC253" s="43"/>
      <c r="HD253" s="43"/>
    </row>
    <row r="254" spans="1:212" x14ac:dyDescent="0.2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FY254" s="44"/>
      <c r="FZ254" s="43"/>
      <c r="GA254" s="43"/>
      <c r="GB254" s="43"/>
      <c r="GC254" s="43"/>
      <c r="GD254" s="43"/>
      <c r="GE254" s="43"/>
      <c r="GF254" s="43"/>
      <c r="GG254" s="43"/>
      <c r="GH254" s="43"/>
      <c r="GI254" s="43"/>
      <c r="GJ254" s="43"/>
      <c r="GK254" s="43"/>
      <c r="GL254" s="43"/>
      <c r="GM254" s="43"/>
      <c r="GN254" s="43"/>
      <c r="GO254" s="43"/>
      <c r="GP254" s="43"/>
      <c r="GQ254" s="43"/>
      <c r="GR254" s="43"/>
      <c r="GS254" s="43"/>
      <c r="GT254" s="43"/>
      <c r="GU254" s="43"/>
      <c r="GV254" s="43"/>
      <c r="GW254" s="43"/>
      <c r="GX254" s="43"/>
      <c r="GY254" s="43"/>
      <c r="GZ254" s="43"/>
      <c r="HA254" s="43"/>
      <c r="HB254" s="43"/>
      <c r="HC254" s="43"/>
      <c r="HD254" s="43"/>
    </row>
    <row r="255" spans="1:212" x14ac:dyDescent="0.2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FY255" s="44"/>
      <c r="FZ255" s="43"/>
      <c r="GA255" s="43"/>
      <c r="GB255" s="43"/>
      <c r="GC255" s="43"/>
      <c r="GD255" s="43"/>
      <c r="GE255" s="43"/>
      <c r="GF255" s="43"/>
      <c r="GG255" s="43"/>
      <c r="GH255" s="43"/>
      <c r="GI255" s="43"/>
      <c r="GJ255" s="43"/>
      <c r="GK255" s="43"/>
      <c r="GL255" s="43"/>
      <c r="GM255" s="43"/>
      <c r="GN255" s="43"/>
      <c r="GO255" s="43"/>
      <c r="GP255" s="43"/>
      <c r="GQ255" s="43"/>
      <c r="GR255" s="43"/>
      <c r="GS255" s="43"/>
      <c r="GT255" s="43"/>
      <c r="GU255" s="43"/>
      <c r="GV255" s="43"/>
      <c r="GW255" s="43"/>
      <c r="GX255" s="43"/>
      <c r="GY255" s="43"/>
      <c r="GZ255" s="43"/>
      <c r="HA255" s="43"/>
      <c r="HB255" s="43"/>
      <c r="HC255" s="43"/>
      <c r="HD255" s="43"/>
    </row>
    <row r="256" spans="1:212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FY256" s="44"/>
      <c r="FZ256" s="43"/>
      <c r="GA256" s="43"/>
      <c r="GB256" s="43"/>
      <c r="GC256" s="43"/>
      <c r="GD256" s="43"/>
      <c r="GE256" s="43"/>
      <c r="GF256" s="43"/>
      <c r="GG256" s="43"/>
      <c r="GH256" s="43"/>
      <c r="GI256" s="43"/>
      <c r="GJ256" s="43"/>
      <c r="GK256" s="43"/>
      <c r="GL256" s="43"/>
      <c r="GM256" s="43"/>
      <c r="GN256" s="43"/>
      <c r="GO256" s="43"/>
      <c r="GP256" s="43"/>
      <c r="GQ256" s="43"/>
      <c r="GR256" s="43"/>
      <c r="GS256" s="43"/>
      <c r="GT256" s="43"/>
      <c r="GU256" s="43"/>
      <c r="GV256" s="43"/>
      <c r="GW256" s="43"/>
      <c r="GX256" s="43"/>
      <c r="GY256" s="43"/>
      <c r="GZ256" s="43"/>
      <c r="HA256" s="43"/>
      <c r="HB256" s="43"/>
      <c r="HC256" s="43"/>
      <c r="HD256" s="43"/>
    </row>
    <row r="257" spans="1:212" x14ac:dyDescent="0.2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FY257" s="44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GZ257" s="43"/>
      <c r="HA257" s="43"/>
      <c r="HB257" s="43"/>
      <c r="HC257" s="43"/>
      <c r="HD257" s="43"/>
    </row>
    <row r="258" spans="1:212" x14ac:dyDescent="0.2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FY258" s="44"/>
      <c r="FZ258" s="43"/>
      <c r="GA258" s="43"/>
      <c r="GB258" s="43"/>
      <c r="GC258" s="43"/>
      <c r="GD258" s="43"/>
      <c r="GE258" s="43"/>
      <c r="GF258" s="43"/>
      <c r="GG258" s="43"/>
      <c r="GH258" s="43"/>
      <c r="GI258" s="43"/>
      <c r="GJ258" s="43"/>
      <c r="GK258" s="43"/>
      <c r="GL258" s="43"/>
      <c r="GM258" s="43"/>
      <c r="GN258" s="43"/>
      <c r="GO258" s="43"/>
      <c r="GP258" s="43"/>
      <c r="GQ258" s="43"/>
      <c r="GR258" s="43"/>
      <c r="GS258" s="43"/>
      <c r="GT258" s="43"/>
      <c r="GU258" s="43"/>
      <c r="GV258" s="43"/>
      <c r="GW258" s="43"/>
      <c r="GX258" s="43"/>
      <c r="GY258" s="43"/>
      <c r="GZ258" s="43"/>
      <c r="HA258" s="43"/>
      <c r="HB258" s="43"/>
      <c r="HC258" s="43"/>
      <c r="HD258" s="43"/>
    </row>
    <row r="259" spans="1:212" x14ac:dyDescent="0.2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FY259" s="44"/>
      <c r="FZ259" s="43"/>
      <c r="GA259" s="43"/>
      <c r="GB259" s="43"/>
      <c r="GC259" s="43"/>
      <c r="GD259" s="43"/>
      <c r="GE259" s="43"/>
      <c r="GF259" s="43"/>
      <c r="GG259" s="43"/>
      <c r="GH259" s="43"/>
      <c r="GI259" s="43"/>
      <c r="GJ259" s="43"/>
      <c r="GK259" s="43"/>
      <c r="GL259" s="43"/>
      <c r="GM259" s="43"/>
      <c r="GN259" s="43"/>
      <c r="GO259" s="43"/>
      <c r="GP259" s="43"/>
      <c r="GQ259" s="43"/>
      <c r="GR259" s="43"/>
      <c r="GS259" s="43"/>
      <c r="GT259" s="43"/>
      <c r="GU259" s="43"/>
      <c r="GV259" s="43"/>
      <c r="GW259" s="43"/>
      <c r="GX259" s="43"/>
      <c r="GY259" s="43"/>
      <c r="GZ259" s="43"/>
      <c r="HA259" s="43"/>
      <c r="HB259" s="43"/>
      <c r="HC259" s="43"/>
      <c r="HD259" s="43"/>
    </row>
    <row r="260" spans="1:212" x14ac:dyDescent="0.2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FY260" s="44"/>
      <c r="FZ260" s="43"/>
      <c r="GA260" s="43"/>
      <c r="GB260" s="43"/>
      <c r="GC260" s="43"/>
      <c r="GD260" s="43"/>
      <c r="GE260" s="43"/>
      <c r="GF260" s="43"/>
      <c r="GG260" s="43"/>
      <c r="GH260" s="43"/>
      <c r="GI260" s="43"/>
      <c r="GJ260" s="43"/>
      <c r="GK260" s="43"/>
      <c r="GL260" s="43"/>
      <c r="GM260" s="43"/>
      <c r="GN260" s="43"/>
      <c r="GO260" s="43"/>
      <c r="GP260" s="43"/>
      <c r="GQ260" s="43"/>
      <c r="GR260" s="43"/>
      <c r="GS260" s="43"/>
      <c r="GT260" s="43"/>
      <c r="GU260" s="43"/>
      <c r="GV260" s="43"/>
      <c r="GW260" s="43"/>
      <c r="GX260" s="43"/>
      <c r="GY260" s="43"/>
      <c r="GZ260" s="43"/>
      <c r="HA260" s="43"/>
      <c r="HB260" s="43"/>
      <c r="HC260" s="43"/>
      <c r="HD260" s="43"/>
    </row>
    <row r="261" spans="1:212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FY261" s="44"/>
      <c r="FZ261" s="43"/>
      <c r="GA261" s="43"/>
      <c r="GB261" s="43"/>
      <c r="GC261" s="43"/>
      <c r="GD261" s="43"/>
      <c r="GE261" s="43"/>
      <c r="GF261" s="43"/>
      <c r="GG261" s="43"/>
      <c r="GH261" s="43"/>
      <c r="GI261" s="43"/>
      <c r="GJ261" s="43"/>
      <c r="GK261" s="43"/>
      <c r="GL261" s="43"/>
      <c r="GM261" s="43"/>
      <c r="GN261" s="43"/>
      <c r="GO261" s="43"/>
      <c r="GP261" s="43"/>
      <c r="GQ261" s="43"/>
      <c r="GR261" s="43"/>
      <c r="GS261" s="43"/>
      <c r="GT261" s="43"/>
      <c r="GU261" s="43"/>
      <c r="GV261" s="43"/>
      <c r="GW261" s="43"/>
      <c r="GX261" s="43"/>
      <c r="GY261" s="43"/>
      <c r="GZ261" s="43"/>
      <c r="HA261" s="43"/>
      <c r="HB261" s="43"/>
      <c r="HC261" s="43"/>
      <c r="HD261" s="43"/>
    </row>
    <row r="262" spans="1:212" x14ac:dyDescent="0.2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FY262" s="44"/>
      <c r="FZ262" s="43"/>
      <c r="GA262" s="43"/>
      <c r="GB262" s="43"/>
      <c r="GC262" s="43"/>
      <c r="GD262" s="43"/>
      <c r="GE262" s="43"/>
      <c r="GF262" s="43"/>
      <c r="GG262" s="43"/>
      <c r="GH262" s="43"/>
      <c r="GI262" s="43"/>
      <c r="GJ262" s="43"/>
      <c r="GK262" s="43"/>
      <c r="GL262" s="43"/>
      <c r="GM262" s="43"/>
      <c r="GN262" s="43"/>
      <c r="GO262" s="43"/>
      <c r="GP262" s="43"/>
      <c r="GQ262" s="43"/>
      <c r="GR262" s="43"/>
      <c r="GS262" s="43"/>
      <c r="GT262" s="43"/>
      <c r="GU262" s="43"/>
      <c r="GV262" s="43"/>
      <c r="GW262" s="43"/>
      <c r="GX262" s="43"/>
      <c r="GY262" s="43"/>
      <c r="GZ262" s="43"/>
      <c r="HA262" s="43"/>
      <c r="HB262" s="43"/>
      <c r="HC262" s="43"/>
      <c r="HD262" s="43"/>
    </row>
    <row r="263" spans="1:212" x14ac:dyDescent="0.2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FY263" s="44"/>
      <c r="FZ263" s="43"/>
      <c r="GA263" s="43"/>
      <c r="GB263" s="43"/>
      <c r="GC263" s="43"/>
      <c r="GD263" s="43"/>
      <c r="GE263" s="43"/>
      <c r="GF263" s="43"/>
      <c r="GG263" s="43"/>
      <c r="GH263" s="43"/>
      <c r="GI263" s="43"/>
      <c r="GJ263" s="43"/>
      <c r="GK263" s="43"/>
      <c r="GL263" s="43"/>
      <c r="GM263" s="43"/>
      <c r="GN263" s="43"/>
      <c r="GO263" s="43"/>
      <c r="GP263" s="43"/>
      <c r="GQ263" s="43"/>
      <c r="GR263" s="43"/>
      <c r="GS263" s="43"/>
      <c r="GT263" s="43"/>
      <c r="GU263" s="43"/>
      <c r="GV263" s="43"/>
      <c r="GW263" s="43"/>
      <c r="GX263" s="43"/>
      <c r="GY263" s="43"/>
      <c r="GZ263" s="43"/>
      <c r="HA263" s="43"/>
      <c r="HB263" s="43"/>
      <c r="HC263" s="43"/>
      <c r="HD263" s="43"/>
    </row>
    <row r="264" spans="1:212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FY264" s="44"/>
      <c r="FZ264" s="43"/>
      <c r="GA264" s="43"/>
      <c r="GB264" s="43"/>
      <c r="GC264" s="43"/>
      <c r="GD264" s="43"/>
      <c r="GE264" s="43"/>
      <c r="GF264" s="43"/>
      <c r="GG264" s="43"/>
      <c r="GH264" s="43"/>
      <c r="GI264" s="43"/>
      <c r="GJ264" s="43"/>
      <c r="GK264" s="43"/>
      <c r="GL264" s="43"/>
      <c r="GM264" s="43"/>
      <c r="GN264" s="43"/>
      <c r="GO264" s="43"/>
      <c r="GP264" s="43"/>
      <c r="GQ264" s="43"/>
      <c r="GR264" s="43"/>
      <c r="GS264" s="43"/>
      <c r="GT264" s="43"/>
      <c r="GU264" s="43"/>
      <c r="GV264" s="43"/>
      <c r="GW264" s="43"/>
      <c r="GX264" s="43"/>
      <c r="GY264" s="43"/>
      <c r="GZ264" s="43"/>
      <c r="HA264" s="43"/>
      <c r="HB264" s="43"/>
      <c r="HC264" s="43"/>
      <c r="HD264" s="43"/>
    </row>
    <row r="265" spans="1:212" x14ac:dyDescent="0.2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FY265" s="44"/>
      <c r="FZ265" s="43"/>
      <c r="GA265" s="43"/>
      <c r="GB265" s="43"/>
      <c r="GC265" s="43"/>
      <c r="GD265" s="43"/>
      <c r="GE265" s="43"/>
      <c r="GF265" s="43"/>
      <c r="GG265" s="43"/>
      <c r="GH265" s="43"/>
      <c r="GI265" s="43"/>
      <c r="GJ265" s="43"/>
      <c r="GK265" s="43"/>
      <c r="GL265" s="43"/>
      <c r="GM265" s="43"/>
      <c r="GN265" s="43"/>
      <c r="GO265" s="43"/>
      <c r="GP265" s="43"/>
      <c r="GQ265" s="43"/>
      <c r="GR265" s="43"/>
      <c r="GS265" s="43"/>
      <c r="GT265" s="43"/>
      <c r="GU265" s="43"/>
      <c r="GV265" s="43"/>
      <c r="GW265" s="43"/>
      <c r="GX265" s="43"/>
      <c r="GY265" s="43"/>
      <c r="GZ265" s="43"/>
      <c r="HA265" s="43"/>
      <c r="HB265" s="43"/>
      <c r="HC265" s="43"/>
      <c r="HD265" s="43"/>
    </row>
    <row r="266" spans="1:212" x14ac:dyDescent="0.25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FY266" s="44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GZ266" s="43"/>
      <c r="HA266" s="43"/>
      <c r="HB266" s="43"/>
      <c r="HC266" s="43"/>
      <c r="HD266" s="43"/>
    </row>
    <row r="267" spans="1:212" x14ac:dyDescent="0.2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FY267" s="44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GZ267" s="43"/>
      <c r="HA267" s="43"/>
      <c r="HB267" s="43"/>
      <c r="HC267" s="43"/>
      <c r="HD267" s="43"/>
    </row>
    <row r="268" spans="1:212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FY268" s="44"/>
      <c r="FZ268" s="43"/>
      <c r="GA268" s="43"/>
      <c r="GB268" s="43"/>
      <c r="GC268" s="43"/>
      <c r="GD268" s="43"/>
      <c r="GE268" s="43"/>
      <c r="GF268" s="43"/>
      <c r="GG268" s="43"/>
      <c r="GH268" s="43"/>
      <c r="GI268" s="43"/>
      <c r="GJ268" s="43"/>
      <c r="GK268" s="43"/>
      <c r="GL268" s="43"/>
      <c r="GM268" s="43"/>
      <c r="GN268" s="43"/>
      <c r="GO268" s="43"/>
      <c r="GP268" s="43"/>
      <c r="GQ268" s="43"/>
      <c r="GR268" s="43"/>
      <c r="GS268" s="43"/>
      <c r="GT268" s="43"/>
      <c r="GU268" s="43"/>
      <c r="GV268" s="43"/>
      <c r="GW268" s="43"/>
      <c r="GX268" s="43"/>
      <c r="GY268" s="43"/>
      <c r="GZ268" s="43"/>
      <c r="HA268" s="43"/>
      <c r="HB268" s="43"/>
      <c r="HC268" s="43"/>
      <c r="HD268" s="43"/>
    </row>
    <row r="269" spans="1:212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FY269" s="44"/>
      <c r="FZ269" s="43"/>
      <c r="GA269" s="43"/>
      <c r="GB269" s="43"/>
      <c r="GC269" s="43"/>
      <c r="GD269" s="43"/>
      <c r="GE269" s="43"/>
      <c r="GF269" s="43"/>
      <c r="GG269" s="43"/>
      <c r="GH269" s="43"/>
      <c r="GI269" s="43"/>
      <c r="GJ269" s="43"/>
      <c r="GK269" s="43"/>
      <c r="GL269" s="43"/>
      <c r="GM269" s="43"/>
      <c r="GN269" s="43"/>
      <c r="GO269" s="43"/>
      <c r="GP269" s="43"/>
      <c r="GQ269" s="43"/>
      <c r="GR269" s="43"/>
      <c r="GS269" s="43"/>
      <c r="GT269" s="43"/>
      <c r="GU269" s="43"/>
      <c r="GV269" s="43"/>
      <c r="GW269" s="43"/>
      <c r="GX269" s="43"/>
      <c r="GY269" s="43"/>
      <c r="GZ269" s="43"/>
      <c r="HA269" s="43"/>
      <c r="HB269" s="43"/>
      <c r="HC269" s="43"/>
      <c r="HD269" s="43"/>
    </row>
    <row r="270" spans="1:212" x14ac:dyDescent="0.2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FY270" s="44"/>
      <c r="FZ270" s="43"/>
      <c r="GA270" s="43"/>
      <c r="GB270" s="43"/>
      <c r="GC270" s="43"/>
      <c r="GD270" s="43"/>
      <c r="GE270" s="43"/>
      <c r="GF270" s="43"/>
      <c r="GG270" s="43"/>
      <c r="GH270" s="43"/>
      <c r="GI270" s="43"/>
      <c r="GJ270" s="43"/>
      <c r="GK270" s="43"/>
      <c r="GL270" s="43"/>
      <c r="GM270" s="43"/>
      <c r="GN270" s="43"/>
      <c r="GO270" s="43"/>
      <c r="GP270" s="43"/>
      <c r="GQ270" s="43"/>
      <c r="GR270" s="43"/>
      <c r="GS270" s="43"/>
      <c r="GT270" s="43"/>
      <c r="GU270" s="43"/>
      <c r="GV270" s="43"/>
      <c r="GW270" s="43"/>
      <c r="GX270" s="43"/>
      <c r="GY270" s="43"/>
      <c r="GZ270" s="43"/>
      <c r="HA270" s="43"/>
      <c r="HB270" s="43"/>
      <c r="HC270" s="43"/>
      <c r="HD270" s="43"/>
    </row>
    <row r="271" spans="1:212" x14ac:dyDescent="0.2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FY271" s="44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GZ271" s="43"/>
      <c r="HA271" s="43"/>
      <c r="HB271" s="43"/>
      <c r="HC271" s="43"/>
      <c r="HD271" s="43"/>
    </row>
    <row r="272" spans="1:212" x14ac:dyDescent="0.2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FY272" s="44"/>
      <c r="FZ272" s="43"/>
      <c r="GA272" s="43"/>
      <c r="GB272" s="43"/>
      <c r="GC272" s="43"/>
      <c r="GD272" s="43"/>
      <c r="GE272" s="43"/>
      <c r="GF272" s="43"/>
      <c r="GG272" s="43"/>
      <c r="GH272" s="43"/>
      <c r="GI272" s="43"/>
      <c r="GJ272" s="43"/>
      <c r="GK272" s="43"/>
      <c r="GL272" s="43"/>
      <c r="GM272" s="43"/>
      <c r="GN272" s="43"/>
      <c r="GO272" s="43"/>
      <c r="GP272" s="43"/>
      <c r="GQ272" s="43"/>
      <c r="GR272" s="43"/>
      <c r="GS272" s="43"/>
      <c r="GT272" s="43"/>
      <c r="GU272" s="43"/>
      <c r="GV272" s="43"/>
      <c r="GW272" s="43"/>
      <c r="GX272" s="43"/>
      <c r="GY272" s="43"/>
      <c r="GZ272" s="43"/>
      <c r="HA272" s="43"/>
      <c r="HB272" s="43"/>
      <c r="HC272" s="43"/>
      <c r="HD272" s="43"/>
    </row>
    <row r="273" spans="1:212" x14ac:dyDescent="0.25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FY273" s="44"/>
      <c r="FZ273" s="43"/>
      <c r="GA273" s="43"/>
      <c r="GB273" s="43"/>
      <c r="GC273" s="43"/>
      <c r="GD273" s="43"/>
      <c r="GE273" s="43"/>
      <c r="GF273" s="43"/>
      <c r="GG273" s="43"/>
      <c r="GH273" s="43"/>
      <c r="GI273" s="43"/>
      <c r="GJ273" s="43"/>
      <c r="GK273" s="43"/>
      <c r="GL273" s="43"/>
      <c r="GM273" s="43"/>
      <c r="GN273" s="43"/>
      <c r="GO273" s="43"/>
      <c r="GP273" s="43"/>
      <c r="GQ273" s="43"/>
      <c r="GR273" s="43"/>
      <c r="GS273" s="43"/>
      <c r="GT273" s="43"/>
      <c r="GU273" s="43"/>
      <c r="GV273" s="43"/>
      <c r="GW273" s="43"/>
      <c r="GX273" s="43"/>
      <c r="GY273" s="43"/>
      <c r="GZ273" s="43"/>
      <c r="HA273" s="43"/>
      <c r="HB273" s="43"/>
      <c r="HC273" s="43"/>
      <c r="HD273" s="43"/>
    </row>
    <row r="274" spans="1:212" x14ac:dyDescent="0.2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FY274" s="44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GZ274" s="43"/>
      <c r="HA274" s="43"/>
      <c r="HB274" s="43"/>
      <c r="HC274" s="43"/>
      <c r="HD274" s="43"/>
    </row>
    <row r="275" spans="1:212" x14ac:dyDescent="0.2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FY275" s="44"/>
      <c r="FZ275" s="43"/>
      <c r="GA275" s="43"/>
      <c r="GB275" s="43"/>
      <c r="GC275" s="43"/>
      <c r="GD275" s="43"/>
      <c r="GE275" s="43"/>
      <c r="GF275" s="43"/>
      <c r="GG275" s="43"/>
      <c r="GH275" s="43"/>
      <c r="GI275" s="43"/>
      <c r="GJ275" s="43"/>
      <c r="GK275" s="43"/>
      <c r="GL275" s="43"/>
      <c r="GM275" s="43"/>
      <c r="GN275" s="43"/>
      <c r="GO275" s="43"/>
      <c r="GP275" s="43"/>
      <c r="GQ275" s="43"/>
      <c r="GR275" s="43"/>
      <c r="GS275" s="43"/>
      <c r="GT275" s="43"/>
      <c r="GU275" s="43"/>
      <c r="GV275" s="43"/>
      <c r="GW275" s="43"/>
      <c r="GX275" s="43"/>
      <c r="GY275" s="43"/>
      <c r="GZ275" s="43"/>
      <c r="HA275" s="43"/>
      <c r="HB275" s="43"/>
      <c r="HC275" s="43"/>
      <c r="HD275" s="43"/>
    </row>
    <row r="276" spans="1:212" x14ac:dyDescent="0.25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FY276" s="44"/>
      <c r="FZ276" s="43"/>
      <c r="GA276" s="43"/>
      <c r="GB276" s="43"/>
      <c r="GC276" s="43"/>
      <c r="GD276" s="43"/>
      <c r="GE276" s="43"/>
      <c r="GF276" s="43"/>
      <c r="GG276" s="43"/>
      <c r="GH276" s="43"/>
      <c r="GI276" s="43"/>
      <c r="GJ276" s="43"/>
      <c r="GK276" s="43"/>
      <c r="GL276" s="43"/>
      <c r="GM276" s="43"/>
      <c r="GN276" s="43"/>
      <c r="GO276" s="43"/>
      <c r="GP276" s="43"/>
      <c r="GQ276" s="43"/>
      <c r="GR276" s="43"/>
      <c r="GS276" s="43"/>
      <c r="GT276" s="43"/>
      <c r="GU276" s="43"/>
      <c r="GV276" s="43"/>
      <c r="GW276" s="43"/>
      <c r="GX276" s="43"/>
      <c r="GY276" s="43"/>
      <c r="GZ276" s="43"/>
      <c r="HA276" s="43"/>
      <c r="HB276" s="43"/>
      <c r="HC276" s="43"/>
      <c r="HD276" s="43"/>
    </row>
    <row r="277" spans="1:212" x14ac:dyDescent="0.25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FY277" s="44"/>
      <c r="FZ277" s="43"/>
      <c r="GA277" s="43"/>
      <c r="GB277" s="43"/>
      <c r="GC277" s="43"/>
      <c r="GD277" s="43"/>
      <c r="GE277" s="43"/>
      <c r="GF277" s="43"/>
      <c r="GG277" s="43"/>
      <c r="GH277" s="43"/>
      <c r="GI277" s="43"/>
      <c r="GJ277" s="43"/>
      <c r="GK277" s="43"/>
      <c r="GL277" s="43"/>
      <c r="GM277" s="43"/>
      <c r="GN277" s="43"/>
      <c r="GO277" s="43"/>
      <c r="GP277" s="43"/>
      <c r="GQ277" s="43"/>
      <c r="GR277" s="43"/>
      <c r="GS277" s="43"/>
      <c r="GT277" s="43"/>
      <c r="GU277" s="43"/>
      <c r="GV277" s="43"/>
      <c r="GW277" s="43"/>
      <c r="GX277" s="43"/>
      <c r="GY277" s="43"/>
      <c r="GZ277" s="43"/>
      <c r="HA277" s="43"/>
      <c r="HB277" s="43"/>
      <c r="HC277" s="43"/>
      <c r="HD277" s="43"/>
    </row>
    <row r="278" spans="1:212" x14ac:dyDescent="0.25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FY278" s="44"/>
      <c r="FZ278" s="43"/>
      <c r="GA278" s="43"/>
      <c r="GB278" s="43"/>
      <c r="GC278" s="43"/>
      <c r="GD278" s="43"/>
      <c r="GE278" s="43"/>
      <c r="GF278" s="43"/>
      <c r="GG278" s="43"/>
      <c r="GH278" s="43"/>
      <c r="GI278" s="43"/>
      <c r="GJ278" s="43"/>
      <c r="GK278" s="43"/>
      <c r="GL278" s="43"/>
      <c r="GM278" s="43"/>
      <c r="GN278" s="43"/>
      <c r="GO278" s="43"/>
      <c r="GP278" s="43"/>
      <c r="GQ278" s="43"/>
      <c r="GR278" s="43"/>
      <c r="GS278" s="43"/>
      <c r="GT278" s="43"/>
      <c r="GU278" s="43"/>
      <c r="GV278" s="43"/>
      <c r="GW278" s="43"/>
      <c r="GX278" s="43"/>
      <c r="GY278" s="43"/>
      <c r="GZ278" s="43"/>
      <c r="HA278" s="43"/>
      <c r="HB278" s="43"/>
      <c r="HC278" s="43"/>
      <c r="HD278" s="43"/>
    </row>
    <row r="279" spans="1:212" x14ac:dyDescent="0.2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FY279" s="44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</row>
    <row r="280" spans="1:212" x14ac:dyDescent="0.25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FY280" s="44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GZ280" s="43"/>
      <c r="HA280" s="43"/>
      <c r="HB280" s="43"/>
      <c r="HC280" s="43"/>
      <c r="HD280" s="43"/>
    </row>
    <row r="281" spans="1:212" x14ac:dyDescent="0.25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FY281" s="44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GZ281" s="43"/>
      <c r="HA281" s="43"/>
      <c r="HB281" s="43"/>
      <c r="HC281" s="43"/>
      <c r="HD281" s="43"/>
    </row>
    <row r="282" spans="1:212" x14ac:dyDescent="0.25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FY282" s="44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</row>
    <row r="283" spans="1:212" x14ac:dyDescent="0.2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FY283" s="44"/>
      <c r="FZ283" s="43"/>
      <c r="GA283" s="43"/>
      <c r="GB283" s="43"/>
      <c r="GC283" s="43"/>
      <c r="GD283" s="43"/>
      <c r="GE283" s="43"/>
      <c r="GF283" s="43"/>
      <c r="GG283" s="43"/>
      <c r="GH283" s="43"/>
      <c r="GI283" s="43"/>
      <c r="GJ283" s="43"/>
      <c r="GK283" s="43"/>
      <c r="GL283" s="43"/>
      <c r="GM283" s="43"/>
      <c r="GN283" s="43"/>
      <c r="GO283" s="43"/>
      <c r="GP283" s="43"/>
      <c r="GQ283" s="43"/>
      <c r="GR283" s="43"/>
      <c r="GS283" s="43"/>
      <c r="GT283" s="43"/>
      <c r="GU283" s="43"/>
      <c r="GV283" s="43"/>
      <c r="GW283" s="43"/>
      <c r="GX283" s="43"/>
      <c r="GY283" s="43"/>
      <c r="GZ283" s="43"/>
      <c r="HA283" s="43"/>
      <c r="HB283" s="43"/>
      <c r="HC283" s="43"/>
      <c r="HD283" s="43"/>
    </row>
    <row r="284" spans="1:212" x14ac:dyDescent="0.25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  <c r="DS284" s="41"/>
      <c r="FY284" s="44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</row>
    <row r="285" spans="1:212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FY285" s="44"/>
      <c r="FZ285" s="43"/>
      <c r="GA285" s="43"/>
      <c r="GB285" s="43"/>
      <c r="GC285" s="43"/>
      <c r="GD285" s="43"/>
      <c r="GE285" s="43"/>
      <c r="GF285" s="43"/>
      <c r="GG285" s="43"/>
      <c r="GH285" s="43"/>
      <c r="GI285" s="43"/>
      <c r="GJ285" s="43"/>
      <c r="GK285" s="43"/>
      <c r="GL285" s="43"/>
      <c r="GM285" s="43"/>
      <c r="GN285" s="43"/>
      <c r="GO285" s="43"/>
      <c r="GP285" s="43"/>
      <c r="GQ285" s="43"/>
      <c r="GR285" s="43"/>
      <c r="GS285" s="43"/>
      <c r="GT285" s="43"/>
      <c r="GU285" s="43"/>
      <c r="GV285" s="43"/>
      <c r="GW285" s="43"/>
      <c r="GX285" s="43"/>
      <c r="GY285" s="43"/>
      <c r="GZ285" s="43"/>
      <c r="HA285" s="43"/>
      <c r="HB285" s="43"/>
      <c r="HC285" s="43"/>
      <c r="HD285" s="43"/>
    </row>
    <row r="286" spans="1:212" x14ac:dyDescent="0.2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FY286" s="44"/>
      <c r="FZ286" s="43"/>
      <c r="GA286" s="43"/>
      <c r="GB286" s="43"/>
      <c r="GC286" s="43"/>
      <c r="GD286" s="43"/>
      <c r="GE286" s="43"/>
      <c r="GF286" s="43"/>
      <c r="GG286" s="43"/>
      <c r="GH286" s="43"/>
      <c r="GI286" s="43"/>
      <c r="GJ286" s="43"/>
      <c r="GK286" s="43"/>
      <c r="GL286" s="43"/>
      <c r="GM286" s="43"/>
      <c r="GN286" s="43"/>
      <c r="GO286" s="43"/>
      <c r="GP286" s="43"/>
      <c r="GQ286" s="43"/>
      <c r="GR286" s="43"/>
      <c r="GS286" s="43"/>
      <c r="GT286" s="43"/>
      <c r="GU286" s="43"/>
      <c r="GV286" s="43"/>
      <c r="GW286" s="43"/>
      <c r="GX286" s="43"/>
      <c r="GY286" s="43"/>
      <c r="GZ286" s="43"/>
      <c r="HA286" s="43"/>
      <c r="HB286" s="43"/>
      <c r="HC286" s="43"/>
      <c r="HD286" s="43"/>
    </row>
    <row r="287" spans="1:212" x14ac:dyDescent="0.2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FY287" s="44"/>
      <c r="FZ287" s="43"/>
      <c r="GA287" s="43"/>
      <c r="GB287" s="43"/>
      <c r="GC287" s="43"/>
      <c r="GD287" s="43"/>
      <c r="GE287" s="43"/>
      <c r="GF287" s="43"/>
      <c r="GG287" s="43"/>
      <c r="GH287" s="43"/>
      <c r="GI287" s="43"/>
      <c r="GJ287" s="43"/>
      <c r="GK287" s="43"/>
      <c r="GL287" s="43"/>
      <c r="GM287" s="43"/>
      <c r="GN287" s="43"/>
      <c r="GO287" s="43"/>
      <c r="GP287" s="43"/>
      <c r="GQ287" s="43"/>
      <c r="GR287" s="43"/>
      <c r="GS287" s="43"/>
      <c r="GT287" s="43"/>
      <c r="GU287" s="43"/>
      <c r="GV287" s="43"/>
      <c r="GW287" s="43"/>
      <c r="GX287" s="43"/>
      <c r="GY287" s="43"/>
      <c r="GZ287" s="43"/>
      <c r="HA287" s="43"/>
      <c r="HB287" s="43"/>
      <c r="HC287" s="43"/>
      <c r="HD287" s="43"/>
    </row>
    <row r="288" spans="1:212" x14ac:dyDescent="0.2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  <c r="DS288" s="41"/>
      <c r="FY288" s="44"/>
      <c r="FZ288" s="43"/>
      <c r="GA288" s="43"/>
      <c r="GB288" s="43"/>
      <c r="GC288" s="43"/>
      <c r="GD288" s="43"/>
      <c r="GE288" s="43"/>
      <c r="GF288" s="43"/>
      <c r="GG288" s="43"/>
      <c r="GH288" s="43"/>
      <c r="GI288" s="43"/>
      <c r="GJ288" s="43"/>
      <c r="GK288" s="43"/>
      <c r="GL288" s="43"/>
      <c r="GM288" s="43"/>
      <c r="GN288" s="43"/>
      <c r="GO288" s="43"/>
      <c r="GP288" s="43"/>
      <c r="GQ288" s="43"/>
      <c r="GR288" s="43"/>
      <c r="GS288" s="43"/>
      <c r="GT288" s="43"/>
      <c r="GU288" s="43"/>
      <c r="GV288" s="43"/>
      <c r="GW288" s="43"/>
      <c r="GX288" s="43"/>
      <c r="GY288" s="43"/>
      <c r="GZ288" s="43"/>
      <c r="HA288" s="43"/>
      <c r="HB288" s="43"/>
      <c r="HC288" s="43"/>
      <c r="HD288" s="43"/>
    </row>
    <row r="289" spans="1:212" x14ac:dyDescent="0.2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FY289" s="44"/>
      <c r="FZ289" s="43"/>
      <c r="GA289" s="43"/>
      <c r="GB289" s="43"/>
      <c r="GC289" s="43"/>
      <c r="GD289" s="43"/>
      <c r="GE289" s="43"/>
      <c r="GF289" s="43"/>
      <c r="GG289" s="43"/>
      <c r="GH289" s="43"/>
      <c r="GI289" s="43"/>
      <c r="GJ289" s="43"/>
      <c r="GK289" s="43"/>
      <c r="GL289" s="43"/>
      <c r="GM289" s="43"/>
      <c r="GN289" s="43"/>
      <c r="GO289" s="43"/>
      <c r="GP289" s="43"/>
      <c r="GQ289" s="43"/>
      <c r="GR289" s="43"/>
      <c r="GS289" s="43"/>
      <c r="GT289" s="43"/>
      <c r="GU289" s="43"/>
      <c r="GV289" s="43"/>
      <c r="GW289" s="43"/>
      <c r="GX289" s="43"/>
      <c r="GY289" s="43"/>
      <c r="GZ289" s="43"/>
      <c r="HA289" s="43"/>
      <c r="HB289" s="43"/>
      <c r="HC289" s="43"/>
      <c r="HD289" s="43"/>
    </row>
    <row r="290" spans="1:212" x14ac:dyDescent="0.2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  <c r="DS290" s="41"/>
      <c r="FY290" s="44"/>
      <c r="FZ290" s="43"/>
      <c r="GA290" s="43"/>
      <c r="GB290" s="43"/>
      <c r="GC290" s="43"/>
      <c r="GD290" s="43"/>
      <c r="GE290" s="43"/>
      <c r="GF290" s="43"/>
      <c r="GG290" s="43"/>
      <c r="GH290" s="43"/>
      <c r="GI290" s="43"/>
      <c r="GJ290" s="43"/>
      <c r="GK290" s="43"/>
      <c r="GL290" s="43"/>
      <c r="GM290" s="43"/>
      <c r="GN290" s="43"/>
      <c r="GO290" s="43"/>
      <c r="GP290" s="43"/>
      <c r="GQ290" s="43"/>
      <c r="GR290" s="43"/>
      <c r="GS290" s="43"/>
      <c r="GT290" s="43"/>
      <c r="GU290" s="43"/>
      <c r="GV290" s="43"/>
      <c r="GW290" s="43"/>
      <c r="GX290" s="43"/>
      <c r="GY290" s="43"/>
      <c r="GZ290" s="43"/>
      <c r="HA290" s="43"/>
      <c r="HB290" s="43"/>
      <c r="HC290" s="43"/>
      <c r="HD290" s="43"/>
    </row>
    <row r="291" spans="1:212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  <c r="DS291" s="41"/>
      <c r="FY291" s="44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GZ291" s="43"/>
      <c r="HA291" s="43"/>
      <c r="HB291" s="43"/>
      <c r="HC291" s="43"/>
      <c r="HD291" s="43"/>
    </row>
    <row r="292" spans="1:212" x14ac:dyDescent="0.2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  <c r="DS292" s="41"/>
      <c r="FY292" s="44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GZ292" s="43"/>
      <c r="HA292" s="43"/>
      <c r="HB292" s="43"/>
      <c r="HC292" s="43"/>
      <c r="HD292" s="43"/>
    </row>
    <row r="293" spans="1:212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FY293" s="44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GZ293" s="43"/>
      <c r="HA293" s="43"/>
      <c r="HB293" s="43"/>
      <c r="HC293" s="43"/>
      <c r="HD293" s="43"/>
    </row>
    <row r="294" spans="1:212" x14ac:dyDescent="0.2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  <c r="DS294" s="41"/>
      <c r="FY294" s="44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GZ294" s="43"/>
      <c r="HA294" s="43"/>
      <c r="HB294" s="43"/>
      <c r="HC294" s="43"/>
      <c r="HD294" s="43"/>
    </row>
    <row r="295" spans="1:212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FY295" s="44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</row>
    <row r="296" spans="1:212" x14ac:dyDescent="0.2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FY296" s="44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GZ296" s="43"/>
      <c r="HA296" s="43"/>
      <c r="HB296" s="43"/>
      <c r="HC296" s="43"/>
      <c r="HD296" s="43"/>
    </row>
    <row r="297" spans="1:212" x14ac:dyDescent="0.2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FY297" s="44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GZ297" s="43"/>
      <c r="HA297" s="43"/>
      <c r="HB297" s="43"/>
      <c r="HC297" s="43"/>
      <c r="HD297" s="43"/>
    </row>
    <row r="298" spans="1:212" x14ac:dyDescent="0.2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FY298" s="44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GZ298" s="43"/>
      <c r="HA298" s="43"/>
      <c r="HB298" s="43"/>
      <c r="HC298" s="43"/>
      <c r="HD298" s="43"/>
    </row>
    <row r="299" spans="1:212" x14ac:dyDescent="0.2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FY299" s="44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GZ299" s="43"/>
      <c r="HA299" s="43"/>
      <c r="HB299" s="43"/>
      <c r="HC299" s="43"/>
      <c r="HD299" s="43"/>
    </row>
    <row r="300" spans="1:212" x14ac:dyDescent="0.2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FY300" s="44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GZ300" s="43"/>
      <c r="HA300" s="43"/>
      <c r="HB300" s="43"/>
      <c r="HC300" s="43"/>
      <c r="HD300" s="43"/>
    </row>
    <row r="301" spans="1:212" x14ac:dyDescent="0.2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FY301" s="44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GZ301" s="43"/>
      <c r="HA301" s="43"/>
      <c r="HB301" s="43"/>
      <c r="HC301" s="43"/>
      <c r="HD301" s="43"/>
    </row>
    <row r="302" spans="1:212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FY302" s="44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</row>
    <row r="303" spans="1:212" x14ac:dyDescent="0.2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FY303" s="44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GZ303" s="43"/>
      <c r="HA303" s="43"/>
      <c r="HB303" s="43"/>
      <c r="HC303" s="43"/>
      <c r="HD303" s="43"/>
    </row>
    <row r="304" spans="1:212" x14ac:dyDescent="0.2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  <c r="DS304" s="41"/>
      <c r="FY304" s="44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GZ304" s="43"/>
      <c r="HA304" s="43"/>
      <c r="HB304" s="43"/>
      <c r="HC304" s="43"/>
      <c r="HD304" s="43"/>
    </row>
    <row r="305" spans="1:212" x14ac:dyDescent="0.2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  <c r="DS305" s="41"/>
      <c r="FY305" s="44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GZ305" s="43"/>
      <c r="HA305" s="43"/>
      <c r="HB305" s="43"/>
      <c r="HC305" s="43"/>
      <c r="HD305" s="43"/>
    </row>
    <row r="306" spans="1:212" x14ac:dyDescent="0.2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  <c r="DS306" s="41"/>
      <c r="FY306" s="44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GZ306" s="43"/>
      <c r="HA306" s="43"/>
      <c r="HB306" s="43"/>
      <c r="HC306" s="43"/>
      <c r="HD306" s="43"/>
    </row>
    <row r="307" spans="1:212" x14ac:dyDescent="0.2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  <c r="DS307" s="41"/>
      <c r="FY307" s="44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GZ307" s="43"/>
      <c r="HA307" s="43"/>
      <c r="HB307" s="43"/>
      <c r="HC307" s="43"/>
      <c r="HD307" s="43"/>
    </row>
    <row r="308" spans="1:212" x14ac:dyDescent="0.2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FY308" s="44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GZ308" s="43"/>
      <c r="HA308" s="43"/>
      <c r="HB308" s="43"/>
      <c r="HC308" s="43"/>
      <c r="HD308" s="43"/>
    </row>
    <row r="309" spans="1:212" x14ac:dyDescent="0.2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FY309" s="44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GZ309" s="43"/>
      <c r="HA309" s="43"/>
      <c r="HB309" s="43"/>
      <c r="HC309" s="43"/>
      <c r="HD309" s="43"/>
    </row>
    <row r="310" spans="1:212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/>
      <c r="BZ310" s="41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  <c r="DS310" s="41"/>
      <c r="FY310" s="44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GZ310" s="43"/>
      <c r="HA310" s="43"/>
      <c r="HB310" s="43"/>
      <c r="HC310" s="43"/>
      <c r="HD310" s="43"/>
    </row>
    <row r="311" spans="1:212" x14ac:dyDescent="0.2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FY311" s="44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GZ311" s="43"/>
      <c r="HA311" s="43"/>
      <c r="HB311" s="43"/>
      <c r="HC311" s="43"/>
      <c r="HD311" s="43"/>
    </row>
    <row r="312" spans="1:212" x14ac:dyDescent="0.2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FY312" s="44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GZ312" s="43"/>
      <c r="HA312" s="43"/>
      <c r="HB312" s="43"/>
      <c r="HC312" s="43"/>
      <c r="HD312" s="43"/>
    </row>
    <row r="313" spans="1:212" x14ac:dyDescent="0.2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FY313" s="44"/>
      <c r="FZ313" s="43"/>
      <c r="GA313" s="43"/>
      <c r="GB313" s="43"/>
      <c r="GC313" s="43"/>
      <c r="GD313" s="43"/>
      <c r="GE313" s="43"/>
      <c r="GF313" s="43"/>
      <c r="GG313" s="43"/>
      <c r="GH313" s="43"/>
      <c r="GI313" s="43"/>
      <c r="GJ313" s="43"/>
      <c r="GK313" s="43"/>
      <c r="GL313" s="43"/>
      <c r="GM313" s="43"/>
      <c r="GN313" s="43"/>
      <c r="GO313" s="43"/>
      <c r="GP313" s="43"/>
      <c r="GQ313" s="43"/>
      <c r="GR313" s="43"/>
      <c r="GS313" s="43"/>
      <c r="GT313" s="43"/>
      <c r="GU313" s="43"/>
      <c r="GV313" s="43"/>
      <c r="GW313" s="43"/>
      <c r="GX313" s="43"/>
      <c r="GY313" s="43"/>
      <c r="GZ313" s="43"/>
      <c r="HA313" s="43"/>
      <c r="HB313" s="43"/>
      <c r="HC313" s="43"/>
      <c r="HD313" s="43"/>
    </row>
    <row r="314" spans="1:212" x14ac:dyDescent="0.2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FY314" s="44"/>
      <c r="FZ314" s="43"/>
      <c r="GA314" s="43"/>
      <c r="GB314" s="43"/>
      <c r="GC314" s="43"/>
      <c r="GD314" s="43"/>
      <c r="GE314" s="43"/>
      <c r="GF314" s="43"/>
      <c r="GG314" s="43"/>
      <c r="GH314" s="43"/>
      <c r="GI314" s="43"/>
      <c r="GJ314" s="43"/>
      <c r="GK314" s="43"/>
      <c r="GL314" s="43"/>
      <c r="GM314" s="43"/>
      <c r="GN314" s="43"/>
      <c r="GO314" s="43"/>
      <c r="GP314" s="43"/>
      <c r="GQ314" s="43"/>
      <c r="GR314" s="43"/>
      <c r="GS314" s="43"/>
      <c r="GT314" s="43"/>
      <c r="GU314" s="43"/>
      <c r="GV314" s="43"/>
      <c r="GW314" s="43"/>
      <c r="GX314" s="43"/>
      <c r="GY314" s="43"/>
      <c r="GZ314" s="43"/>
      <c r="HA314" s="43"/>
      <c r="HB314" s="43"/>
      <c r="HC314" s="43"/>
      <c r="HD314" s="43"/>
    </row>
    <row r="315" spans="1:212" x14ac:dyDescent="0.2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FY315" s="44"/>
      <c r="FZ315" s="43"/>
      <c r="GA315" s="43"/>
      <c r="GB315" s="43"/>
      <c r="GC315" s="43"/>
      <c r="GD315" s="43"/>
      <c r="GE315" s="43"/>
      <c r="GF315" s="43"/>
      <c r="GG315" s="43"/>
      <c r="GH315" s="43"/>
      <c r="GI315" s="43"/>
      <c r="GJ315" s="43"/>
      <c r="GK315" s="43"/>
      <c r="GL315" s="43"/>
      <c r="GM315" s="43"/>
      <c r="GN315" s="43"/>
      <c r="GO315" s="43"/>
      <c r="GP315" s="43"/>
      <c r="GQ315" s="43"/>
      <c r="GR315" s="43"/>
      <c r="GS315" s="43"/>
      <c r="GT315" s="43"/>
      <c r="GU315" s="43"/>
      <c r="GV315" s="43"/>
      <c r="GW315" s="43"/>
      <c r="GX315" s="43"/>
      <c r="GY315" s="43"/>
      <c r="GZ315" s="43"/>
      <c r="HA315" s="43"/>
      <c r="HB315" s="43"/>
      <c r="HC315" s="43"/>
      <c r="HD315" s="43"/>
    </row>
    <row r="316" spans="1:212" x14ac:dyDescent="0.2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  <c r="DS316" s="41"/>
      <c r="FY316" s="44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GZ316" s="43"/>
      <c r="HA316" s="43"/>
      <c r="HB316" s="43"/>
      <c r="HC316" s="43"/>
      <c r="HD316" s="43"/>
    </row>
    <row r="317" spans="1:212" x14ac:dyDescent="0.2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FY317" s="44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</row>
    <row r="318" spans="1:212" x14ac:dyDescent="0.2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FY318" s="44"/>
      <c r="FZ318" s="43"/>
      <c r="GA318" s="43"/>
      <c r="GB318" s="43"/>
      <c r="GC318" s="43"/>
      <c r="GD318" s="43"/>
      <c r="GE318" s="43"/>
      <c r="GF318" s="43"/>
      <c r="GG318" s="43"/>
      <c r="GH318" s="43"/>
      <c r="GI318" s="43"/>
      <c r="GJ318" s="43"/>
      <c r="GK318" s="43"/>
      <c r="GL318" s="43"/>
      <c r="GM318" s="43"/>
      <c r="GN318" s="43"/>
      <c r="GO318" s="43"/>
      <c r="GP318" s="43"/>
      <c r="GQ318" s="43"/>
      <c r="GR318" s="43"/>
      <c r="GS318" s="43"/>
      <c r="GT318" s="43"/>
      <c r="GU318" s="43"/>
      <c r="GV318" s="43"/>
      <c r="GW318" s="43"/>
      <c r="GX318" s="43"/>
      <c r="GY318" s="43"/>
      <c r="GZ318" s="43"/>
      <c r="HA318" s="43"/>
      <c r="HB318" s="43"/>
      <c r="HC318" s="43"/>
      <c r="HD318" s="43"/>
    </row>
    <row r="319" spans="1:212" x14ac:dyDescent="0.2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  <c r="BX319" s="41"/>
      <c r="BY319" s="41"/>
      <c r="BZ319" s="41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  <c r="DS319" s="41"/>
      <c r="FY319" s="44"/>
      <c r="FZ319" s="43"/>
      <c r="GA319" s="43"/>
      <c r="GB319" s="43"/>
      <c r="GC319" s="43"/>
      <c r="GD319" s="43"/>
      <c r="GE319" s="43"/>
      <c r="GF319" s="43"/>
      <c r="GG319" s="43"/>
      <c r="GH319" s="43"/>
      <c r="GI319" s="43"/>
      <c r="GJ319" s="43"/>
      <c r="GK319" s="43"/>
      <c r="GL319" s="43"/>
      <c r="GM319" s="43"/>
      <c r="GN319" s="43"/>
      <c r="GO319" s="43"/>
      <c r="GP319" s="43"/>
      <c r="GQ319" s="43"/>
      <c r="GR319" s="43"/>
      <c r="GS319" s="43"/>
      <c r="GT319" s="43"/>
      <c r="GU319" s="43"/>
      <c r="GV319" s="43"/>
      <c r="GW319" s="43"/>
      <c r="GX319" s="43"/>
      <c r="GY319" s="43"/>
      <c r="GZ319" s="43"/>
      <c r="HA319" s="43"/>
      <c r="HB319" s="43"/>
      <c r="HC319" s="43"/>
      <c r="HD319" s="43"/>
    </row>
    <row r="320" spans="1:212" x14ac:dyDescent="0.2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FY320" s="44"/>
      <c r="FZ320" s="43"/>
      <c r="GA320" s="43"/>
      <c r="GB320" s="43"/>
      <c r="GC320" s="43"/>
      <c r="GD320" s="43"/>
      <c r="GE320" s="43"/>
      <c r="GF320" s="43"/>
      <c r="GG320" s="43"/>
      <c r="GH320" s="43"/>
      <c r="GI320" s="43"/>
      <c r="GJ320" s="43"/>
      <c r="GK320" s="43"/>
      <c r="GL320" s="43"/>
      <c r="GM320" s="43"/>
      <c r="GN320" s="43"/>
      <c r="GO320" s="43"/>
      <c r="GP320" s="43"/>
      <c r="GQ320" s="43"/>
      <c r="GR320" s="43"/>
      <c r="GS320" s="43"/>
      <c r="GT320" s="43"/>
      <c r="GU320" s="43"/>
      <c r="GV320" s="43"/>
      <c r="GW320" s="43"/>
      <c r="GX320" s="43"/>
      <c r="GY320" s="43"/>
      <c r="GZ320" s="43"/>
      <c r="HA320" s="43"/>
      <c r="HB320" s="43"/>
      <c r="HC320" s="43"/>
      <c r="HD320" s="43"/>
    </row>
    <row r="321" spans="1:212" x14ac:dyDescent="0.2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  <c r="DS321" s="41"/>
      <c r="FY321" s="44"/>
      <c r="FZ321" s="43"/>
      <c r="GA321" s="43"/>
      <c r="GB321" s="43"/>
      <c r="GC321" s="43"/>
      <c r="GD321" s="43"/>
      <c r="GE321" s="43"/>
      <c r="GF321" s="43"/>
      <c r="GG321" s="43"/>
      <c r="GH321" s="43"/>
      <c r="GI321" s="43"/>
      <c r="GJ321" s="43"/>
      <c r="GK321" s="43"/>
      <c r="GL321" s="43"/>
      <c r="GM321" s="43"/>
      <c r="GN321" s="43"/>
      <c r="GO321" s="43"/>
      <c r="GP321" s="43"/>
      <c r="GQ321" s="43"/>
      <c r="GR321" s="43"/>
      <c r="GS321" s="43"/>
      <c r="GT321" s="43"/>
      <c r="GU321" s="43"/>
      <c r="GV321" s="43"/>
      <c r="GW321" s="43"/>
      <c r="GX321" s="43"/>
      <c r="GY321" s="43"/>
      <c r="GZ321" s="43"/>
      <c r="HA321" s="43"/>
      <c r="HB321" s="43"/>
      <c r="HC321" s="43"/>
      <c r="HD321" s="43"/>
    </row>
    <row r="322" spans="1:212" x14ac:dyDescent="0.2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FY322" s="44"/>
      <c r="FZ322" s="43"/>
      <c r="GA322" s="43"/>
      <c r="GB322" s="43"/>
      <c r="GC322" s="43"/>
      <c r="GD322" s="43"/>
      <c r="GE322" s="43"/>
      <c r="GF322" s="43"/>
      <c r="GG322" s="43"/>
      <c r="GH322" s="43"/>
      <c r="GI322" s="43"/>
      <c r="GJ322" s="43"/>
      <c r="GK322" s="43"/>
      <c r="GL322" s="43"/>
      <c r="GM322" s="43"/>
      <c r="GN322" s="43"/>
      <c r="GO322" s="43"/>
      <c r="GP322" s="43"/>
      <c r="GQ322" s="43"/>
      <c r="GR322" s="43"/>
      <c r="GS322" s="43"/>
      <c r="GT322" s="43"/>
      <c r="GU322" s="43"/>
      <c r="GV322" s="43"/>
      <c r="GW322" s="43"/>
      <c r="GX322" s="43"/>
      <c r="GY322" s="43"/>
      <c r="GZ322" s="43"/>
      <c r="HA322" s="43"/>
      <c r="HB322" s="43"/>
      <c r="HC322" s="43"/>
      <c r="HD322" s="43"/>
    </row>
    <row r="323" spans="1:212" x14ac:dyDescent="0.2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  <c r="BX323" s="41"/>
      <c r="BY323" s="41"/>
      <c r="BZ323" s="41"/>
      <c r="CA323" s="41"/>
      <c r="CB323" s="41"/>
      <c r="CC323" s="41"/>
      <c r="CD323" s="41"/>
      <c r="CE323" s="41"/>
      <c r="CF323" s="41"/>
      <c r="CG323" s="41"/>
      <c r="CH323" s="41"/>
      <c r="CI323" s="41"/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41"/>
      <c r="DC323" s="41"/>
      <c r="DD323" s="41"/>
      <c r="DE323" s="41"/>
      <c r="DF323" s="41"/>
      <c r="DG323" s="41"/>
      <c r="DH323" s="41"/>
      <c r="DI323" s="41"/>
      <c r="DJ323" s="41"/>
      <c r="DK323" s="41"/>
      <c r="DL323" s="41"/>
      <c r="DM323" s="41"/>
      <c r="DN323" s="41"/>
      <c r="DO323" s="41"/>
      <c r="DP323" s="41"/>
      <c r="DQ323" s="41"/>
      <c r="DR323" s="41"/>
      <c r="DS323" s="41"/>
      <c r="FY323" s="44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GZ323" s="43"/>
      <c r="HA323" s="43"/>
      <c r="HB323" s="43"/>
      <c r="HC323" s="43"/>
      <c r="HD323" s="43"/>
    </row>
    <row r="324" spans="1:212" x14ac:dyDescent="0.2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  <c r="DS324" s="41"/>
      <c r="FY324" s="44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GZ324" s="43"/>
      <c r="HA324" s="43"/>
      <c r="HB324" s="43"/>
      <c r="HC324" s="43"/>
      <c r="HD324" s="43"/>
    </row>
    <row r="325" spans="1:212" x14ac:dyDescent="0.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FY325" s="44"/>
      <c r="FZ325" s="43"/>
      <c r="GA325" s="43"/>
      <c r="GB325" s="43"/>
      <c r="GC325" s="43"/>
      <c r="GD325" s="43"/>
      <c r="GE325" s="43"/>
      <c r="GF325" s="43"/>
      <c r="GG325" s="43"/>
      <c r="GH325" s="43"/>
      <c r="GI325" s="43"/>
      <c r="GJ325" s="43"/>
      <c r="GK325" s="43"/>
      <c r="GL325" s="43"/>
      <c r="GM325" s="43"/>
      <c r="GN325" s="43"/>
      <c r="GO325" s="43"/>
      <c r="GP325" s="43"/>
      <c r="GQ325" s="43"/>
      <c r="GR325" s="43"/>
      <c r="GS325" s="43"/>
      <c r="GT325" s="43"/>
      <c r="GU325" s="43"/>
      <c r="GV325" s="43"/>
      <c r="GW325" s="43"/>
      <c r="GX325" s="43"/>
      <c r="GY325" s="43"/>
      <c r="GZ325" s="43"/>
      <c r="HA325" s="43"/>
      <c r="HB325" s="43"/>
      <c r="HC325" s="43"/>
      <c r="HD325" s="43"/>
    </row>
    <row r="326" spans="1:212" x14ac:dyDescent="0.2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  <c r="BX326" s="41"/>
      <c r="BY326" s="41"/>
      <c r="BZ326" s="41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  <c r="DS326" s="41"/>
      <c r="FY326" s="44"/>
      <c r="FZ326" s="43"/>
      <c r="GA326" s="43"/>
      <c r="GB326" s="43"/>
      <c r="GC326" s="43"/>
      <c r="GD326" s="43"/>
      <c r="GE326" s="43"/>
      <c r="GF326" s="43"/>
      <c r="GG326" s="43"/>
      <c r="GH326" s="43"/>
      <c r="GI326" s="43"/>
      <c r="GJ326" s="43"/>
      <c r="GK326" s="43"/>
      <c r="GL326" s="43"/>
      <c r="GM326" s="43"/>
      <c r="GN326" s="43"/>
      <c r="GO326" s="43"/>
      <c r="GP326" s="43"/>
      <c r="GQ326" s="43"/>
      <c r="GR326" s="43"/>
      <c r="GS326" s="43"/>
      <c r="GT326" s="43"/>
      <c r="GU326" s="43"/>
      <c r="GV326" s="43"/>
      <c r="GW326" s="43"/>
      <c r="GX326" s="43"/>
      <c r="GY326" s="43"/>
      <c r="GZ326" s="43"/>
      <c r="HA326" s="43"/>
      <c r="HB326" s="43"/>
      <c r="HC326" s="43"/>
      <c r="HD326" s="43"/>
    </row>
    <row r="327" spans="1:212" x14ac:dyDescent="0.2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FY327" s="44"/>
      <c r="FZ327" s="43"/>
      <c r="GA327" s="43"/>
      <c r="GB327" s="43"/>
      <c r="GC327" s="43"/>
      <c r="GD327" s="43"/>
      <c r="GE327" s="43"/>
      <c r="GF327" s="43"/>
      <c r="GG327" s="43"/>
      <c r="GH327" s="43"/>
      <c r="GI327" s="43"/>
      <c r="GJ327" s="43"/>
      <c r="GK327" s="43"/>
      <c r="GL327" s="43"/>
      <c r="GM327" s="43"/>
      <c r="GN327" s="43"/>
      <c r="GO327" s="43"/>
      <c r="GP327" s="43"/>
      <c r="GQ327" s="43"/>
      <c r="GR327" s="43"/>
      <c r="GS327" s="43"/>
      <c r="GT327" s="43"/>
      <c r="GU327" s="43"/>
      <c r="GV327" s="43"/>
      <c r="GW327" s="43"/>
      <c r="GX327" s="43"/>
      <c r="GY327" s="43"/>
      <c r="GZ327" s="43"/>
      <c r="HA327" s="43"/>
      <c r="HB327" s="43"/>
      <c r="HC327" s="43"/>
      <c r="HD327" s="43"/>
    </row>
    <row r="328" spans="1:212" x14ac:dyDescent="0.2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  <c r="DS328" s="41"/>
      <c r="FY328" s="44"/>
      <c r="FZ328" s="43"/>
      <c r="GA328" s="43"/>
      <c r="GB328" s="43"/>
      <c r="GC328" s="43"/>
      <c r="GD328" s="43"/>
      <c r="GE328" s="43"/>
      <c r="GF328" s="43"/>
      <c r="GG328" s="43"/>
      <c r="GH328" s="43"/>
      <c r="GI328" s="43"/>
      <c r="GJ328" s="43"/>
      <c r="GK328" s="43"/>
      <c r="GL328" s="43"/>
      <c r="GM328" s="43"/>
      <c r="GN328" s="43"/>
      <c r="GO328" s="43"/>
      <c r="GP328" s="43"/>
      <c r="GQ328" s="43"/>
      <c r="GR328" s="43"/>
      <c r="GS328" s="43"/>
      <c r="GT328" s="43"/>
      <c r="GU328" s="43"/>
      <c r="GV328" s="43"/>
      <c r="GW328" s="43"/>
      <c r="GX328" s="43"/>
      <c r="GY328" s="43"/>
      <c r="GZ328" s="43"/>
      <c r="HA328" s="43"/>
      <c r="HB328" s="43"/>
      <c r="HC328" s="43"/>
      <c r="HD328" s="43"/>
    </row>
    <row r="329" spans="1:212" x14ac:dyDescent="0.2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FY329" s="44"/>
      <c r="FZ329" s="43"/>
      <c r="GA329" s="43"/>
      <c r="GB329" s="43"/>
      <c r="GC329" s="43"/>
      <c r="GD329" s="43"/>
      <c r="GE329" s="43"/>
      <c r="GF329" s="43"/>
      <c r="GG329" s="43"/>
      <c r="GH329" s="43"/>
      <c r="GI329" s="43"/>
      <c r="GJ329" s="43"/>
      <c r="GK329" s="43"/>
      <c r="GL329" s="43"/>
      <c r="GM329" s="43"/>
      <c r="GN329" s="43"/>
      <c r="GO329" s="43"/>
      <c r="GP329" s="43"/>
      <c r="GQ329" s="43"/>
      <c r="GR329" s="43"/>
      <c r="GS329" s="43"/>
      <c r="GT329" s="43"/>
      <c r="GU329" s="43"/>
      <c r="GV329" s="43"/>
      <c r="GW329" s="43"/>
      <c r="GX329" s="43"/>
      <c r="GY329" s="43"/>
      <c r="GZ329" s="43"/>
      <c r="HA329" s="43"/>
      <c r="HB329" s="43"/>
      <c r="HC329" s="43"/>
      <c r="HD329" s="43"/>
    </row>
    <row r="330" spans="1:212" x14ac:dyDescent="0.2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  <c r="BX330" s="41"/>
      <c r="BY330" s="41"/>
      <c r="BZ330" s="41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  <c r="DS330" s="41"/>
      <c r="FY330" s="44"/>
      <c r="FZ330" s="43"/>
      <c r="GA330" s="43"/>
      <c r="GB330" s="43"/>
      <c r="GC330" s="43"/>
      <c r="GD330" s="43"/>
      <c r="GE330" s="43"/>
      <c r="GF330" s="43"/>
      <c r="GG330" s="43"/>
      <c r="GH330" s="43"/>
      <c r="GI330" s="43"/>
      <c r="GJ330" s="43"/>
      <c r="GK330" s="43"/>
      <c r="GL330" s="43"/>
      <c r="GM330" s="43"/>
      <c r="GN330" s="43"/>
      <c r="GO330" s="43"/>
      <c r="GP330" s="43"/>
      <c r="GQ330" s="43"/>
      <c r="GR330" s="43"/>
      <c r="GS330" s="43"/>
      <c r="GT330" s="43"/>
      <c r="GU330" s="43"/>
      <c r="GV330" s="43"/>
      <c r="GW330" s="43"/>
      <c r="GX330" s="43"/>
      <c r="GY330" s="43"/>
      <c r="GZ330" s="43"/>
      <c r="HA330" s="43"/>
      <c r="HB330" s="43"/>
      <c r="HC330" s="43"/>
      <c r="HD330" s="43"/>
    </row>
    <row r="331" spans="1:212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FY331" s="44"/>
      <c r="FZ331" s="43"/>
      <c r="GA331" s="43"/>
      <c r="GB331" s="43"/>
      <c r="GC331" s="43"/>
      <c r="GD331" s="43"/>
      <c r="GE331" s="43"/>
      <c r="GF331" s="43"/>
      <c r="GG331" s="43"/>
      <c r="GH331" s="43"/>
      <c r="GI331" s="43"/>
      <c r="GJ331" s="43"/>
      <c r="GK331" s="43"/>
      <c r="GL331" s="43"/>
      <c r="GM331" s="43"/>
      <c r="GN331" s="43"/>
      <c r="GO331" s="43"/>
      <c r="GP331" s="43"/>
      <c r="GQ331" s="43"/>
      <c r="GR331" s="43"/>
      <c r="GS331" s="43"/>
      <c r="GT331" s="43"/>
      <c r="GU331" s="43"/>
      <c r="GV331" s="43"/>
      <c r="GW331" s="43"/>
      <c r="GX331" s="43"/>
      <c r="GY331" s="43"/>
      <c r="GZ331" s="43"/>
      <c r="HA331" s="43"/>
      <c r="HB331" s="43"/>
      <c r="HC331" s="43"/>
      <c r="HD331" s="43"/>
    </row>
    <row r="332" spans="1:212" x14ac:dyDescent="0.2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FY332" s="44"/>
      <c r="FZ332" s="43"/>
      <c r="GA332" s="43"/>
      <c r="GB332" s="43"/>
      <c r="GC332" s="43"/>
      <c r="GD332" s="43"/>
      <c r="GE332" s="43"/>
      <c r="GF332" s="43"/>
      <c r="GG332" s="43"/>
      <c r="GH332" s="43"/>
      <c r="GI332" s="43"/>
      <c r="GJ332" s="43"/>
      <c r="GK332" s="43"/>
      <c r="GL332" s="43"/>
      <c r="GM332" s="43"/>
      <c r="GN332" s="43"/>
      <c r="GO332" s="43"/>
      <c r="GP332" s="43"/>
      <c r="GQ332" s="43"/>
      <c r="GR332" s="43"/>
      <c r="GS332" s="43"/>
      <c r="GT332" s="43"/>
      <c r="GU332" s="43"/>
      <c r="GV332" s="43"/>
      <c r="GW332" s="43"/>
      <c r="GX332" s="43"/>
      <c r="GY332" s="43"/>
      <c r="GZ332" s="43"/>
      <c r="HA332" s="43"/>
      <c r="HB332" s="43"/>
      <c r="HC332" s="43"/>
      <c r="HD332" s="43"/>
    </row>
    <row r="333" spans="1:212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FY333" s="44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GZ333" s="43"/>
      <c r="HA333" s="43"/>
      <c r="HB333" s="43"/>
      <c r="HC333" s="43"/>
      <c r="HD333" s="43"/>
    </row>
    <row r="334" spans="1:212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FY334" s="44"/>
      <c r="FZ334" s="43"/>
      <c r="GA334" s="43"/>
      <c r="GB334" s="43"/>
      <c r="GC334" s="43"/>
      <c r="GD334" s="43"/>
      <c r="GE334" s="43"/>
      <c r="GF334" s="43"/>
      <c r="GG334" s="43"/>
      <c r="GH334" s="43"/>
      <c r="GI334" s="43"/>
      <c r="GJ334" s="43"/>
      <c r="GK334" s="43"/>
      <c r="GL334" s="43"/>
      <c r="GM334" s="43"/>
      <c r="GN334" s="43"/>
      <c r="GO334" s="43"/>
      <c r="GP334" s="43"/>
      <c r="GQ334" s="43"/>
      <c r="GR334" s="43"/>
      <c r="GS334" s="43"/>
      <c r="GT334" s="43"/>
      <c r="GU334" s="43"/>
      <c r="GV334" s="43"/>
      <c r="GW334" s="43"/>
      <c r="GX334" s="43"/>
      <c r="GY334" s="43"/>
      <c r="GZ334" s="43"/>
      <c r="HA334" s="43"/>
      <c r="HB334" s="43"/>
      <c r="HC334" s="43"/>
      <c r="HD334" s="43"/>
    </row>
    <row r="335" spans="1:212" x14ac:dyDescent="0.2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FY335" s="44"/>
      <c r="FZ335" s="43"/>
      <c r="GA335" s="43"/>
      <c r="GB335" s="43"/>
      <c r="GC335" s="43"/>
      <c r="GD335" s="43"/>
      <c r="GE335" s="43"/>
      <c r="GF335" s="43"/>
      <c r="GG335" s="43"/>
      <c r="GH335" s="43"/>
      <c r="GI335" s="43"/>
      <c r="GJ335" s="43"/>
      <c r="GK335" s="43"/>
      <c r="GL335" s="43"/>
      <c r="GM335" s="43"/>
      <c r="GN335" s="43"/>
      <c r="GO335" s="43"/>
      <c r="GP335" s="43"/>
      <c r="GQ335" s="43"/>
      <c r="GR335" s="43"/>
      <c r="GS335" s="43"/>
      <c r="GT335" s="43"/>
      <c r="GU335" s="43"/>
      <c r="GV335" s="43"/>
      <c r="GW335" s="43"/>
      <c r="GX335" s="43"/>
      <c r="GY335" s="43"/>
      <c r="GZ335" s="43"/>
      <c r="HA335" s="43"/>
      <c r="HB335" s="43"/>
      <c r="HC335" s="43"/>
      <c r="HD335" s="43"/>
    </row>
    <row r="336" spans="1:212" x14ac:dyDescent="0.2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FY336" s="44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GZ336" s="43"/>
      <c r="HA336" s="43"/>
      <c r="HB336" s="43"/>
      <c r="HC336" s="43"/>
      <c r="HD336" s="43"/>
    </row>
    <row r="337" spans="1:212" x14ac:dyDescent="0.2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FY337" s="44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GZ337" s="43"/>
      <c r="HA337" s="43"/>
      <c r="HB337" s="43"/>
      <c r="HC337" s="43"/>
      <c r="HD337" s="43"/>
    </row>
    <row r="338" spans="1:212" x14ac:dyDescent="0.2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FY338" s="44"/>
      <c r="FZ338" s="43"/>
      <c r="GA338" s="43"/>
      <c r="GB338" s="43"/>
      <c r="GC338" s="43"/>
      <c r="GD338" s="43"/>
      <c r="GE338" s="43"/>
      <c r="GF338" s="43"/>
      <c r="GG338" s="43"/>
      <c r="GH338" s="43"/>
      <c r="GI338" s="43"/>
      <c r="GJ338" s="43"/>
      <c r="GK338" s="43"/>
      <c r="GL338" s="43"/>
      <c r="GM338" s="43"/>
      <c r="GN338" s="43"/>
      <c r="GO338" s="43"/>
      <c r="GP338" s="43"/>
      <c r="GQ338" s="43"/>
      <c r="GR338" s="43"/>
      <c r="GS338" s="43"/>
      <c r="GT338" s="43"/>
      <c r="GU338" s="43"/>
      <c r="GV338" s="43"/>
      <c r="GW338" s="43"/>
      <c r="GX338" s="43"/>
      <c r="GY338" s="43"/>
      <c r="GZ338" s="43"/>
      <c r="HA338" s="43"/>
      <c r="HB338" s="43"/>
      <c r="HC338" s="43"/>
      <c r="HD338" s="43"/>
    </row>
    <row r="339" spans="1:212" x14ac:dyDescent="0.2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FY339" s="44"/>
      <c r="FZ339" s="43"/>
      <c r="GA339" s="43"/>
      <c r="GB339" s="43"/>
      <c r="GC339" s="43"/>
      <c r="GD339" s="43"/>
      <c r="GE339" s="43"/>
      <c r="GF339" s="43"/>
      <c r="GG339" s="43"/>
      <c r="GH339" s="43"/>
      <c r="GI339" s="43"/>
      <c r="GJ339" s="43"/>
      <c r="GK339" s="43"/>
      <c r="GL339" s="43"/>
      <c r="GM339" s="43"/>
      <c r="GN339" s="43"/>
      <c r="GO339" s="43"/>
      <c r="GP339" s="43"/>
      <c r="GQ339" s="43"/>
      <c r="GR339" s="43"/>
      <c r="GS339" s="43"/>
      <c r="GT339" s="43"/>
      <c r="GU339" s="43"/>
      <c r="GV339" s="43"/>
      <c r="GW339" s="43"/>
      <c r="GX339" s="43"/>
      <c r="GY339" s="43"/>
      <c r="GZ339" s="43"/>
      <c r="HA339" s="43"/>
      <c r="HB339" s="43"/>
      <c r="HC339" s="43"/>
      <c r="HD339" s="43"/>
    </row>
    <row r="340" spans="1:212" x14ac:dyDescent="0.2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FY340" s="44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GZ340" s="43"/>
      <c r="HA340" s="43"/>
      <c r="HB340" s="43"/>
      <c r="HC340" s="43"/>
      <c r="HD340" s="43"/>
    </row>
    <row r="341" spans="1:212" x14ac:dyDescent="0.2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FY341" s="44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GZ341" s="43"/>
      <c r="HA341" s="43"/>
      <c r="HB341" s="43"/>
      <c r="HC341" s="43"/>
      <c r="HD341" s="43"/>
    </row>
    <row r="342" spans="1:212" x14ac:dyDescent="0.2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FY342" s="44"/>
      <c r="FZ342" s="43"/>
      <c r="GA342" s="43"/>
      <c r="GB342" s="43"/>
      <c r="GC342" s="43"/>
      <c r="GD342" s="43"/>
      <c r="GE342" s="43"/>
      <c r="GF342" s="43"/>
      <c r="GG342" s="43"/>
      <c r="GH342" s="43"/>
      <c r="GI342" s="43"/>
      <c r="GJ342" s="43"/>
      <c r="GK342" s="43"/>
      <c r="GL342" s="43"/>
      <c r="GM342" s="43"/>
      <c r="GN342" s="43"/>
      <c r="GO342" s="43"/>
      <c r="GP342" s="43"/>
      <c r="GQ342" s="43"/>
      <c r="GR342" s="43"/>
      <c r="GS342" s="43"/>
      <c r="GT342" s="43"/>
      <c r="GU342" s="43"/>
      <c r="GV342" s="43"/>
      <c r="GW342" s="43"/>
      <c r="GX342" s="43"/>
      <c r="GY342" s="43"/>
      <c r="GZ342" s="43"/>
      <c r="HA342" s="43"/>
      <c r="HB342" s="43"/>
      <c r="HC342" s="43"/>
      <c r="HD342" s="43"/>
    </row>
    <row r="343" spans="1:212" x14ac:dyDescent="0.2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FY343" s="44"/>
      <c r="FZ343" s="43"/>
      <c r="GA343" s="43"/>
      <c r="GB343" s="43"/>
      <c r="GC343" s="43"/>
      <c r="GD343" s="43"/>
      <c r="GE343" s="43"/>
      <c r="GF343" s="43"/>
      <c r="GG343" s="43"/>
      <c r="GH343" s="43"/>
      <c r="GI343" s="43"/>
      <c r="GJ343" s="43"/>
      <c r="GK343" s="43"/>
      <c r="GL343" s="43"/>
      <c r="GM343" s="43"/>
      <c r="GN343" s="43"/>
      <c r="GO343" s="43"/>
      <c r="GP343" s="43"/>
      <c r="GQ343" s="43"/>
      <c r="GR343" s="43"/>
      <c r="GS343" s="43"/>
      <c r="GT343" s="43"/>
      <c r="GU343" s="43"/>
      <c r="GV343" s="43"/>
      <c r="GW343" s="43"/>
      <c r="GX343" s="43"/>
      <c r="GY343" s="43"/>
      <c r="GZ343" s="43"/>
      <c r="HA343" s="43"/>
      <c r="HB343" s="43"/>
      <c r="HC343" s="43"/>
      <c r="HD343" s="43"/>
    </row>
    <row r="344" spans="1:212" x14ac:dyDescent="0.2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FY344" s="44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GZ344" s="43"/>
      <c r="HA344" s="43"/>
      <c r="HB344" s="43"/>
      <c r="HC344" s="43"/>
      <c r="HD344" s="43"/>
    </row>
    <row r="345" spans="1:212" x14ac:dyDescent="0.2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FY345" s="44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GZ345" s="43"/>
      <c r="HA345" s="43"/>
      <c r="HB345" s="43"/>
      <c r="HC345" s="43"/>
      <c r="HD345" s="43"/>
    </row>
    <row r="346" spans="1:212" x14ac:dyDescent="0.2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FY346" s="44"/>
      <c r="FZ346" s="43"/>
      <c r="GA346" s="43"/>
      <c r="GB346" s="43"/>
      <c r="GC346" s="43"/>
      <c r="GD346" s="43"/>
      <c r="GE346" s="43"/>
      <c r="GF346" s="43"/>
      <c r="GG346" s="43"/>
      <c r="GH346" s="43"/>
      <c r="GI346" s="43"/>
      <c r="GJ346" s="43"/>
      <c r="GK346" s="43"/>
      <c r="GL346" s="43"/>
      <c r="GM346" s="43"/>
      <c r="GN346" s="43"/>
      <c r="GO346" s="43"/>
      <c r="GP346" s="43"/>
      <c r="GQ346" s="43"/>
      <c r="GR346" s="43"/>
      <c r="GS346" s="43"/>
      <c r="GT346" s="43"/>
      <c r="GU346" s="43"/>
      <c r="GV346" s="43"/>
      <c r="GW346" s="43"/>
      <c r="GX346" s="43"/>
      <c r="GY346" s="43"/>
      <c r="GZ346" s="43"/>
      <c r="HA346" s="43"/>
      <c r="HB346" s="43"/>
      <c r="HC346" s="43"/>
      <c r="HD346" s="43"/>
    </row>
    <row r="347" spans="1:212" x14ac:dyDescent="0.2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FY347" s="44"/>
      <c r="FZ347" s="43"/>
      <c r="GA347" s="43"/>
      <c r="GB347" s="43"/>
      <c r="GC347" s="43"/>
      <c r="GD347" s="43"/>
      <c r="GE347" s="43"/>
      <c r="GF347" s="43"/>
      <c r="GG347" s="43"/>
      <c r="GH347" s="43"/>
      <c r="GI347" s="43"/>
      <c r="GJ347" s="43"/>
      <c r="GK347" s="43"/>
      <c r="GL347" s="43"/>
      <c r="GM347" s="43"/>
      <c r="GN347" s="43"/>
      <c r="GO347" s="43"/>
      <c r="GP347" s="43"/>
      <c r="GQ347" s="43"/>
      <c r="GR347" s="43"/>
      <c r="GS347" s="43"/>
      <c r="GT347" s="43"/>
      <c r="GU347" s="43"/>
      <c r="GV347" s="43"/>
      <c r="GW347" s="43"/>
      <c r="GX347" s="43"/>
      <c r="GY347" s="43"/>
      <c r="GZ347" s="43"/>
      <c r="HA347" s="43"/>
      <c r="HB347" s="43"/>
      <c r="HC347" s="43"/>
      <c r="HD347" s="43"/>
    </row>
    <row r="348" spans="1:212" x14ac:dyDescent="0.2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FY348" s="44"/>
      <c r="FZ348" s="43"/>
      <c r="GA348" s="43"/>
      <c r="GB348" s="43"/>
      <c r="GC348" s="43"/>
      <c r="GD348" s="43"/>
      <c r="GE348" s="43"/>
      <c r="GF348" s="43"/>
      <c r="GG348" s="43"/>
      <c r="GH348" s="43"/>
      <c r="GI348" s="43"/>
      <c r="GJ348" s="43"/>
      <c r="GK348" s="43"/>
      <c r="GL348" s="43"/>
      <c r="GM348" s="43"/>
      <c r="GN348" s="43"/>
      <c r="GO348" s="43"/>
      <c r="GP348" s="43"/>
      <c r="GQ348" s="43"/>
      <c r="GR348" s="43"/>
      <c r="GS348" s="43"/>
      <c r="GT348" s="43"/>
      <c r="GU348" s="43"/>
      <c r="GV348" s="43"/>
      <c r="GW348" s="43"/>
      <c r="GX348" s="43"/>
      <c r="GY348" s="43"/>
      <c r="GZ348" s="43"/>
      <c r="HA348" s="43"/>
      <c r="HB348" s="43"/>
      <c r="HC348" s="43"/>
      <c r="HD348" s="43"/>
    </row>
    <row r="349" spans="1:212" x14ac:dyDescent="0.2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FY349" s="44"/>
      <c r="FZ349" s="43"/>
      <c r="GA349" s="43"/>
      <c r="GB349" s="43"/>
      <c r="GC349" s="43"/>
      <c r="GD349" s="43"/>
      <c r="GE349" s="43"/>
      <c r="GF349" s="43"/>
      <c r="GG349" s="43"/>
      <c r="GH349" s="43"/>
      <c r="GI349" s="43"/>
      <c r="GJ349" s="43"/>
      <c r="GK349" s="43"/>
      <c r="GL349" s="43"/>
      <c r="GM349" s="43"/>
      <c r="GN349" s="43"/>
      <c r="GO349" s="43"/>
      <c r="GP349" s="43"/>
      <c r="GQ349" s="43"/>
      <c r="GR349" s="43"/>
      <c r="GS349" s="43"/>
      <c r="GT349" s="43"/>
      <c r="GU349" s="43"/>
      <c r="GV349" s="43"/>
      <c r="GW349" s="43"/>
      <c r="GX349" s="43"/>
      <c r="GY349" s="43"/>
      <c r="GZ349" s="43"/>
      <c r="HA349" s="43"/>
      <c r="HB349" s="43"/>
      <c r="HC349" s="43"/>
      <c r="HD349" s="43"/>
    </row>
    <row r="350" spans="1:212" x14ac:dyDescent="0.2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FY350" s="44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GZ350" s="43"/>
      <c r="HA350" s="43"/>
      <c r="HB350" s="43"/>
      <c r="HC350" s="43"/>
      <c r="HD350" s="43"/>
    </row>
    <row r="351" spans="1:212" x14ac:dyDescent="0.2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FY351" s="44"/>
      <c r="FZ351" s="43"/>
      <c r="GA351" s="43"/>
      <c r="GB351" s="43"/>
      <c r="GC351" s="43"/>
      <c r="GD351" s="43"/>
      <c r="GE351" s="43"/>
      <c r="GF351" s="43"/>
      <c r="GG351" s="43"/>
      <c r="GH351" s="43"/>
      <c r="GI351" s="43"/>
      <c r="GJ351" s="43"/>
      <c r="GK351" s="43"/>
      <c r="GL351" s="43"/>
      <c r="GM351" s="43"/>
      <c r="GN351" s="43"/>
      <c r="GO351" s="43"/>
      <c r="GP351" s="43"/>
      <c r="GQ351" s="43"/>
      <c r="GR351" s="43"/>
      <c r="GS351" s="43"/>
      <c r="GT351" s="43"/>
      <c r="GU351" s="43"/>
      <c r="GV351" s="43"/>
      <c r="GW351" s="43"/>
      <c r="GX351" s="43"/>
      <c r="GY351" s="43"/>
      <c r="GZ351" s="43"/>
      <c r="HA351" s="43"/>
      <c r="HB351" s="43"/>
      <c r="HC351" s="43"/>
      <c r="HD351" s="43"/>
    </row>
    <row r="352" spans="1:212" x14ac:dyDescent="0.2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FY352" s="44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GZ352" s="43"/>
      <c r="HA352" s="43"/>
      <c r="HB352" s="43"/>
      <c r="HC352" s="43"/>
      <c r="HD352" s="43"/>
    </row>
    <row r="353" spans="1:212" x14ac:dyDescent="0.2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FY353" s="44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GZ353" s="43"/>
      <c r="HA353" s="43"/>
      <c r="HB353" s="43"/>
      <c r="HC353" s="43"/>
      <c r="HD353" s="43"/>
    </row>
    <row r="354" spans="1:212" x14ac:dyDescent="0.2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  <c r="BX354" s="41"/>
      <c r="BY354" s="41"/>
      <c r="BZ354" s="41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  <c r="DS354" s="41"/>
      <c r="FY354" s="44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</row>
    <row r="355" spans="1:212" x14ac:dyDescent="0.2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  <c r="DS355" s="41"/>
      <c r="FY355" s="44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GZ355" s="43"/>
      <c r="HA355" s="43"/>
      <c r="HB355" s="43"/>
      <c r="HC355" s="43"/>
      <c r="HD355" s="43"/>
    </row>
    <row r="356" spans="1:212" x14ac:dyDescent="0.2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  <c r="DS356" s="41"/>
      <c r="FY356" s="44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GZ356" s="43"/>
      <c r="HA356" s="43"/>
      <c r="HB356" s="43"/>
      <c r="HC356" s="43"/>
      <c r="HD356" s="43"/>
    </row>
    <row r="357" spans="1:212" x14ac:dyDescent="0.2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  <c r="BX357" s="41"/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  <c r="DS357" s="41"/>
      <c r="FY357" s="44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GZ357" s="43"/>
      <c r="HA357" s="43"/>
      <c r="HB357" s="43"/>
      <c r="HC357" s="43"/>
      <c r="HD357" s="43"/>
    </row>
    <row r="358" spans="1:212" x14ac:dyDescent="0.2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  <c r="DS358" s="41"/>
      <c r="FY358" s="44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GZ358" s="43"/>
      <c r="HA358" s="43"/>
      <c r="HB358" s="43"/>
      <c r="HC358" s="43"/>
      <c r="HD358" s="43"/>
    </row>
    <row r="359" spans="1:212" x14ac:dyDescent="0.2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  <c r="DS359" s="41"/>
      <c r="FY359" s="44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GZ359" s="43"/>
      <c r="HA359" s="43"/>
      <c r="HB359" s="43"/>
      <c r="HC359" s="43"/>
      <c r="HD359" s="43"/>
    </row>
    <row r="360" spans="1:212" x14ac:dyDescent="0.2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  <c r="DS360" s="41"/>
      <c r="FY360" s="44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GZ360" s="43"/>
      <c r="HA360" s="43"/>
      <c r="HB360" s="43"/>
      <c r="HC360" s="43"/>
      <c r="HD360" s="43"/>
    </row>
    <row r="361" spans="1:212" x14ac:dyDescent="0.2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  <c r="BX361" s="41"/>
      <c r="BY361" s="41"/>
      <c r="BZ361" s="41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  <c r="DS361" s="41"/>
      <c r="FY361" s="44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GZ361" s="43"/>
      <c r="HA361" s="43"/>
      <c r="HB361" s="43"/>
      <c r="HC361" s="43"/>
      <c r="HD361" s="43"/>
    </row>
    <row r="362" spans="1:212" x14ac:dyDescent="0.2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  <c r="BX362" s="41"/>
      <c r="BY362" s="41"/>
      <c r="BZ362" s="41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/>
      <c r="CL362" s="41"/>
      <c r="CM362" s="41"/>
      <c r="CN362" s="41"/>
      <c r="CO362" s="41"/>
      <c r="CP362" s="41"/>
      <c r="CQ362" s="4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  <c r="DH362" s="41"/>
      <c r="DI362" s="41"/>
      <c r="DJ362" s="41"/>
      <c r="DK362" s="41"/>
      <c r="DL362" s="41"/>
      <c r="DM362" s="41"/>
      <c r="DN362" s="41"/>
      <c r="DO362" s="41"/>
      <c r="DP362" s="41"/>
      <c r="DQ362" s="41"/>
      <c r="DR362" s="41"/>
      <c r="DS362" s="41"/>
      <c r="FY362" s="44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</row>
    <row r="363" spans="1:212" x14ac:dyDescent="0.2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  <c r="BX363" s="41"/>
      <c r="BY363" s="41"/>
      <c r="BZ363" s="41"/>
      <c r="CA363" s="41"/>
      <c r="CB363" s="41"/>
      <c r="CC363" s="41"/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FY363" s="44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</row>
    <row r="364" spans="1:212" x14ac:dyDescent="0.2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  <c r="BX364" s="41"/>
      <c r="BY364" s="41"/>
      <c r="BZ364" s="41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/>
      <c r="DH364" s="41"/>
      <c r="DI364" s="41"/>
      <c r="DJ364" s="41"/>
      <c r="DK364" s="41"/>
      <c r="DL364" s="41"/>
      <c r="DM364" s="41"/>
      <c r="DN364" s="41"/>
      <c r="DO364" s="41"/>
      <c r="DP364" s="41"/>
      <c r="DQ364" s="41"/>
      <c r="DR364" s="41"/>
      <c r="DS364" s="41"/>
      <c r="FY364" s="44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GZ364" s="43"/>
      <c r="HA364" s="43"/>
      <c r="HB364" s="43"/>
      <c r="HC364" s="43"/>
      <c r="HD364" s="43"/>
    </row>
    <row r="365" spans="1:212" x14ac:dyDescent="0.2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  <c r="BX365" s="41"/>
      <c r="BY365" s="41"/>
      <c r="BZ365" s="41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  <c r="DS365" s="41"/>
      <c r="FY365" s="44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GZ365" s="43"/>
      <c r="HA365" s="43"/>
      <c r="HB365" s="43"/>
      <c r="HC365" s="43"/>
      <c r="HD365" s="43"/>
    </row>
    <row r="366" spans="1:212" x14ac:dyDescent="0.2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  <c r="BV366" s="41"/>
      <c r="BW366" s="41"/>
      <c r="BX366" s="41"/>
      <c r="BY366" s="41"/>
      <c r="BZ366" s="41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41"/>
      <c r="DC366" s="41"/>
      <c r="DD366" s="41"/>
      <c r="DE366" s="41"/>
      <c r="DF366" s="41"/>
      <c r="DG366" s="41"/>
      <c r="DH366" s="41"/>
      <c r="DI366" s="41"/>
      <c r="DJ366" s="41"/>
      <c r="DK366" s="41"/>
      <c r="DL366" s="41"/>
      <c r="DM366" s="41"/>
      <c r="DN366" s="41"/>
      <c r="DO366" s="41"/>
      <c r="DP366" s="41"/>
      <c r="DQ366" s="41"/>
      <c r="DR366" s="41"/>
      <c r="DS366" s="41"/>
      <c r="FY366" s="44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GZ366" s="43"/>
      <c r="HA366" s="43"/>
      <c r="HB366" s="43"/>
      <c r="HC366" s="43"/>
      <c r="HD366" s="43"/>
    </row>
    <row r="367" spans="1:212" x14ac:dyDescent="0.2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FY367" s="44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GZ367" s="43"/>
      <c r="HA367" s="43"/>
      <c r="HB367" s="43"/>
      <c r="HC367" s="43"/>
      <c r="HD367" s="43"/>
    </row>
    <row r="368" spans="1:212" x14ac:dyDescent="0.2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FY368" s="44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GZ368" s="43"/>
      <c r="HA368" s="43"/>
      <c r="HB368" s="43"/>
      <c r="HC368" s="43"/>
      <c r="HD368" s="43"/>
    </row>
    <row r="369" spans="1:212" x14ac:dyDescent="0.2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  <c r="BX369" s="41"/>
      <c r="BY369" s="41"/>
      <c r="BZ369" s="41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41"/>
      <c r="DC369" s="41"/>
      <c r="DD369" s="41"/>
      <c r="DE369" s="41"/>
      <c r="DF369" s="41"/>
      <c r="DG369" s="41"/>
      <c r="DH369" s="41"/>
      <c r="DI369" s="41"/>
      <c r="DJ369" s="41"/>
      <c r="DK369" s="41"/>
      <c r="DL369" s="41"/>
      <c r="DM369" s="41"/>
      <c r="DN369" s="41"/>
      <c r="DO369" s="41"/>
      <c r="DP369" s="41"/>
      <c r="DQ369" s="41"/>
      <c r="DR369" s="41"/>
      <c r="DS369" s="41"/>
      <c r="FY369" s="44"/>
      <c r="FZ369" s="43"/>
      <c r="GA369" s="43"/>
      <c r="GB369" s="43"/>
      <c r="GC369" s="43"/>
      <c r="GD369" s="43"/>
      <c r="GE369" s="43"/>
      <c r="GF369" s="43"/>
      <c r="GG369" s="43"/>
      <c r="GH369" s="43"/>
      <c r="GI369" s="43"/>
      <c r="GJ369" s="43"/>
      <c r="GK369" s="43"/>
      <c r="GL369" s="43"/>
      <c r="GM369" s="43"/>
      <c r="GN369" s="43"/>
      <c r="GO369" s="43"/>
      <c r="GP369" s="43"/>
      <c r="GQ369" s="43"/>
      <c r="GR369" s="43"/>
      <c r="GS369" s="43"/>
      <c r="GT369" s="43"/>
      <c r="GU369" s="43"/>
      <c r="GV369" s="43"/>
      <c r="GW369" s="43"/>
      <c r="GX369" s="43"/>
      <c r="GY369" s="43"/>
      <c r="GZ369" s="43"/>
      <c r="HA369" s="43"/>
      <c r="HB369" s="43"/>
      <c r="HC369" s="43"/>
      <c r="HD369" s="43"/>
    </row>
    <row r="370" spans="1:212" x14ac:dyDescent="0.2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  <c r="BX370" s="41"/>
      <c r="BY370" s="41"/>
      <c r="BZ370" s="41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41"/>
      <c r="DC370" s="41"/>
      <c r="DD370" s="41"/>
      <c r="DE370" s="41"/>
      <c r="DF370" s="41"/>
      <c r="DG370" s="41"/>
      <c r="DH370" s="41"/>
      <c r="DI370" s="41"/>
      <c r="DJ370" s="41"/>
      <c r="DK370" s="41"/>
      <c r="DL370" s="41"/>
      <c r="DM370" s="41"/>
      <c r="DN370" s="41"/>
      <c r="DO370" s="41"/>
      <c r="DP370" s="41"/>
      <c r="DQ370" s="41"/>
      <c r="DR370" s="41"/>
      <c r="DS370" s="41"/>
      <c r="FY370" s="44"/>
      <c r="FZ370" s="43"/>
      <c r="GA370" s="43"/>
      <c r="GB370" s="43"/>
      <c r="GC370" s="43"/>
      <c r="GD370" s="43"/>
      <c r="GE370" s="43"/>
      <c r="GF370" s="43"/>
      <c r="GG370" s="43"/>
      <c r="GH370" s="43"/>
      <c r="GI370" s="43"/>
      <c r="GJ370" s="43"/>
      <c r="GK370" s="43"/>
      <c r="GL370" s="43"/>
      <c r="GM370" s="43"/>
      <c r="GN370" s="43"/>
      <c r="GO370" s="43"/>
      <c r="GP370" s="43"/>
      <c r="GQ370" s="43"/>
      <c r="GR370" s="43"/>
      <c r="GS370" s="43"/>
      <c r="GT370" s="43"/>
      <c r="GU370" s="43"/>
      <c r="GV370" s="43"/>
      <c r="GW370" s="43"/>
      <c r="GX370" s="43"/>
      <c r="GY370" s="43"/>
      <c r="GZ370" s="43"/>
      <c r="HA370" s="43"/>
      <c r="HB370" s="43"/>
      <c r="HC370" s="43"/>
      <c r="HD370" s="43"/>
    </row>
    <row r="371" spans="1:212" x14ac:dyDescent="0.2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/>
      <c r="BT371" s="41"/>
      <c r="BU371" s="41"/>
      <c r="BV371" s="41"/>
      <c r="BW371" s="41"/>
      <c r="BX371" s="41"/>
      <c r="BY371" s="41"/>
      <c r="BZ371" s="41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41"/>
      <c r="DC371" s="41"/>
      <c r="DD371" s="41"/>
      <c r="DE371" s="41"/>
      <c r="DF371" s="41"/>
      <c r="DG371" s="41"/>
      <c r="DH371" s="41"/>
      <c r="DI371" s="41"/>
      <c r="DJ371" s="41"/>
      <c r="DK371" s="41"/>
      <c r="DL371" s="41"/>
      <c r="DM371" s="41"/>
      <c r="DN371" s="41"/>
      <c r="DO371" s="41"/>
      <c r="DP371" s="41"/>
      <c r="DQ371" s="41"/>
      <c r="DR371" s="41"/>
      <c r="DS371" s="41"/>
      <c r="FY371" s="44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GZ371" s="43"/>
      <c r="HA371" s="43"/>
      <c r="HB371" s="43"/>
      <c r="HC371" s="43"/>
      <c r="HD371" s="43"/>
    </row>
    <row r="372" spans="1:212" x14ac:dyDescent="0.2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  <c r="BX372" s="41"/>
      <c r="BY372" s="41"/>
      <c r="BZ372" s="41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41"/>
      <c r="DC372" s="41"/>
      <c r="DD372" s="41"/>
      <c r="DE372" s="41"/>
      <c r="DF372" s="41"/>
      <c r="DG372" s="41"/>
      <c r="DH372" s="41"/>
      <c r="DI372" s="41"/>
      <c r="DJ372" s="41"/>
      <c r="DK372" s="41"/>
      <c r="DL372" s="41"/>
      <c r="DM372" s="41"/>
      <c r="DN372" s="41"/>
      <c r="DO372" s="41"/>
      <c r="DP372" s="41"/>
      <c r="DQ372" s="41"/>
      <c r="DR372" s="41"/>
      <c r="DS372" s="41"/>
      <c r="FY372" s="44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GZ372" s="43"/>
      <c r="HA372" s="43"/>
      <c r="HB372" s="43"/>
      <c r="HC372" s="43"/>
      <c r="HD372" s="43"/>
    </row>
    <row r="373" spans="1:212" x14ac:dyDescent="0.25"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GZ373" s="43"/>
      <c r="HA373" s="43"/>
      <c r="HB373" s="43"/>
      <c r="HC373" s="43"/>
      <c r="HD373" s="43"/>
    </row>
    <row r="374" spans="1:212" x14ac:dyDescent="0.25"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GZ374" s="43"/>
      <c r="HA374" s="43"/>
      <c r="HB374" s="43"/>
      <c r="HC374" s="43"/>
      <c r="HD374" s="43"/>
    </row>
    <row r="375" spans="1:212" x14ac:dyDescent="0.25"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GZ375" s="43"/>
      <c r="HA375" s="43"/>
      <c r="HB375" s="43"/>
      <c r="HC375" s="43"/>
      <c r="HD375" s="43"/>
    </row>
    <row r="376" spans="1:212" x14ac:dyDescent="0.25"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GZ376" s="43"/>
      <c r="HA376" s="43"/>
      <c r="HB376" s="43"/>
      <c r="HC376" s="43"/>
      <c r="HD376" s="43"/>
    </row>
    <row r="377" spans="1:212" x14ac:dyDescent="0.25"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GZ377" s="43"/>
      <c r="HA377" s="43"/>
      <c r="HB377" s="43"/>
      <c r="HC377" s="43"/>
      <c r="HD377" s="43"/>
    </row>
    <row r="378" spans="1:212" x14ac:dyDescent="0.25"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GZ378" s="43"/>
      <c r="HA378" s="43"/>
      <c r="HB378" s="43"/>
      <c r="HC378" s="43"/>
      <c r="HD378" s="43"/>
    </row>
    <row r="379" spans="1:212" x14ac:dyDescent="0.25"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GZ379" s="43"/>
      <c r="HA379" s="43"/>
      <c r="HB379" s="43"/>
      <c r="HC379" s="43"/>
      <c r="HD379" s="43"/>
    </row>
    <row r="380" spans="1:212" x14ac:dyDescent="0.25"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GZ380" s="43"/>
      <c r="HA380" s="43"/>
      <c r="HB380" s="43"/>
      <c r="HC380" s="43"/>
      <c r="HD380" s="43"/>
    </row>
    <row r="381" spans="1:212" x14ac:dyDescent="0.25"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GZ381" s="43"/>
      <c r="HA381" s="43"/>
      <c r="HB381" s="43"/>
      <c r="HC381" s="43"/>
      <c r="HD381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Cash flow</vt:lpstr>
      <vt:lpstr>Prospetti Dettaglo -&gt;</vt:lpstr>
      <vt:lpstr>CIRCOLANTE</vt:lpstr>
      <vt:lpstr>IMMOBILIZZAZIONI</vt:lpstr>
      <vt:lpstr>Gestione Fin Lungo termine</vt:lpstr>
      <vt:lpstr>Gestione fin cap netto</vt:lpstr>
      <vt:lpstr>Gestione fin residuale</vt:lpstr>
      <vt:lpstr>Sheet4</vt:lpstr>
      <vt:lpstr>fin</vt:lpstr>
      <vt:lpstr>A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gianluca.imperiale</dc:creator>
  <cp:lastModifiedBy>Imperiale, Gianluca</cp:lastModifiedBy>
  <dcterms:created xsi:type="dcterms:W3CDTF">2012-12-05T12:32:32Z</dcterms:created>
  <dcterms:modified xsi:type="dcterms:W3CDTF">2012-12-31T10:40:14Z</dcterms:modified>
</cp:coreProperties>
</file>