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0835" windowHeight="7965" activeTab="1"/>
  </bookViews>
  <sheets>
    <sheet name="CIRCOLANTE" sheetId="1" r:id="rId1"/>
    <sheet name="IMMOBILIZZAZIONI" sheetId="3" r:id="rId2"/>
    <sheet name="A" sheetId="2" r:id="rId3"/>
  </sheets>
  <calcPr calcId="145621"/>
</workbook>
</file>

<file path=xl/calcChain.xml><?xml version="1.0" encoding="utf-8"?>
<calcChain xmlns="http://schemas.openxmlformats.org/spreadsheetml/2006/main">
  <c r="M7" i="3" l="1"/>
  <c r="L7" i="3"/>
  <c r="C20" i="3"/>
  <c r="C9" i="3"/>
  <c r="E20" i="3"/>
  <c r="D20" i="3"/>
  <c r="E22" i="3"/>
  <c r="E11" i="3"/>
  <c r="D22" i="3"/>
  <c r="E21" i="3"/>
  <c r="D21" i="3"/>
  <c r="E9" i="3"/>
  <c r="D9" i="3"/>
  <c r="D10" i="3"/>
  <c r="D11" i="3"/>
  <c r="E10" i="3" l="1"/>
  <c r="L13" i="1"/>
  <c r="D8" i="2" l="1"/>
  <c r="C8" i="2"/>
  <c r="D9" i="2"/>
  <c r="C9" i="2"/>
  <c r="D14" i="2"/>
  <c r="C14" i="2"/>
  <c r="D13" i="2"/>
  <c r="C13" i="2"/>
  <c r="D18" i="1" l="1"/>
  <c r="D14" i="1" s="1"/>
  <c r="D8" i="1"/>
  <c r="E8" i="1" s="1"/>
  <c r="E14" i="1" l="1"/>
  <c r="E18" i="1"/>
  <c r="D15" i="2"/>
  <c r="C15" i="2"/>
  <c r="I11" i="3"/>
  <c r="I10" i="3"/>
  <c r="H11" i="3"/>
  <c r="H10" i="3"/>
  <c r="AN95" i="3"/>
  <c r="AP95" i="3" s="1"/>
  <c r="AP94" i="3"/>
  <c r="AN89" i="3"/>
  <c r="AP89" i="3" s="1"/>
  <c r="AP88" i="3"/>
  <c r="AN83" i="3"/>
  <c r="AN84" i="3" s="1"/>
  <c r="AN85" i="3" s="1"/>
  <c r="AP82" i="3"/>
  <c r="AN77" i="3"/>
  <c r="AP77" i="3" s="1"/>
  <c r="AP76" i="3"/>
  <c r="AN71" i="3"/>
  <c r="AN72" i="3" s="1"/>
  <c r="AN73" i="3" s="1"/>
  <c r="AP70" i="3"/>
  <c r="AN67" i="3"/>
  <c r="AP66" i="3"/>
  <c r="AN61" i="3"/>
  <c r="AP61" i="3" s="1"/>
  <c r="AP60" i="3"/>
  <c r="AN55" i="3"/>
  <c r="AN56" i="3" s="1"/>
  <c r="AN57" i="3" s="1"/>
  <c r="AP54" i="3"/>
  <c r="AN49" i="3"/>
  <c r="C18" i="2" l="1"/>
  <c r="D15" i="3" s="1"/>
  <c r="C17" i="2"/>
  <c r="D7" i="3" s="1"/>
  <c r="D18" i="2"/>
  <c r="D17" i="2"/>
  <c r="AN62" i="3"/>
  <c r="AN63" i="3" s="1"/>
  <c r="AP63" i="3" s="1"/>
  <c r="AN96" i="3"/>
  <c r="AP96" i="3" s="1"/>
  <c r="AN97" i="3"/>
  <c r="AN90" i="3"/>
  <c r="AN91" i="3" s="1"/>
  <c r="AP91" i="3" s="1"/>
  <c r="AP83" i="3"/>
  <c r="AN86" i="3"/>
  <c r="AP85" i="3"/>
  <c r="AP84" i="3"/>
  <c r="AN78" i="3"/>
  <c r="AP78" i="3" s="1"/>
  <c r="AP71" i="3"/>
  <c r="AP73" i="3"/>
  <c r="AN74" i="3"/>
  <c r="AP72" i="3"/>
  <c r="AP67" i="3"/>
  <c r="AN68" i="3"/>
  <c r="AP62" i="3"/>
  <c r="AP55" i="3"/>
  <c r="AP57" i="3"/>
  <c r="AN58" i="3"/>
  <c r="AP56" i="3"/>
  <c r="H5" i="3"/>
  <c r="I12" i="3"/>
  <c r="H12" i="3"/>
  <c r="AN27" i="3"/>
  <c r="AN26" i="3"/>
  <c r="AP31" i="3"/>
  <c r="AP32" i="3"/>
  <c r="AP33" i="3"/>
  <c r="AP34" i="3"/>
  <c r="AP35" i="3"/>
  <c r="AP36" i="3"/>
  <c r="AP42" i="3"/>
  <c r="AP48" i="3"/>
  <c r="AP30" i="3"/>
  <c r="AN50" i="3"/>
  <c r="AN43" i="3"/>
  <c r="AN44" i="3" s="1"/>
  <c r="AN45" i="3" s="1"/>
  <c r="AN46" i="3" s="1"/>
  <c r="AN47" i="3" s="1"/>
  <c r="AP47" i="3" s="1"/>
  <c r="AN37" i="3"/>
  <c r="AP37" i="3" s="1"/>
  <c r="C29" i="3"/>
  <c r="C27" i="3"/>
  <c r="C14" i="3"/>
  <c r="E15" i="3" l="1"/>
  <c r="L15" i="3"/>
  <c r="E7" i="3"/>
  <c r="D6" i="3"/>
  <c r="AN64" i="3"/>
  <c r="AP64" i="3" s="1"/>
  <c r="AN92" i="3"/>
  <c r="AP50" i="3"/>
  <c r="AN51" i="3"/>
  <c r="D18" i="3"/>
  <c r="L5" i="3" s="1"/>
  <c r="AP97" i="3"/>
  <c r="AN98" i="3"/>
  <c r="AP90" i="3"/>
  <c r="AP92" i="3"/>
  <c r="AN93" i="3"/>
  <c r="AP93" i="3" s="1"/>
  <c r="AN87" i="3"/>
  <c r="AP87" i="3" s="1"/>
  <c r="AP86" i="3"/>
  <c r="AN79" i="3"/>
  <c r="AP79" i="3" s="1"/>
  <c r="AN75" i="3"/>
  <c r="AP75" i="3" s="1"/>
  <c r="AP74" i="3"/>
  <c r="AN69" i="3"/>
  <c r="AP69" i="3" s="1"/>
  <c r="AP68" i="3"/>
  <c r="AN65" i="3"/>
  <c r="AP65" i="3" s="1"/>
  <c r="AN59" i="3"/>
  <c r="AP58" i="3"/>
  <c r="I5" i="3"/>
  <c r="H6" i="3"/>
  <c r="H15" i="3" s="1"/>
  <c r="H25" i="3" s="1"/>
  <c r="D25" i="3" s="1"/>
  <c r="E24" i="3" s="1"/>
  <c r="AP45" i="3"/>
  <c r="AP46" i="3"/>
  <c r="AP43" i="3"/>
  <c r="AN38" i="3"/>
  <c r="AP49" i="3"/>
  <c r="AP44" i="3"/>
  <c r="C25" i="1"/>
  <c r="D7" i="1"/>
  <c r="E7" i="1" s="1"/>
  <c r="D17" i="1"/>
  <c r="E17" i="1" s="1"/>
  <c r="D16" i="1"/>
  <c r="E16" i="1" s="1"/>
  <c r="D15" i="1"/>
  <c r="M15" i="3" l="1"/>
  <c r="E6" i="3"/>
  <c r="AN52" i="3"/>
  <c r="AP51" i="3"/>
  <c r="I6" i="3"/>
  <c r="I15" i="3" s="1"/>
  <c r="I25" i="3" s="1"/>
  <c r="E25" i="3" s="1"/>
  <c r="D16" i="3"/>
  <c r="L27" i="3" s="1"/>
  <c r="AP98" i="3"/>
  <c r="AN99" i="3"/>
  <c r="AP99" i="3" s="1"/>
  <c r="AN80" i="3"/>
  <c r="AP80" i="3" s="1"/>
  <c r="AP59" i="3"/>
  <c r="AN39" i="3"/>
  <c r="AP38" i="3"/>
  <c r="D14" i="3"/>
  <c r="E15" i="1"/>
  <c r="D5" i="2"/>
  <c r="C5" i="2"/>
  <c r="D4" i="2"/>
  <c r="C4" i="2"/>
  <c r="AP52" i="3" l="1"/>
  <c r="AN53" i="3"/>
  <c r="AP53" i="3" s="1"/>
  <c r="AN81" i="3"/>
  <c r="AP81" i="3" s="1"/>
  <c r="AN40" i="3"/>
  <c r="AN41" i="3" s="1"/>
  <c r="AP41" i="3" s="1"/>
  <c r="AP39" i="3"/>
  <c r="E14" i="3"/>
  <c r="C6" i="2"/>
  <c r="D6" i="2"/>
  <c r="E10" i="1"/>
  <c r="D10" i="1"/>
  <c r="I11" i="1"/>
  <c r="M11" i="1" s="1"/>
  <c r="H11" i="1"/>
  <c r="L11" i="1" s="1"/>
  <c r="I10" i="1"/>
  <c r="M10" i="1" s="1"/>
  <c r="H10" i="1"/>
  <c r="L10" i="1" s="1"/>
  <c r="D6" i="1" l="1"/>
  <c r="D25" i="1" s="1"/>
  <c r="AP40" i="3"/>
  <c r="I6" i="1"/>
  <c r="H6" i="1"/>
  <c r="H13" i="1"/>
  <c r="I13" i="1"/>
  <c r="I5" i="1"/>
  <c r="H5" i="1"/>
  <c r="C12" i="1"/>
  <c r="C23" i="1"/>
  <c r="I4" i="1"/>
  <c r="H4" i="1"/>
  <c r="E6" i="1" l="1"/>
  <c r="E18" i="3"/>
  <c r="AK16" i="3"/>
  <c r="H7" i="1"/>
  <c r="H21" i="1" s="1"/>
  <c r="D21" i="1" s="1"/>
  <c r="I7" i="1"/>
  <c r="I21" i="1" s="1"/>
  <c r="E21" i="1" s="1"/>
  <c r="L23" i="1"/>
  <c r="L5" i="1"/>
  <c r="M5" i="1"/>
  <c r="L4" i="1"/>
  <c r="D12" i="1"/>
  <c r="E16" i="3" l="1"/>
  <c r="M27" i="3" s="1"/>
  <c r="M5" i="3"/>
  <c r="M13" i="1"/>
  <c r="L25" i="3"/>
  <c r="E25" i="1"/>
  <c r="D23" i="1"/>
  <c r="E20" i="1"/>
  <c r="E23" i="1" s="1"/>
  <c r="M23" i="1"/>
  <c r="L21" i="1"/>
  <c r="M4" i="1"/>
  <c r="E29" i="3" l="1"/>
  <c r="M21" i="1"/>
  <c r="M25" i="3"/>
  <c r="E27" i="3"/>
  <c r="D27" i="3"/>
  <c r="D29" i="3"/>
  <c r="E12" i="1"/>
</calcChain>
</file>

<file path=xl/sharedStrings.xml><?xml version="1.0" encoding="utf-8"?>
<sst xmlns="http://schemas.openxmlformats.org/spreadsheetml/2006/main" count="187" uniqueCount="111">
  <si>
    <t>Vendite</t>
  </si>
  <si>
    <t>Crediti Commerciali</t>
  </si>
  <si>
    <t>Erario c/Iva</t>
  </si>
  <si>
    <t>ATTIVO</t>
  </si>
  <si>
    <t>Cassa / cc Banca</t>
  </si>
  <si>
    <t>Totale Attivo</t>
  </si>
  <si>
    <t>cc Banca</t>
  </si>
  <si>
    <t>1° operazione</t>
  </si>
  <si>
    <t>Iva</t>
  </si>
  <si>
    <t>giorni dilazione</t>
  </si>
  <si>
    <t>Utile</t>
  </si>
  <si>
    <t>Utile a nuovo</t>
  </si>
  <si>
    <t>Cash Flow</t>
  </si>
  <si>
    <t>Totale Passivo</t>
  </si>
  <si>
    <t>2° operazione</t>
  </si>
  <si>
    <t>Acquisti Mp</t>
  </si>
  <si>
    <t>Entrate Vendite</t>
  </si>
  <si>
    <t>Acquisti</t>
  </si>
  <si>
    <t>Margine Contribuzione</t>
  </si>
  <si>
    <t>Uscite Acquisti</t>
  </si>
  <si>
    <t>3° operazione</t>
  </si>
  <si>
    <t>Costi variabili</t>
  </si>
  <si>
    <t>4° operazione</t>
  </si>
  <si>
    <t>Costi Fissi</t>
  </si>
  <si>
    <t>Debiti verso Fornitori acquisti</t>
  </si>
  <si>
    <t>Debiti verso Fornitori costi var</t>
  </si>
  <si>
    <t>Debiti verso Fornitori costifissi</t>
  </si>
  <si>
    <t>Costi Variabili</t>
  </si>
  <si>
    <t>Uscite Costi Variabili</t>
  </si>
  <si>
    <t>Uscite Costi fissi</t>
  </si>
  <si>
    <t>Totale Costi</t>
  </si>
  <si>
    <t>5° Operazione</t>
  </si>
  <si>
    <t>Magazzino</t>
  </si>
  <si>
    <t>Stato Patrimoniale</t>
  </si>
  <si>
    <t>Conto Economico</t>
  </si>
  <si>
    <t>giorni giacenza</t>
  </si>
  <si>
    <t>Magazzino merci</t>
  </si>
  <si>
    <t>Fatturato</t>
  </si>
  <si>
    <t>Variazione Rimanenze</t>
  </si>
  <si>
    <t xml:space="preserve">6° Operazione </t>
  </si>
  <si>
    <t>Aliquota iva vendite</t>
  </si>
  <si>
    <t>Aliquota iva Acquisti</t>
  </si>
  <si>
    <t>Aliquota iva Costi Variabili</t>
  </si>
  <si>
    <t>Controllo</t>
  </si>
  <si>
    <t>A</t>
  </si>
  <si>
    <t>A1</t>
  </si>
  <si>
    <t>A2</t>
  </si>
  <si>
    <t>ANNO 1</t>
  </si>
  <si>
    <t>ANNO 2</t>
  </si>
  <si>
    <t>Cash Flow circolante</t>
  </si>
  <si>
    <t>Debito Iva</t>
  </si>
  <si>
    <t>Aliquota iva Costi Fissi</t>
  </si>
  <si>
    <t>Erario Iva</t>
  </si>
  <si>
    <t>Credito Iva</t>
  </si>
  <si>
    <t>+/- Variazione Iva</t>
  </si>
  <si>
    <t>Netto Banca</t>
  </si>
  <si>
    <t>DATI INPUT</t>
  </si>
  <si>
    <t>ACQUISTO CESPITE</t>
  </si>
  <si>
    <t>Acquisto</t>
  </si>
  <si>
    <t>Debiti verso Forn Imm.ni</t>
  </si>
  <si>
    <t>Uscite Cespiti</t>
  </si>
  <si>
    <t>Entrate Vendite Cespiti</t>
  </si>
  <si>
    <t>mese acquisto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</si>
  <si>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</si>
  <si>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</si>
  <si>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</si>
  <si>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</si>
  <si>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</si>
  <si>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</si>
  <si>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</si>
  <si>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</si>
  <si>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</si>
  <si>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</si>
  <si>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</si>
  <si>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</si>
  <si>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mese</t>
  </si>
  <si>
    <t>giorni</t>
  </si>
  <si>
    <t>moltiplicatore</t>
  </si>
  <si>
    <t>codifica</t>
  </si>
  <si>
    <t>anno 1</t>
  </si>
  <si>
    <t>anno 2</t>
  </si>
  <si>
    <t>2° ammortamento cespite</t>
  </si>
  <si>
    <t>Aliquota ammortamento</t>
  </si>
  <si>
    <t>F.do Ammortamento</t>
  </si>
  <si>
    <t>Ammortamento</t>
  </si>
  <si>
    <t>Plusvalenza</t>
  </si>
  <si>
    <t>Minusvalenza</t>
  </si>
  <si>
    <t>Gestione straordinaria</t>
  </si>
  <si>
    <t>Vendita</t>
  </si>
  <si>
    <t xml:space="preserve">3° operazione vendita cespite </t>
  </si>
  <si>
    <t>Costo Storico</t>
  </si>
  <si>
    <t>F.do ammortamento</t>
  </si>
  <si>
    <t>AGOSTO</t>
  </si>
  <si>
    <t>LUGLIO</t>
  </si>
  <si>
    <t>GIUGNO</t>
  </si>
  <si>
    <t>MAGGIO</t>
  </si>
  <si>
    <t>APRILE</t>
  </si>
  <si>
    <t>MARZO</t>
  </si>
  <si>
    <t>FEBBRAIO</t>
  </si>
  <si>
    <t>GENNAIO</t>
  </si>
  <si>
    <t>6° Operazione RETTIFICA Iva</t>
  </si>
  <si>
    <t>Aliquota iva vendita cespite</t>
  </si>
  <si>
    <t>Aliquota iva Acquisto cespite</t>
  </si>
  <si>
    <t>Erario C/Iva</t>
  </si>
  <si>
    <t>Debito</t>
  </si>
  <si>
    <t>Cash Flow imm.ni</t>
  </si>
  <si>
    <t xml:space="preserve">Immobilizzazioni </t>
  </si>
  <si>
    <t>Immobilizzazioni:</t>
  </si>
  <si>
    <t>Immobilizzazione dismesse</t>
  </si>
  <si>
    <t>Fondo</t>
  </si>
  <si>
    <t>Dismissione Fonfo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</si>
</sst>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"/>
    <numFmt numFmtId="165" formatCode="&quot;€&quot;\ #,##0"/>
    <numFmt numFmtId="166" formatCode="&quot;€&quot;\ #,##0.00000000000"/>
    <numFmt numFmtId="167" formatCode="&quot;€&quot;\ 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0" xfId="0" applyNumberFormat="1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/>
    </xf>
    <xf numFmtId="0" fontId="2" fillId="0" borderId="0" xfId="0" applyFont="1"/>
    <xf numFmtId="165" fontId="0" fillId="3" borderId="0" xfId="0" applyNumberForma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165" fontId="2" fillId="4" borderId="0" xfId="0" applyNumberFormat="1" applyFont="1" applyFill="1" applyAlignment="1">
      <alignment horizontal="center"/>
    </xf>
    <xf numFmtId="9" fontId="0" fillId="3" borderId="0" xfId="1" applyFont="1" applyFill="1" applyBorder="1"/>
    <xf numFmtId="9" fontId="0" fillId="3" borderId="5" xfId="1" applyFont="1" applyFill="1" applyBorder="1"/>
    <xf numFmtId="166" fontId="0" fillId="0" borderId="0" xfId="0" applyNumberFormat="1"/>
    <xf numFmtId="0" fontId="0" fillId="0" borderId="0" xfId="0" quotePrefix="1"/>
    <xf numFmtId="167" fontId="0" fillId="0" borderId="0" xfId="0" applyNumberFormat="1"/>
    <xf numFmtId="0" fontId="2" fillId="4" borderId="0" xfId="0" applyFont="1" applyFill="1"/>
    <xf numFmtId="0" fontId="0" fillId="0" borderId="0" xfId="0" applyAlignment="1">
      <alignment horizontal="center"/>
    </xf>
    <xf numFmtId="9" fontId="0" fillId="3" borderId="0" xfId="1" applyFont="1" applyFill="1" applyBorder="1" applyAlignment="1">
      <alignment horizontal="center"/>
    </xf>
    <xf numFmtId="9" fontId="0" fillId="3" borderId="5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80"/>
  <sheetViews>
    <sheetView showGridLines="0" workbookViewId="0">
      <selection activeCell="L13" sqref="L13"/>
    </sheetView>
  </sheetViews>
  <sheetFormatPr defaultRowHeight="15" x14ac:dyDescent="0.25"/>
  <cols>
    <col min="1" max="1" width="2.7109375" customWidth="1"/>
    <col min="2" max="2" width="23.140625" customWidth="1"/>
    <col min="3" max="3" width="24" customWidth="1"/>
    <col min="4" max="4" width="11.42578125" bestFit="1" customWidth="1"/>
    <col min="5" max="5" width="15.85546875" customWidth="1"/>
    <col min="6" max="6" width="2.7109375" customWidth="1"/>
    <col min="7" max="7" width="21.7109375" bestFit="1" customWidth="1"/>
    <col min="8" max="8" width="11.5703125" bestFit="1" customWidth="1"/>
    <col min="9" max="9" width="9.85546875" bestFit="1" customWidth="1"/>
    <col min="10" max="10" width="2.7109375" customWidth="1"/>
    <col min="11" max="11" width="19.42578125" bestFit="1" customWidth="1"/>
    <col min="12" max="12" width="18.42578125" bestFit="1" customWidth="1"/>
    <col min="13" max="13" width="16.5703125" bestFit="1" customWidth="1"/>
    <col min="14" max="14" width="2.7109375" customWidth="1"/>
  </cols>
  <sheetData>
    <row r="2" spans="1:14" x14ac:dyDescent="0.25">
      <c r="A2" s="4"/>
      <c r="B2" s="19" t="s">
        <v>33</v>
      </c>
      <c r="C2" s="18" t="s">
        <v>44</v>
      </c>
      <c r="D2" s="18" t="s">
        <v>45</v>
      </c>
      <c r="E2" s="18" t="s">
        <v>46</v>
      </c>
      <c r="F2" s="4"/>
      <c r="G2" s="27" t="s">
        <v>34</v>
      </c>
      <c r="H2" s="18" t="s">
        <v>45</v>
      </c>
      <c r="I2" s="18" t="s">
        <v>46</v>
      </c>
      <c r="J2" s="4"/>
      <c r="K2" s="27" t="s">
        <v>12</v>
      </c>
      <c r="L2" s="18" t="s">
        <v>45</v>
      </c>
      <c r="M2" s="18" t="s">
        <v>46</v>
      </c>
      <c r="N2" s="4"/>
    </row>
    <row r="3" spans="1:14" x14ac:dyDescent="0.25">
      <c r="A3" s="4"/>
      <c r="F3" s="4"/>
      <c r="J3" s="4"/>
      <c r="N3" s="4"/>
    </row>
    <row r="4" spans="1:14" x14ac:dyDescent="0.25">
      <c r="A4" s="4"/>
      <c r="B4" t="s">
        <v>3</v>
      </c>
      <c r="F4" s="4"/>
      <c r="G4" t="s">
        <v>0</v>
      </c>
      <c r="H4" s="2">
        <f>+D32</f>
        <v>100000</v>
      </c>
      <c r="I4" s="2">
        <f>+E32</f>
        <v>100000</v>
      </c>
      <c r="J4" s="4"/>
      <c r="K4" t="s">
        <v>16</v>
      </c>
      <c r="L4" s="3">
        <f>+H4+C7-D7</f>
        <v>83333.333333333328</v>
      </c>
      <c r="M4" s="3">
        <f>+I4+D7-E7</f>
        <v>83333.333333333343</v>
      </c>
      <c r="N4" s="4"/>
    </row>
    <row r="5" spans="1:14" x14ac:dyDescent="0.25">
      <c r="A5" s="4"/>
      <c r="F5" s="4"/>
      <c r="G5" t="s">
        <v>17</v>
      </c>
      <c r="H5" s="2">
        <f>+D42</f>
        <v>50000</v>
      </c>
      <c r="I5" s="2">
        <f>+E42</f>
        <v>50000</v>
      </c>
      <c r="J5" s="4"/>
      <c r="K5" t="s">
        <v>19</v>
      </c>
      <c r="L5" s="3">
        <f>-(+H5+C15-D15)</f>
        <v>-45833.333333333336</v>
      </c>
      <c r="M5" s="3">
        <f>-(+I5+D15-E15)</f>
        <v>-45833.333333333328</v>
      </c>
      <c r="N5" s="4"/>
    </row>
    <row r="6" spans="1:14" x14ac:dyDescent="0.25">
      <c r="A6" s="4"/>
      <c r="B6" t="s">
        <v>4</v>
      </c>
      <c r="C6" s="3">
        <v>0</v>
      </c>
      <c r="D6" s="25">
        <f>+D32-D7-D8</f>
        <v>83333.333333333328</v>
      </c>
      <c r="E6" s="25">
        <f>+E32-E7+D7+D6-E8+D8</f>
        <v>166666.66666666666</v>
      </c>
      <c r="F6" s="4"/>
      <c r="G6" t="s">
        <v>38</v>
      </c>
      <c r="H6" s="2">
        <f>+D10-C10</f>
        <v>8333.3333333333339</v>
      </c>
      <c r="I6" s="2">
        <f>+E10-D10</f>
        <v>8333.3333333333339</v>
      </c>
      <c r="J6" s="4"/>
      <c r="N6" s="4"/>
    </row>
    <row r="7" spans="1:14" x14ac:dyDescent="0.25">
      <c r="A7" s="4"/>
      <c r="B7" t="s">
        <v>1</v>
      </c>
      <c r="C7" s="3">
        <v>0</v>
      </c>
      <c r="D7" s="3">
        <f>+IF(D34=0,0,IF(D34=30,((D32)/12),IF(D34=60,(D32)/6,IF(D34=90,(D32)/4,IF(D34=120,(D32)/3,(D32)*(5/12))))))</f>
        <v>16666.666666666668</v>
      </c>
      <c r="E7" s="3">
        <f>+IF(E34=0,0,IF(E34=30,((E32)/12),IF(E34=60,(E32)/6,IF(E34=90,(E32)/4,IF(E34=120,(E32)/3,(E32)*(5/12))))))+D7</f>
        <v>33333.333333333336</v>
      </c>
      <c r="F7" s="4"/>
      <c r="G7" s="19" t="s">
        <v>18</v>
      </c>
      <c r="H7" s="26">
        <f>+H4-H5+H6</f>
        <v>58333.333333333336</v>
      </c>
      <c r="I7" s="26">
        <f>+I4-I5+I6</f>
        <v>58333.333333333336</v>
      </c>
      <c r="J7" s="4"/>
      <c r="N7" s="4"/>
    </row>
    <row r="8" spans="1:14" x14ac:dyDescent="0.25">
      <c r="A8" s="4"/>
      <c r="B8" t="s">
        <v>2</v>
      </c>
      <c r="D8" s="3">
        <f>+A!C8</f>
        <v>0</v>
      </c>
      <c r="E8" s="3">
        <f>+A!D8+D8</f>
        <v>0</v>
      </c>
      <c r="F8" s="4"/>
      <c r="H8" s="2"/>
      <c r="J8" s="4"/>
      <c r="N8" s="4"/>
    </row>
    <row r="9" spans="1:14" x14ac:dyDescent="0.25">
      <c r="A9" s="4"/>
      <c r="F9" s="4"/>
      <c r="J9" s="4"/>
      <c r="N9" s="4"/>
    </row>
    <row r="10" spans="1:14" x14ac:dyDescent="0.25">
      <c r="A10" s="4"/>
      <c r="B10" t="s">
        <v>32</v>
      </c>
      <c r="C10" s="3">
        <v>0</v>
      </c>
      <c r="D10" s="3">
        <f>+IF(D69=0,0,IF(D69=30,(D32/12),IF(D69=60,D32/6,IF(D69=90,D32/4,IF(D69=120,D32/3,D32*(5/12))))))</f>
        <v>8333.3333333333339</v>
      </c>
      <c r="E10" s="3">
        <f>+IF(E69=0,0,IF(E69=30,(E32/12),IF(E69=60,E32/6,IF(E69=90,E32/4,IF(E69=120,E32/3,E32*(5/12))))))</f>
        <v>16666.666666666668</v>
      </c>
      <c r="F10" s="4"/>
      <c r="G10" t="s">
        <v>27</v>
      </c>
      <c r="H10" s="2">
        <f>+D51</f>
        <v>0</v>
      </c>
      <c r="I10" s="2">
        <f>+E51</f>
        <v>0</v>
      </c>
      <c r="J10" s="4"/>
      <c r="K10" t="s">
        <v>28</v>
      </c>
      <c r="L10" s="3">
        <f>-(+H10+C16-D16)</f>
        <v>0</v>
      </c>
      <c r="M10" s="3">
        <f>-(+I10+D16-E16)</f>
        <v>0</v>
      </c>
      <c r="N10" s="4"/>
    </row>
    <row r="11" spans="1:14" x14ac:dyDescent="0.25">
      <c r="A11" s="4"/>
      <c r="F11" s="4"/>
      <c r="G11" t="s">
        <v>23</v>
      </c>
      <c r="H11" s="2">
        <f>+D60</f>
        <v>0</v>
      </c>
      <c r="I11" s="2">
        <f>+E60</f>
        <v>0</v>
      </c>
      <c r="J11" s="4"/>
      <c r="K11" t="s">
        <v>29</v>
      </c>
      <c r="L11" s="3">
        <f>-(+H11+C17-D17)</f>
        <v>0</v>
      </c>
      <c r="M11" s="3">
        <f>-(+I11+D17-E17)</f>
        <v>0</v>
      </c>
      <c r="N11" s="4"/>
    </row>
    <row r="12" spans="1:14" x14ac:dyDescent="0.25">
      <c r="A12" s="4"/>
      <c r="B12" s="19" t="s">
        <v>5</v>
      </c>
      <c r="C12" s="22">
        <f>SUM(C5:C11)</f>
        <v>0</v>
      </c>
      <c r="D12" s="22">
        <f t="shared" ref="D12:E12" si="0">SUM(D5:D11)</f>
        <v>108333.33333333333</v>
      </c>
      <c r="E12" s="22">
        <f t="shared" si="0"/>
        <v>216666.66666666666</v>
      </c>
      <c r="F12" s="4"/>
      <c r="J12" s="4"/>
      <c r="N12" s="4"/>
    </row>
    <row r="13" spans="1:14" x14ac:dyDescent="0.25">
      <c r="A13" s="4"/>
      <c r="F13" s="4"/>
      <c r="G13" s="19" t="s">
        <v>30</v>
      </c>
      <c r="H13" s="26">
        <f>+H10+H11</f>
        <v>0</v>
      </c>
      <c r="I13" s="26">
        <f>+I10+I11</f>
        <v>0</v>
      </c>
      <c r="J13" s="4"/>
      <c r="K13" s="32" t="s">
        <v>54</v>
      </c>
      <c r="L13" s="3">
        <f>-D8+D18</f>
        <v>875</v>
      </c>
      <c r="M13" s="3">
        <f>+D8-E8+E18-D18</f>
        <v>875</v>
      </c>
      <c r="N13" s="4"/>
    </row>
    <row r="14" spans="1:14" x14ac:dyDescent="0.25">
      <c r="A14" s="4"/>
      <c r="B14" t="s">
        <v>6</v>
      </c>
      <c r="C14" s="3">
        <v>0</v>
      </c>
      <c r="D14" s="25">
        <f>+D42-D15+D51-D16+D60-D17-D18</f>
        <v>44958.333333333336</v>
      </c>
      <c r="E14" s="25">
        <f>+E42-E15+E51-E16+E60-E17+D17+D16+D15+D14-E18+D18</f>
        <v>89916.666666666657</v>
      </c>
      <c r="F14" s="4"/>
      <c r="J14" s="4"/>
      <c r="N14" s="4"/>
    </row>
    <row r="15" spans="1:14" x14ac:dyDescent="0.25">
      <c r="A15" s="4"/>
      <c r="B15" t="s">
        <v>24</v>
      </c>
      <c r="C15" s="3"/>
      <c r="D15" s="3">
        <f>+IF(D44=0,0,IF(D44=30,((D42)/12),IF(D44=60,(D42)/6,IF(D44=90,(D42)/4,IF(D44=120,(D42)/3,(D42)*(5/12))))))</f>
        <v>4166.666666666667</v>
      </c>
      <c r="E15" s="3">
        <f>+IF(E44=0,0,IF(E44=30,((E42)/12),IF(E44=60,(E42)/6,IF(E44=90,(E42)/4,IF(E44=120,(E42)/3,(E42)*(5/12))))))+D15</f>
        <v>8333.3333333333339</v>
      </c>
      <c r="F15" s="4"/>
      <c r="J15" s="4"/>
      <c r="N15" s="4"/>
    </row>
    <row r="16" spans="1:14" x14ac:dyDescent="0.25">
      <c r="A16" s="4"/>
      <c r="B16" t="s">
        <v>25</v>
      </c>
      <c r="C16" s="3"/>
      <c r="D16" s="3">
        <f>+IF(D53=0,0,IF(D53=30,(D51)/12,IF(D53=60,(D51)/6,IF(D53=90,(D51)/4,IF(D53=120,(D51)/3,(D51*(5/12)))))))</f>
        <v>0</v>
      </c>
      <c r="E16" s="3">
        <f>+IF(E53=0,0,IF(E53=30,(E51)/12,IF(E53=60,(E51)/6,IF(E53=90,(E51)/4,IF(E53=120,(E51)/3,(E51*(5/12)))))))+D16</f>
        <v>0</v>
      </c>
      <c r="F16" s="4"/>
      <c r="J16" s="4"/>
      <c r="N16" s="4"/>
    </row>
    <row r="17" spans="1:14" x14ac:dyDescent="0.25">
      <c r="A17" s="4"/>
      <c r="B17" t="s">
        <v>26</v>
      </c>
      <c r="C17" s="3"/>
      <c r="D17" s="3">
        <f>+IF(D62=0,0,IF(D62=30,(D60)/12,IF(D62=60,(D60)/6,IF(D62=90,(D60)/4,IF(D62=120,(D60)/3,(D60)*(5/12))))))</f>
        <v>0</v>
      </c>
      <c r="E17" s="3">
        <f>+IF(E62=0,0,IF(E62=30,(E60)/12,IF(E62=60,(E60)/6,IF(E62=90,(E60)/4,IF(E62=120,(E60)/3,(E60)*(5/12))))))+D17</f>
        <v>0</v>
      </c>
      <c r="F17" s="4"/>
      <c r="J17" s="4"/>
      <c r="N17" s="4"/>
    </row>
    <row r="18" spans="1:14" x14ac:dyDescent="0.25">
      <c r="A18" s="4"/>
      <c r="B18" t="s">
        <v>2</v>
      </c>
      <c r="C18" s="3">
        <v>0</v>
      </c>
      <c r="D18" s="3">
        <f>+A!C9</f>
        <v>875</v>
      </c>
      <c r="E18" s="3">
        <f>+A!D9+D18</f>
        <v>1750</v>
      </c>
      <c r="F18" s="4"/>
      <c r="J18" s="4"/>
      <c r="N18" s="4"/>
    </row>
    <row r="19" spans="1:14" x14ac:dyDescent="0.25">
      <c r="A19" s="4"/>
      <c r="C19" s="3"/>
      <c r="F19" s="4"/>
      <c r="J19" s="4"/>
      <c r="N19" s="4"/>
    </row>
    <row r="20" spans="1:14" x14ac:dyDescent="0.25">
      <c r="A20" s="4"/>
      <c r="B20" t="s">
        <v>11</v>
      </c>
      <c r="C20" s="3">
        <v>0</v>
      </c>
      <c r="D20" s="2"/>
      <c r="E20" s="3">
        <f>+D21</f>
        <v>58333.333333333336</v>
      </c>
      <c r="F20" s="4"/>
      <c r="J20" s="4"/>
      <c r="N20" s="4"/>
    </row>
    <row r="21" spans="1:14" x14ac:dyDescent="0.25">
      <c r="A21" s="4"/>
      <c r="B21" t="s">
        <v>10</v>
      </c>
      <c r="C21" s="3">
        <v>0</v>
      </c>
      <c r="D21" s="3">
        <f>+H21</f>
        <v>58333.333333333336</v>
      </c>
      <c r="E21" s="3">
        <f>+I21</f>
        <v>58333.333333333336</v>
      </c>
      <c r="F21" s="4"/>
      <c r="G21" s="19" t="s">
        <v>10</v>
      </c>
      <c r="H21" s="26">
        <f>+H7-H13</f>
        <v>58333.333333333336</v>
      </c>
      <c r="I21" s="26">
        <f>+I7-I13</f>
        <v>58333.333333333336</v>
      </c>
      <c r="J21" s="4"/>
      <c r="K21" s="19" t="s">
        <v>49</v>
      </c>
      <c r="L21" s="28">
        <f>SUM(L4:L20)</f>
        <v>38374.999999999993</v>
      </c>
      <c r="M21" s="28">
        <f>SUM(M4:M20)</f>
        <v>38375.000000000015</v>
      </c>
      <c r="N21" s="4"/>
    </row>
    <row r="22" spans="1:14" x14ac:dyDescent="0.25">
      <c r="A22" s="4"/>
      <c r="F22" s="4"/>
      <c r="J22" s="4"/>
      <c r="N22" s="4"/>
    </row>
    <row r="23" spans="1:14" x14ac:dyDescent="0.25">
      <c r="A23" s="4"/>
      <c r="B23" s="19" t="s">
        <v>13</v>
      </c>
      <c r="C23" s="22">
        <f>SUM(C14:C22)</f>
        <v>0</v>
      </c>
      <c r="D23" s="22">
        <f>SUM(D14:D22)</f>
        <v>108333.33333333334</v>
      </c>
      <c r="E23" s="22">
        <f>SUM(E14:E22)</f>
        <v>216666.66666666666</v>
      </c>
      <c r="F23" s="4"/>
      <c r="J23" s="4"/>
      <c r="K23" t="s">
        <v>43</v>
      </c>
      <c r="L23" s="3">
        <f>+((D6-D14))</f>
        <v>38374.999999999993</v>
      </c>
      <c r="M23" s="3">
        <f>E6-D6+D14-E14</f>
        <v>38375</v>
      </c>
      <c r="N23" s="4"/>
    </row>
    <row r="24" spans="1:14" x14ac:dyDescent="0.25">
      <c r="A24" s="4"/>
      <c r="F24" s="4"/>
      <c r="J24" s="4"/>
      <c r="L24" s="33"/>
      <c r="N24" s="4"/>
    </row>
    <row r="25" spans="1:14" x14ac:dyDescent="0.25">
      <c r="A25" s="4"/>
      <c r="B25" s="34" t="s">
        <v>55</v>
      </c>
      <c r="C25" s="28">
        <f>+C6-C14</f>
        <v>0</v>
      </c>
      <c r="D25" s="28">
        <f t="shared" ref="D25:E25" si="1">+D6-D14</f>
        <v>38374.999999999993</v>
      </c>
      <c r="E25" s="28">
        <f t="shared" si="1"/>
        <v>76750</v>
      </c>
      <c r="F25" s="4"/>
      <c r="J25" s="4"/>
      <c r="M25" s="31"/>
      <c r="N25" s="4"/>
    </row>
    <row r="26" spans="1:14" ht="15.75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8" spans="1:14" ht="15.75" thickBot="1" x14ac:dyDescent="0.3">
      <c r="B28" s="19" t="s">
        <v>56</v>
      </c>
    </row>
    <row r="29" spans="1:14" x14ac:dyDescent="0.25">
      <c r="B29" s="5"/>
      <c r="C29" s="6"/>
      <c r="D29" s="6"/>
      <c r="E29" s="7"/>
    </row>
    <row r="30" spans="1:14" x14ac:dyDescent="0.25">
      <c r="B30" s="8" t="s">
        <v>7</v>
      </c>
      <c r="C30" s="9"/>
      <c r="D30" s="10" t="s">
        <v>47</v>
      </c>
      <c r="E30" s="11" t="s">
        <v>48</v>
      </c>
    </row>
    <row r="31" spans="1:14" x14ac:dyDescent="0.25">
      <c r="B31" s="8"/>
      <c r="D31" s="9"/>
      <c r="E31" s="12"/>
    </row>
    <row r="32" spans="1:14" x14ac:dyDescent="0.25">
      <c r="B32" s="8"/>
      <c r="C32" s="9" t="s">
        <v>37</v>
      </c>
      <c r="D32" s="20">
        <v>100000</v>
      </c>
      <c r="E32" s="21">
        <v>100000</v>
      </c>
    </row>
    <row r="33" spans="2:42" x14ac:dyDescent="0.25">
      <c r="B33" s="8"/>
      <c r="C33" s="9"/>
      <c r="D33" s="13"/>
      <c r="E33" s="14"/>
      <c r="AP33">
        <v>0</v>
      </c>
    </row>
    <row r="34" spans="2:42" x14ac:dyDescent="0.25">
      <c r="B34" s="8"/>
      <c r="C34" s="9" t="s">
        <v>9</v>
      </c>
      <c r="D34" s="23">
        <v>60</v>
      </c>
      <c r="E34" s="24">
        <v>60</v>
      </c>
      <c r="AP34">
        <v>30</v>
      </c>
    </row>
    <row r="35" spans="2:42" x14ac:dyDescent="0.25">
      <c r="B35" s="8"/>
      <c r="C35" s="9"/>
      <c r="D35" s="9"/>
      <c r="E35" s="12"/>
      <c r="AP35">
        <v>60</v>
      </c>
    </row>
    <row r="36" spans="2:42" ht="15.75" thickBot="1" x14ac:dyDescent="0.3">
      <c r="B36" s="15"/>
      <c r="C36" s="16"/>
      <c r="D36" s="16"/>
      <c r="E36" s="17"/>
      <c r="AP36">
        <v>90</v>
      </c>
    </row>
    <row r="37" spans="2:42" x14ac:dyDescent="0.25">
      <c r="AP37">
        <v>120</v>
      </c>
    </row>
    <row r="38" spans="2:42" ht="15.75" thickBot="1" x14ac:dyDescent="0.3">
      <c r="AP38">
        <v>150</v>
      </c>
    </row>
    <row r="39" spans="2:42" x14ac:dyDescent="0.25">
      <c r="B39" s="5"/>
      <c r="C39" s="6"/>
      <c r="D39" s="6"/>
      <c r="E39" s="7"/>
    </row>
    <row r="40" spans="2:42" x14ac:dyDescent="0.25">
      <c r="B40" s="8" t="s">
        <v>14</v>
      </c>
      <c r="C40" s="9"/>
      <c r="D40" s="10" t="s">
        <v>47</v>
      </c>
      <c r="E40" s="11" t="s">
        <v>48</v>
      </c>
    </row>
    <row r="41" spans="2:42" x14ac:dyDescent="0.25">
      <c r="B41" s="8"/>
      <c r="D41" s="9"/>
      <c r="E41" s="12"/>
    </row>
    <row r="42" spans="2:42" x14ac:dyDescent="0.25">
      <c r="B42" s="8"/>
      <c r="C42" s="9" t="s">
        <v>15</v>
      </c>
      <c r="D42" s="20">
        <v>50000</v>
      </c>
      <c r="E42" s="21">
        <v>50000</v>
      </c>
    </row>
    <row r="43" spans="2:42" x14ac:dyDescent="0.25">
      <c r="B43" s="8"/>
      <c r="C43" s="9"/>
      <c r="D43" s="13"/>
      <c r="E43" s="14"/>
    </row>
    <row r="44" spans="2:42" x14ac:dyDescent="0.25">
      <c r="B44" s="8"/>
      <c r="C44" s="9" t="s">
        <v>9</v>
      </c>
      <c r="D44" s="23">
        <v>30</v>
      </c>
      <c r="E44" s="24">
        <v>30</v>
      </c>
    </row>
    <row r="45" spans="2:42" x14ac:dyDescent="0.25">
      <c r="B45" s="8"/>
      <c r="C45" s="9"/>
      <c r="D45" s="9"/>
      <c r="E45" s="12"/>
    </row>
    <row r="46" spans="2:42" ht="15.75" thickBot="1" x14ac:dyDescent="0.3">
      <c r="B46" s="15"/>
      <c r="C46" s="16"/>
      <c r="D46" s="16"/>
      <c r="E46" s="17"/>
    </row>
    <row r="47" spans="2:42" ht="15.75" thickBot="1" x14ac:dyDescent="0.3"/>
    <row r="48" spans="2:42" x14ac:dyDescent="0.25">
      <c r="B48" s="5"/>
      <c r="C48" s="6"/>
      <c r="D48" s="6"/>
      <c r="E48" s="7"/>
    </row>
    <row r="49" spans="2:5" x14ac:dyDescent="0.25">
      <c r="B49" s="8" t="s">
        <v>20</v>
      </c>
      <c r="C49" s="9"/>
      <c r="D49" s="10" t="s">
        <v>47</v>
      </c>
      <c r="E49" s="11" t="s">
        <v>48</v>
      </c>
    </row>
    <row r="50" spans="2:5" x14ac:dyDescent="0.25">
      <c r="B50" s="8"/>
      <c r="D50" s="9"/>
      <c r="E50" s="12"/>
    </row>
    <row r="51" spans="2:5" x14ac:dyDescent="0.25">
      <c r="B51" s="8"/>
      <c r="C51" s="9" t="s">
        <v>21</v>
      </c>
      <c r="D51" s="20"/>
      <c r="E51" s="21"/>
    </row>
    <row r="52" spans="2:5" x14ac:dyDescent="0.25">
      <c r="B52" s="8"/>
      <c r="C52" s="9"/>
      <c r="D52" s="13"/>
      <c r="E52" s="14"/>
    </row>
    <row r="53" spans="2:5" x14ac:dyDescent="0.25">
      <c r="B53" s="8"/>
      <c r="C53" s="9" t="s">
        <v>9</v>
      </c>
      <c r="D53" s="23"/>
      <c r="E53" s="24"/>
    </row>
    <row r="54" spans="2:5" x14ac:dyDescent="0.25">
      <c r="B54" s="8"/>
      <c r="C54" s="9"/>
      <c r="D54" s="9"/>
      <c r="E54" s="12"/>
    </row>
    <row r="55" spans="2:5" ht="15.75" thickBot="1" x14ac:dyDescent="0.3">
      <c r="B55" s="15"/>
      <c r="C55" s="16"/>
      <c r="D55" s="16"/>
      <c r="E55" s="17"/>
    </row>
    <row r="56" spans="2:5" ht="15.75" thickBot="1" x14ac:dyDescent="0.3"/>
    <row r="57" spans="2:5" x14ac:dyDescent="0.25">
      <c r="B57" s="5"/>
      <c r="C57" s="6"/>
      <c r="D57" s="6"/>
      <c r="E57" s="7"/>
    </row>
    <row r="58" spans="2:5" x14ac:dyDescent="0.25">
      <c r="B58" s="8" t="s">
        <v>22</v>
      </c>
      <c r="C58" s="9"/>
      <c r="D58" s="10" t="s">
        <v>47</v>
      </c>
      <c r="E58" s="11" t="s">
        <v>48</v>
      </c>
    </row>
    <row r="59" spans="2:5" x14ac:dyDescent="0.25">
      <c r="B59" s="8"/>
      <c r="D59" s="9"/>
      <c r="E59" s="12"/>
    </row>
    <row r="60" spans="2:5" x14ac:dyDescent="0.25">
      <c r="B60" s="8"/>
      <c r="C60" s="9" t="s">
        <v>23</v>
      </c>
      <c r="D60" s="20"/>
      <c r="E60" s="21"/>
    </row>
    <row r="61" spans="2:5" x14ac:dyDescent="0.25">
      <c r="B61" s="8"/>
      <c r="C61" s="9"/>
      <c r="D61" s="13"/>
      <c r="E61" s="14"/>
    </row>
    <row r="62" spans="2:5" x14ac:dyDescent="0.25">
      <c r="B62" s="8"/>
      <c r="C62" s="9" t="s">
        <v>9</v>
      </c>
      <c r="D62" s="23"/>
      <c r="E62" s="24"/>
    </row>
    <row r="63" spans="2:5" x14ac:dyDescent="0.25">
      <c r="B63" s="8"/>
      <c r="C63" s="9"/>
      <c r="D63" s="9"/>
      <c r="E63" s="12"/>
    </row>
    <row r="64" spans="2:5" ht="15.75" thickBot="1" x14ac:dyDescent="0.3">
      <c r="B64" s="15"/>
      <c r="C64" s="16"/>
      <c r="D64" s="16"/>
      <c r="E64" s="17"/>
    </row>
    <row r="65" spans="2:5" ht="15.75" thickBot="1" x14ac:dyDescent="0.3"/>
    <row r="66" spans="2:5" x14ac:dyDescent="0.25">
      <c r="B66" s="5"/>
      <c r="C66" s="6"/>
      <c r="D66" s="6"/>
      <c r="E66" s="7"/>
    </row>
    <row r="67" spans="2:5" x14ac:dyDescent="0.25">
      <c r="B67" s="8" t="s">
        <v>31</v>
      </c>
      <c r="C67" s="9"/>
      <c r="D67" s="10" t="s">
        <v>47</v>
      </c>
      <c r="E67" s="11" t="s">
        <v>48</v>
      </c>
    </row>
    <row r="68" spans="2:5" x14ac:dyDescent="0.25">
      <c r="B68" s="8"/>
      <c r="C68" t="s">
        <v>36</v>
      </c>
      <c r="D68" s="9"/>
      <c r="E68" s="12"/>
    </row>
    <row r="69" spans="2:5" x14ac:dyDescent="0.25">
      <c r="B69" s="8"/>
      <c r="C69" s="9" t="s">
        <v>35</v>
      </c>
      <c r="D69" s="23">
        <v>30</v>
      </c>
      <c r="E69" s="24">
        <v>60</v>
      </c>
    </row>
    <row r="70" spans="2:5" x14ac:dyDescent="0.25">
      <c r="B70" s="8"/>
      <c r="C70" s="9"/>
      <c r="D70" s="9"/>
      <c r="E70" s="12"/>
    </row>
    <row r="71" spans="2:5" ht="15.75" thickBot="1" x14ac:dyDescent="0.3">
      <c r="B71" s="15"/>
      <c r="C71" s="16"/>
      <c r="D71" s="16"/>
      <c r="E71" s="17"/>
    </row>
    <row r="72" spans="2:5" ht="15.75" thickBot="1" x14ac:dyDescent="0.3"/>
    <row r="73" spans="2:5" x14ac:dyDescent="0.25">
      <c r="B73" s="5"/>
      <c r="C73" s="6"/>
      <c r="D73" s="6"/>
      <c r="E73" s="7"/>
    </row>
    <row r="74" spans="2:5" x14ac:dyDescent="0.25">
      <c r="B74" s="8" t="s">
        <v>39</v>
      </c>
      <c r="C74" s="9"/>
      <c r="D74" s="10" t="s">
        <v>47</v>
      </c>
      <c r="E74" s="11" t="s">
        <v>48</v>
      </c>
    </row>
    <row r="75" spans="2:5" x14ac:dyDescent="0.25">
      <c r="B75" s="8"/>
      <c r="C75" t="s">
        <v>8</v>
      </c>
      <c r="D75" s="9"/>
      <c r="E75" s="12"/>
    </row>
    <row r="76" spans="2:5" x14ac:dyDescent="0.25">
      <c r="B76" s="8"/>
      <c r="C76" s="9" t="s">
        <v>40</v>
      </c>
      <c r="D76" s="29">
        <v>0.21</v>
      </c>
      <c r="E76" s="30">
        <v>0.21</v>
      </c>
    </row>
    <row r="77" spans="2:5" x14ac:dyDescent="0.25">
      <c r="B77" s="8"/>
      <c r="C77" s="9" t="s">
        <v>41</v>
      </c>
      <c r="D77" s="29">
        <v>0.21</v>
      </c>
      <c r="E77" s="30">
        <v>0.21</v>
      </c>
    </row>
    <row r="78" spans="2:5" x14ac:dyDescent="0.25">
      <c r="B78" s="8"/>
      <c r="C78" s="9" t="s">
        <v>42</v>
      </c>
      <c r="D78" s="29">
        <v>0.21</v>
      </c>
      <c r="E78" s="30">
        <v>0.21</v>
      </c>
    </row>
    <row r="79" spans="2:5" x14ac:dyDescent="0.25">
      <c r="B79" s="8"/>
      <c r="C79" s="9" t="s">
        <v>51</v>
      </c>
      <c r="D79" s="29">
        <v>0.21</v>
      </c>
      <c r="E79" s="30">
        <v>0.21</v>
      </c>
    </row>
    <row r="80" spans="2:5" ht="15.75" thickBot="1" x14ac:dyDescent="0.3">
      <c r="B80" s="15"/>
      <c r="C80" s="16"/>
      <c r="D80" s="16"/>
      <c r="E80" s="17"/>
    </row>
  </sheetData>
  <dataValidations count="1">
    <dataValidation type="list" allowBlank="1" showInputMessage="1" showErrorMessage="1" sqref="D44:E44 D69:E69 D62:E62 D53:E53 D34:E34">
      <formula1>$AP$33:$AP$38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99"/>
  <sheetViews>
    <sheetView tabSelected="1" workbookViewId="0">
      <selection activeCell="H54" sqref="H54"/>
    </sheetView>
  </sheetViews>
  <sheetFormatPr defaultRowHeight="15" x14ac:dyDescent="0.25"/>
  <cols>
    <col min="1" max="1" width="2.7109375" customWidth="1"/>
    <col min="2" max="2" width="28.140625" bestFit="1" customWidth="1"/>
    <col min="3" max="3" width="27.140625" bestFit="1" customWidth="1"/>
    <col min="4" max="4" width="11.42578125" bestFit="1" customWidth="1"/>
    <col min="5" max="5" width="15.85546875" customWidth="1"/>
    <col min="6" max="6" width="2.7109375" customWidth="1"/>
    <col min="7" max="7" width="21.7109375" bestFit="1" customWidth="1"/>
    <col min="8" max="8" width="11.5703125" bestFit="1" customWidth="1"/>
    <col min="9" max="9" width="9.85546875" bestFit="1" customWidth="1"/>
    <col min="10" max="10" width="2.7109375" customWidth="1"/>
    <col min="11" max="11" width="19.42578125" bestFit="1" customWidth="1"/>
    <col min="12" max="12" width="18.42578125" bestFit="1" customWidth="1"/>
    <col min="13" max="13" width="16.5703125" bestFit="1" customWidth="1"/>
    <col min="14" max="14" width="2.7109375" customWidth="1"/>
    <col min="40" max="40" width="12.85546875" customWidth="1"/>
    <col min="42" max="42" width="15.28515625" customWidth="1"/>
    <col min="43" max="43" width="13.7109375" bestFit="1" customWidth="1"/>
  </cols>
  <sheetData>
    <row r="2" spans="1:37" x14ac:dyDescent="0.25">
      <c r="A2" s="4"/>
      <c r="B2" s="19" t="s">
        <v>33</v>
      </c>
      <c r="C2" s="18" t="s">
        <v>44</v>
      </c>
      <c r="D2" s="18" t="s">
        <v>45</v>
      </c>
      <c r="E2" s="18" t="s">
        <v>46</v>
      </c>
      <c r="F2" s="4"/>
      <c r="G2" s="27" t="s">
        <v>34</v>
      </c>
      <c r="H2" s="18" t="s">
        <v>45</v>
      </c>
      <c r="I2" s="18" t="s">
        <v>46</v>
      </c>
      <c r="J2" s="4"/>
      <c r="K2" s="27" t="s">
        <v>12</v>
      </c>
      <c r="L2" s="18" t="s">
        <v>45</v>
      </c>
      <c r="M2" s="18" t="s">
        <v>46</v>
      </c>
      <c r="N2" s="4"/>
    </row>
    <row r="3" spans="1:37" x14ac:dyDescent="0.25">
      <c r="A3" s="4"/>
      <c r="F3" s="4"/>
      <c r="J3" s="4"/>
      <c r="N3" s="4"/>
    </row>
    <row r="4" spans="1:37" x14ac:dyDescent="0.25">
      <c r="A4" s="4"/>
      <c r="B4" t="s">
        <v>3</v>
      </c>
      <c r="F4" s="4"/>
      <c r="H4" s="2"/>
      <c r="I4" s="2"/>
      <c r="J4" s="4"/>
      <c r="K4" s="19"/>
      <c r="L4" s="3"/>
      <c r="M4" s="3"/>
      <c r="N4" s="4"/>
    </row>
    <row r="5" spans="1:37" x14ac:dyDescent="0.25">
      <c r="A5" s="4"/>
      <c r="F5" s="4"/>
      <c r="G5" t="s">
        <v>84</v>
      </c>
      <c r="H5" s="3">
        <f>+D36*$D$48</f>
        <v>10000</v>
      </c>
      <c r="I5" s="3">
        <f>+H5+(E36*E48)</f>
        <v>12000</v>
      </c>
      <c r="J5" s="4"/>
      <c r="K5" t="s">
        <v>60</v>
      </c>
      <c r="L5" s="3">
        <f>+C10-D10+D18-C18</f>
        <v>0</v>
      </c>
      <c r="M5" s="3">
        <f>+D10-E10+E18-D18</f>
        <v>-60000</v>
      </c>
      <c r="N5" s="4"/>
    </row>
    <row r="6" spans="1:37" x14ac:dyDescent="0.25">
      <c r="A6" s="4"/>
      <c r="B6" t="s">
        <v>4</v>
      </c>
      <c r="C6" s="3">
        <v>0</v>
      </c>
      <c r="D6" s="25">
        <f>+D58-D7</f>
        <v>7650</v>
      </c>
      <c r="E6" s="25">
        <f>+E58+D6-E7+D7</f>
        <v>17650</v>
      </c>
      <c r="F6" s="4"/>
      <c r="G6" s="19" t="s">
        <v>23</v>
      </c>
      <c r="H6" s="22">
        <f>+H5</f>
        <v>10000</v>
      </c>
      <c r="I6" s="22">
        <f>+I5</f>
        <v>12000</v>
      </c>
      <c r="J6" s="4"/>
      <c r="N6" s="4"/>
    </row>
    <row r="7" spans="1:37" x14ac:dyDescent="0.25">
      <c r="A7" s="4"/>
      <c r="B7" t="s">
        <v>2</v>
      </c>
      <c r="C7" s="3"/>
      <c r="D7" s="3">
        <f>+A!C17</f>
        <v>7350</v>
      </c>
      <c r="E7" s="3">
        <f>+A!D17+D7</f>
        <v>7350</v>
      </c>
      <c r="F7" s="4"/>
      <c r="G7" s="19"/>
      <c r="H7" s="26"/>
      <c r="I7" s="26"/>
      <c r="J7" s="4"/>
      <c r="K7" t="s">
        <v>61</v>
      </c>
      <c r="L7" s="3">
        <f>-H12+C11-D11-C22+D22</f>
        <v>15000</v>
      </c>
      <c r="M7" s="3">
        <f>+IF((D10-E10+E18-D18-E56-I12)&gt;0,(D10-E10+E18-D18-E56-I12),0)</f>
        <v>0</v>
      </c>
      <c r="N7" s="4"/>
    </row>
    <row r="8" spans="1:37" x14ac:dyDescent="0.25">
      <c r="A8" s="4"/>
      <c r="C8" s="3"/>
      <c r="D8" s="3"/>
      <c r="E8" s="3"/>
      <c r="F8" s="4"/>
      <c r="G8" s="19"/>
      <c r="H8" s="26"/>
      <c r="I8" s="26"/>
      <c r="J8" s="4"/>
      <c r="L8" s="3"/>
      <c r="M8" s="3"/>
      <c r="N8" s="4"/>
    </row>
    <row r="9" spans="1:37" x14ac:dyDescent="0.25">
      <c r="A9" s="4"/>
      <c r="B9" s="19" t="s">
        <v>107</v>
      </c>
      <c r="C9" s="22">
        <f>+C10+C11</f>
        <v>0</v>
      </c>
      <c r="D9" s="22">
        <f>+D10+D11</f>
        <v>30000</v>
      </c>
      <c r="E9" s="22">
        <f>+E10+E11</f>
        <v>30000</v>
      </c>
      <c r="F9" s="4"/>
      <c r="G9" s="19"/>
      <c r="H9" s="26"/>
      <c r="I9" s="26"/>
      <c r="J9" s="4"/>
      <c r="L9" s="3"/>
      <c r="M9" s="3"/>
      <c r="N9" s="4"/>
    </row>
    <row r="10" spans="1:37" x14ac:dyDescent="0.25">
      <c r="A10" s="4"/>
      <c r="B10" t="s">
        <v>106</v>
      </c>
      <c r="D10" s="3">
        <f>+D36</f>
        <v>50000</v>
      </c>
      <c r="E10" s="3">
        <f>+E36+D10</f>
        <v>60000</v>
      </c>
      <c r="F10" s="4"/>
      <c r="G10" t="s">
        <v>85</v>
      </c>
      <c r="H10" s="3">
        <f>+IF(D58-D54+D56&gt;0,D58-D54+D56,0)</f>
        <v>0</v>
      </c>
      <c r="I10" s="3">
        <f>+IF(E58-E54+E56&gt;0,E58-E54+E56,0)</f>
        <v>2000</v>
      </c>
      <c r="J10" s="4"/>
      <c r="N10" s="4"/>
    </row>
    <row r="11" spans="1:37" x14ac:dyDescent="0.25">
      <c r="A11" s="4"/>
      <c r="B11" t="s">
        <v>108</v>
      </c>
      <c r="D11" s="3">
        <f>-D54</f>
        <v>-20000</v>
      </c>
      <c r="E11" s="3">
        <f>-E54+D11</f>
        <v>-30000</v>
      </c>
      <c r="F11" s="4"/>
      <c r="G11" t="s">
        <v>86</v>
      </c>
      <c r="H11" s="3">
        <f>+IF(D58-D54+D56&lt;0,-(D58-D54+D56),0)</f>
        <v>3000</v>
      </c>
      <c r="I11" s="3">
        <f>+IF(E58-E54+E56&lt;0,-(E58-E54+E56),0)</f>
        <v>0</v>
      </c>
      <c r="J11" s="4"/>
      <c r="N11" s="4"/>
    </row>
    <row r="12" spans="1:37" x14ac:dyDescent="0.25">
      <c r="A12" s="4"/>
      <c r="C12" s="3"/>
      <c r="D12" s="3"/>
      <c r="E12" s="3"/>
      <c r="F12" s="4"/>
      <c r="G12" s="19" t="s">
        <v>87</v>
      </c>
      <c r="H12" s="22">
        <f>+H11-H10</f>
        <v>3000</v>
      </c>
      <c r="I12" s="22">
        <f>+I11-I10</f>
        <v>-2000</v>
      </c>
      <c r="J12" s="4"/>
      <c r="L12" s="3"/>
      <c r="M12" s="3"/>
      <c r="N12" s="4"/>
    </row>
    <row r="13" spans="1:37" x14ac:dyDescent="0.25">
      <c r="A13" s="4"/>
      <c r="F13" s="4"/>
      <c r="H13" s="2"/>
      <c r="I13" s="2"/>
      <c r="J13" s="4"/>
      <c r="L13" s="3"/>
      <c r="M13" s="3"/>
      <c r="N13" s="4"/>
    </row>
    <row r="14" spans="1:37" x14ac:dyDescent="0.25">
      <c r="A14" s="4"/>
      <c r="B14" s="19" t="s">
        <v>5</v>
      </c>
      <c r="C14" s="22">
        <f>SUM(C5:C13)</f>
        <v>0</v>
      </c>
      <c r="D14" s="22">
        <f t="shared" ref="D14:E14" si="0">SUM(D5:D13)</f>
        <v>75000</v>
      </c>
      <c r="E14" s="22">
        <f t="shared" si="0"/>
        <v>85000</v>
      </c>
      <c r="F14" s="4"/>
      <c r="J14" s="4"/>
      <c r="N14" s="4"/>
    </row>
    <row r="15" spans="1:37" x14ac:dyDescent="0.25">
      <c r="A15" s="4"/>
      <c r="B15" t="s">
        <v>103</v>
      </c>
      <c r="D15" s="3">
        <f>+A!C18</f>
        <v>0</v>
      </c>
      <c r="E15" s="3">
        <f>+A!D18+D15</f>
        <v>0</v>
      </c>
      <c r="F15" s="4"/>
      <c r="G15" s="19" t="s">
        <v>30</v>
      </c>
      <c r="H15" s="22">
        <f>+H12+H6</f>
        <v>13000</v>
      </c>
      <c r="I15" s="22">
        <f>+I12+I6</f>
        <v>10000</v>
      </c>
      <c r="J15" s="4"/>
      <c r="K15" s="32" t="s">
        <v>54</v>
      </c>
      <c r="L15" s="3">
        <f>-D7+D15</f>
        <v>-7350</v>
      </c>
      <c r="M15" s="3">
        <f>+D7-E7+E15-D15</f>
        <v>0</v>
      </c>
      <c r="N15" s="4"/>
    </row>
    <row r="16" spans="1:37" x14ac:dyDescent="0.25">
      <c r="A16" s="4"/>
      <c r="B16" t="s">
        <v>6</v>
      </c>
      <c r="C16" s="3">
        <v>0</v>
      </c>
      <c r="D16" s="25">
        <f>+D36-D18</f>
        <v>0</v>
      </c>
      <c r="E16" s="25">
        <f>+E36-E18+D18-E18+D16</f>
        <v>60000</v>
      </c>
      <c r="F16" s="4"/>
      <c r="J16" s="4"/>
      <c r="N16" s="4"/>
      <c r="AK16">
        <f>VLOOKUP(AN26,AP29:AQ54,2,FALSE)</f>
        <v>1</v>
      </c>
    </row>
    <row r="17" spans="1:43" x14ac:dyDescent="0.25">
      <c r="A17" s="4"/>
      <c r="C17" s="3"/>
      <c r="D17" s="3"/>
      <c r="E17" s="3"/>
      <c r="F17" s="4"/>
      <c r="J17" s="4"/>
      <c r="N17" s="4"/>
    </row>
    <row r="18" spans="1:43" x14ac:dyDescent="0.25">
      <c r="A18" s="4"/>
      <c r="B18" t="s">
        <v>59</v>
      </c>
      <c r="C18" s="3"/>
      <c r="D18" s="3">
        <f>+(D36*VLOOKUP(AN26,$AP$30:$AQ$66,2,FALSE))</f>
        <v>50000</v>
      </c>
      <c r="E18" s="3">
        <f>+(E36*(VLOOKUP(AN27,$AP$30:$AQ$99,2,FALSE)))</f>
        <v>0</v>
      </c>
      <c r="F18" s="4"/>
      <c r="J18" s="4"/>
      <c r="N18" s="4"/>
    </row>
    <row r="19" spans="1:43" x14ac:dyDescent="0.25">
      <c r="A19" s="4"/>
      <c r="C19" s="3"/>
      <c r="D19" s="3"/>
      <c r="E19" s="3"/>
      <c r="F19" s="4"/>
      <c r="J19" s="4"/>
      <c r="N19" s="4"/>
    </row>
    <row r="20" spans="1:43" x14ac:dyDescent="0.25">
      <c r="A20" s="4"/>
      <c r="B20" s="19" t="s">
        <v>83</v>
      </c>
      <c r="C20" s="22">
        <f>+C21+C22</f>
        <v>0</v>
      </c>
      <c r="D20" s="22">
        <f>+D21+D22</f>
        <v>8000</v>
      </c>
      <c r="E20" s="22">
        <f>+E21+E22</f>
        <v>18000</v>
      </c>
      <c r="F20" s="4"/>
      <c r="J20" s="4"/>
      <c r="N20" s="4"/>
    </row>
    <row r="21" spans="1:43" x14ac:dyDescent="0.25">
      <c r="A21" s="4"/>
      <c r="B21" t="s">
        <v>109</v>
      </c>
      <c r="C21" s="3"/>
      <c r="D21" s="3">
        <f>+H5</f>
        <v>10000</v>
      </c>
      <c r="E21" s="3">
        <f>+D21+I5</f>
        <v>22000</v>
      </c>
      <c r="F21" s="4"/>
      <c r="J21" s="4"/>
      <c r="N21" s="4"/>
    </row>
    <row r="22" spans="1:43" x14ac:dyDescent="0.25">
      <c r="A22" s="4"/>
      <c r="B22" t="s">
        <v>110</v>
      </c>
      <c r="C22" s="3"/>
      <c r="D22" s="3">
        <f>-D56</f>
        <v>-2000</v>
      </c>
      <c r="E22" s="3">
        <f>-E56+D22</f>
        <v>-4000</v>
      </c>
      <c r="F22" s="4"/>
      <c r="J22" s="4"/>
      <c r="N22" s="4"/>
    </row>
    <row r="23" spans="1:43" x14ac:dyDescent="0.25">
      <c r="A23" s="4"/>
      <c r="C23" s="3"/>
      <c r="F23" s="4"/>
      <c r="J23" s="4"/>
      <c r="N23" s="4"/>
    </row>
    <row r="24" spans="1:43" x14ac:dyDescent="0.25">
      <c r="A24" s="4"/>
      <c r="B24" t="s">
        <v>11</v>
      </c>
      <c r="C24" s="3">
        <v>0</v>
      </c>
      <c r="D24" s="2"/>
      <c r="E24" s="3">
        <f>+D25</f>
        <v>-13000</v>
      </c>
      <c r="F24" s="4"/>
      <c r="J24" s="4"/>
      <c r="N24" s="4"/>
    </row>
    <row r="25" spans="1:43" x14ac:dyDescent="0.25">
      <c r="A25" s="4"/>
      <c r="B25" t="s">
        <v>10</v>
      </c>
      <c r="C25" s="3">
        <v>0</v>
      </c>
      <c r="D25" s="3">
        <f>+H25</f>
        <v>-13000</v>
      </c>
      <c r="E25" s="3">
        <f>+I25</f>
        <v>-10000</v>
      </c>
      <c r="F25" s="4"/>
      <c r="G25" s="19" t="s">
        <v>10</v>
      </c>
      <c r="H25" s="22">
        <f>+H7-H15</f>
        <v>-13000</v>
      </c>
      <c r="I25" s="22">
        <f>+I7-I15</f>
        <v>-10000</v>
      </c>
      <c r="J25" s="4"/>
      <c r="K25" s="19" t="s">
        <v>105</v>
      </c>
      <c r="L25" s="28">
        <f>SUM(L4:L24)</f>
        <v>7650</v>
      </c>
      <c r="M25" s="28">
        <f>SUM(M4:M24)</f>
        <v>-60000</v>
      </c>
      <c r="N25" s="4"/>
    </row>
    <row r="26" spans="1:43" x14ac:dyDescent="0.25">
      <c r="A26" s="4"/>
      <c r="F26" s="4"/>
      <c r="J26" s="4"/>
      <c r="N26" s="4"/>
      <c r="AM26" t="s">
        <v>79</v>
      </c>
      <c r="AN26" t="str">
        <f>+D38&amp;" "&amp;D40</f>
        <v>dicembre 30</v>
      </c>
    </row>
    <row r="27" spans="1:43" x14ac:dyDescent="0.25">
      <c r="A27" s="4"/>
      <c r="B27" s="19" t="s">
        <v>13</v>
      </c>
      <c r="C27" s="22">
        <f>SUM(C16:C26)</f>
        <v>0</v>
      </c>
      <c r="D27" s="22">
        <f>SUM(D16:D26)</f>
        <v>53000</v>
      </c>
      <c r="E27" s="22">
        <f>SUM(E16:E26)</f>
        <v>73000</v>
      </c>
      <c r="F27" s="4"/>
      <c r="J27" s="4"/>
      <c r="K27" t="s">
        <v>43</v>
      </c>
      <c r="L27" s="3">
        <f>+((D6-D16))</f>
        <v>7650</v>
      </c>
      <c r="M27" s="3">
        <f>E6-D6+D16-E16</f>
        <v>-50000</v>
      </c>
      <c r="N27" s="4"/>
      <c r="AM27" t="s">
        <v>80</v>
      </c>
      <c r="AN27" t="str">
        <f>+E38&amp;" "&amp;E40</f>
        <v>marzo 60</v>
      </c>
    </row>
    <row r="28" spans="1:43" x14ac:dyDescent="0.25">
      <c r="A28" s="4"/>
      <c r="F28" s="4"/>
      <c r="J28" s="4"/>
      <c r="L28" s="33"/>
      <c r="N28" s="4"/>
    </row>
    <row r="29" spans="1:43" x14ac:dyDescent="0.25">
      <c r="A29" s="4"/>
      <c r="B29" s="34" t="s">
        <v>55</v>
      </c>
      <c r="C29" s="28">
        <f>+C6-C16</f>
        <v>0</v>
      </c>
      <c r="D29" s="28">
        <f t="shared" ref="D29:E29" si="1">+D6-D16</f>
        <v>7650</v>
      </c>
      <c r="E29" s="28">
        <f t="shared" si="1"/>
        <v>-42350</v>
      </c>
      <c r="F29" s="4"/>
      <c r="J29" s="4"/>
      <c r="M29" s="31"/>
      <c r="N29" s="4"/>
      <c r="AN29" t="s">
        <v>75</v>
      </c>
      <c r="AO29" t="s">
        <v>76</v>
      </c>
      <c r="AP29" t="s">
        <v>78</v>
      </c>
      <c r="AQ29" t="s">
        <v>77</v>
      </c>
    </row>
    <row r="30" spans="1:43" ht="15.75" thickBo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AK30" t="s">
        <v>63</v>
      </c>
      <c r="AN30" t="s">
        <v>74</v>
      </c>
      <c r="AO30" s="35">
        <v>0</v>
      </c>
      <c r="AP30" s="35" t="str">
        <f>+AN30&amp;" "&amp;AO30</f>
        <v>dicembre 0</v>
      </c>
      <c r="AQ30">
        <v>0</v>
      </c>
    </row>
    <row r="31" spans="1:43" x14ac:dyDescent="0.25">
      <c r="AK31" t="s">
        <v>64</v>
      </c>
      <c r="AN31" t="s">
        <v>74</v>
      </c>
      <c r="AO31" s="35">
        <v>30</v>
      </c>
      <c r="AP31" s="35" t="str">
        <f t="shared" ref="AP31:AP54" si="2">+AN31&amp;" "&amp;AO31</f>
        <v>dicembre 30</v>
      </c>
      <c r="AQ31">
        <v>1</v>
      </c>
    </row>
    <row r="32" spans="1:43" ht="15.75" thickBot="1" x14ac:dyDescent="0.3">
      <c r="B32" s="19" t="s">
        <v>57</v>
      </c>
      <c r="AK32" t="s">
        <v>65</v>
      </c>
      <c r="AN32" t="s">
        <v>74</v>
      </c>
      <c r="AO32" s="35">
        <v>60</v>
      </c>
      <c r="AP32" s="35" t="str">
        <f t="shared" si="2"/>
        <v>dicembre 60</v>
      </c>
      <c r="AQ32">
        <v>1</v>
      </c>
    </row>
    <row r="33" spans="2:43" x14ac:dyDescent="0.25">
      <c r="B33" s="5"/>
      <c r="C33" s="6"/>
      <c r="D33" s="6"/>
      <c r="E33" s="7"/>
      <c r="AK33" t="s">
        <v>66</v>
      </c>
      <c r="AN33" t="s">
        <v>74</v>
      </c>
      <c r="AO33" s="35">
        <v>90</v>
      </c>
      <c r="AP33" s="35" t="str">
        <f t="shared" si="2"/>
        <v>dicembre 90</v>
      </c>
      <c r="AQ33">
        <v>1</v>
      </c>
    </row>
    <row r="34" spans="2:43" x14ac:dyDescent="0.25">
      <c r="B34" s="8" t="s">
        <v>7</v>
      </c>
      <c r="C34" s="9"/>
      <c r="D34" s="10" t="s">
        <v>47</v>
      </c>
      <c r="E34" s="11" t="s">
        <v>48</v>
      </c>
      <c r="AK34" t="s">
        <v>67</v>
      </c>
      <c r="AN34" t="s">
        <v>74</v>
      </c>
      <c r="AO34" s="35">
        <v>120</v>
      </c>
      <c r="AP34" s="35" t="str">
        <f t="shared" si="2"/>
        <v>dicembre 120</v>
      </c>
      <c r="AQ34">
        <v>1</v>
      </c>
    </row>
    <row r="35" spans="2:43" x14ac:dyDescent="0.25">
      <c r="B35" s="8"/>
      <c r="D35" s="9"/>
      <c r="E35" s="12"/>
      <c r="AK35" t="s">
        <v>68</v>
      </c>
      <c r="AN35" t="s">
        <v>74</v>
      </c>
      <c r="AO35" s="35">
        <v>150</v>
      </c>
      <c r="AP35" s="35" t="str">
        <f t="shared" si="2"/>
        <v>dicembre 150</v>
      </c>
      <c r="AQ35">
        <v>1</v>
      </c>
    </row>
    <row r="36" spans="2:43" x14ac:dyDescent="0.25">
      <c r="B36" s="8"/>
      <c r="C36" s="9" t="s">
        <v>58</v>
      </c>
      <c r="D36" s="20">
        <v>50000</v>
      </c>
      <c r="E36" s="21">
        <v>10000</v>
      </c>
      <c r="AI36">
        <v>0</v>
      </c>
      <c r="AK36" t="s">
        <v>69</v>
      </c>
      <c r="AN36" t="s">
        <v>73</v>
      </c>
      <c r="AO36" s="35">
        <v>0</v>
      </c>
      <c r="AP36" s="35" t="str">
        <f t="shared" si="2"/>
        <v>novembre 0</v>
      </c>
      <c r="AQ36">
        <v>0</v>
      </c>
    </row>
    <row r="37" spans="2:43" x14ac:dyDescent="0.25">
      <c r="B37" s="8"/>
      <c r="C37" s="9"/>
      <c r="D37" s="13"/>
      <c r="E37" s="14"/>
      <c r="AI37">
        <v>30</v>
      </c>
      <c r="AK37" t="s">
        <v>70</v>
      </c>
      <c r="AN37" t="str">
        <f>+AN36</f>
        <v>novembre</v>
      </c>
      <c r="AO37" s="35">
        <v>30</v>
      </c>
      <c r="AP37" s="35" t="str">
        <f t="shared" si="2"/>
        <v>novembre 30</v>
      </c>
      <c r="AQ37">
        <v>0</v>
      </c>
    </row>
    <row r="38" spans="2:43" x14ac:dyDescent="0.25">
      <c r="B38" s="8"/>
      <c r="C38" s="9" t="s">
        <v>62</v>
      </c>
      <c r="D38" s="20" t="s">
        <v>74</v>
      </c>
      <c r="E38" s="21" t="s">
        <v>65</v>
      </c>
      <c r="AI38">
        <v>60</v>
      </c>
      <c r="AK38" t="s">
        <v>71</v>
      </c>
      <c r="AN38" t="str">
        <f t="shared" ref="AN38:AN40" si="3">+AN37</f>
        <v>novembre</v>
      </c>
      <c r="AO38" s="35">
        <v>60</v>
      </c>
      <c r="AP38" s="35" t="str">
        <f t="shared" si="2"/>
        <v>novembre 60</v>
      </c>
      <c r="AQ38">
        <v>1</v>
      </c>
    </row>
    <row r="39" spans="2:43" x14ac:dyDescent="0.25">
      <c r="B39" s="8"/>
      <c r="C39" s="9"/>
      <c r="D39" s="13"/>
      <c r="E39" s="14"/>
      <c r="AI39">
        <v>90</v>
      </c>
      <c r="AK39" t="s">
        <v>72</v>
      </c>
      <c r="AN39" t="str">
        <f t="shared" si="3"/>
        <v>novembre</v>
      </c>
      <c r="AO39" s="35">
        <v>90</v>
      </c>
      <c r="AP39" s="35" t="str">
        <f t="shared" si="2"/>
        <v>novembre 90</v>
      </c>
      <c r="AQ39">
        <v>1</v>
      </c>
    </row>
    <row r="40" spans="2:43" x14ac:dyDescent="0.25">
      <c r="B40" s="8"/>
      <c r="C40" s="9" t="s">
        <v>9</v>
      </c>
      <c r="D40" s="23">
        <v>30</v>
      </c>
      <c r="E40" s="24">
        <v>60</v>
      </c>
      <c r="AI40">
        <v>120</v>
      </c>
      <c r="AK40" t="s">
        <v>73</v>
      </c>
      <c r="AN40" t="str">
        <f t="shared" si="3"/>
        <v>novembre</v>
      </c>
      <c r="AO40" s="35">
        <v>120</v>
      </c>
      <c r="AP40" s="35" t="str">
        <f t="shared" si="2"/>
        <v>novembre 120</v>
      </c>
      <c r="AQ40">
        <v>1</v>
      </c>
    </row>
    <row r="41" spans="2:43" x14ac:dyDescent="0.25">
      <c r="B41" s="8"/>
      <c r="C41" s="9"/>
      <c r="D41" s="9"/>
      <c r="E41" s="12"/>
      <c r="AI41">
        <v>150</v>
      </c>
      <c r="AK41" t="s">
        <v>74</v>
      </c>
      <c r="AN41" t="str">
        <f>+AN40</f>
        <v>novembre</v>
      </c>
      <c r="AO41" s="35">
        <v>150</v>
      </c>
      <c r="AP41" s="35" t="str">
        <f t="shared" si="2"/>
        <v>novembre 150</v>
      </c>
      <c r="AQ41">
        <v>1</v>
      </c>
    </row>
    <row r="42" spans="2:43" ht="15.75" thickBot="1" x14ac:dyDescent="0.3">
      <c r="B42" s="15"/>
      <c r="C42" s="16"/>
      <c r="D42" s="16"/>
      <c r="E42" s="17"/>
      <c r="AN42" t="s">
        <v>72</v>
      </c>
      <c r="AO42" s="35">
        <v>0</v>
      </c>
      <c r="AP42" s="35" t="str">
        <f t="shared" si="2"/>
        <v>ottobre 0</v>
      </c>
      <c r="AQ42">
        <v>0</v>
      </c>
    </row>
    <row r="43" spans="2:43" x14ac:dyDescent="0.25">
      <c r="AN43" t="str">
        <f>+AN42</f>
        <v>ottobre</v>
      </c>
      <c r="AO43" s="35">
        <v>30</v>
      </c>
      <c r="AP43" s="35" t="str">
        <f t="shared" si="2"/>
        <v>ottobre 30</v>
      </c>
      <c r="AQ43">
        <v>0</v>
      </c>
    </row>
    <row r="44" spans="2:43" ht="15.75" thickBot="1" x14ac:dyDescent="0.3">
      <c r="AN44" t="str">
        <f t="shared" ref="AN44:AN47" si="4">+AN43</f>
        <v>ottobre</v>
      </c>
      <c r="AO44" s="35">
        <v>60</v>
      </c>
      <c r="AP44" s="35" t="str">
        <f t="shared" si="2"/>
        <v>ottobre 60</v>
      </c>
      <c r="AQ44">
        <v>0</v>
      </c>
    </row>
    <row r="45" spans="2:43" x14ac:dyDescent="0.25">
      <c r="B45" s="5"/>
      <c r="C45" s="6"/>
      <c r="D45" s="6"/>
      <c r="E45" s="7"/>
      <c r="AN45" t="str">
        <f t="shared" si="4"/>
        <v>ottobre</v>
      </c>
      <c r="AO45" s="35">
        <v>90</v>
      </c>
      <c r="AP45" s="35" t="str">
        <f t="shared" si="2"/>
        <v>ottobre 90</v>
      </c>
      <c r="AQ45">
        <v>1</v>
      </c>
    </row>
    <row r="46" spans="2:43" x14ac:dyDescent="0.25">
      <c r="B46" s="8" t="s">
        <v>81</v>
      </c>
      <c r="C46" s="9"/>
      <c r="D46" s="38" t="s">
        <v>47</v>
      </c>
      <c r="E46" s="39" t="s">
        <v>48</v>
      </c>
      <c r="AN46" t="str">
        <f t="shared" si="4"/>
        <v>ottobre</v>
      </c>
      <c r="AO46" s="35">
        <v>120</v>
      </c>
      <c r="AP46" s="35" t="str">
        <f t="shared" si="2"/>
        <v>ottobre 120</v>
      </c>
      <c r="AQ46">
        <v>1</v>
      </c>
    </row>
    <row r="47" spans="2:43" x14ac:dyDescent="0.25">
      <c r="B47" s="8"/>
      <c r="D47" s="9"/>
      <c r="E47" s="12"/>
      <c r="AN47" t="str">
        <f t="shared" si="4"/>
        <v>ottobre</v>
      </c>
      <c r="AO47" s="35">
        <v>150</v>
      </c>
      <c r="AP47" s="35" t="str">
        <f t="shared" si="2"/>
        <v>ottobre 150</v>
      </c>
      <c r="AQ47">
        <v>1</v>
      </c>
    </row>
    <row r="48" spans="2:43" x14ac:dyDescent="0.25">
      <c r="B48" s="8"/>
      <c r="C48" s="9" t="s">
        <v>82</v>
      </c>
      <c r="D48" s="36">
        <v>0.2</v>
      </c>
      <c r="E48" s="37">
        <v>0.2</v>
      </c>
      <c r="AN48" t="s">
        <v>71</v>
      </c>
      <c r="AO48" s="35">
        <v>0</v>
      </c>
      <c r="AP48" s="35" t="str">
        <f t="shared" si="2"/>
        <v>settembre 0</v>
      </c>
      <c r="AQ48">
        <v>0</v>
      </c>
    </row>
    <row r="49" spans="2:43" ht="15.75" thickBot="1" x14ac:dyDescent="0.3">
      <c r="B49" s="15"/>
      <c r="C49" s="16"/>
      <c r="D49" s="16"/>
      <c r="E49" s="17"/>
      <c r="AN49" t="str">
        <f>+AN48</f>
        <v>settembre</v>
      </c>
      <c r="AO49" s="35">
        <v>30</v>
      </c>
      <c r="AP49" s="35" t="str">
        <f t="shared" si="2"/>
        <v>settembre 30</v>
      </c>
      <c r="AQ49">
        <v>0</v>
      </c>
    </row>
    <row r="50" spans="2:43" ht="15.75" thickBot="1" x14ac:dyDescent="0.3">
      <c r="AN50" t="str">
        <f t="shared" ref="AN50:AN53" si="5">+AN49</f>
        <v>settembre</v>
      </c>
      <c r="AO50" s="35">
        <v>60</v>
      </c>
      <c r="AP50" s="35" t="str">
        <f t="shared" si="2"/>
        <v>settembre 60</v>
      </c>
      <c r="AQ50">
        <v>0</v>
      </c>
    </row>
    <row r="51" spans="2:43" x14ac:dyDescent="0.25">
      <c r="B51" s="5"/>
      <c r="C51" s="6"/>
      <c r="D51" s="6"/>
      <c r="E51" s="7"/>
      <c r="AN51" t="str">
        <f t="shared" si="5"/>
        <v>settembre</v>
      </c>
      <c r="AO51" s="35">
        <v>90</v>
      </c>
      <c r="AP51" s="35" t="str">
        <f t="shared" si="2"/>
        <v>settembre 90</v>
      </c>
      <c r="AQ51">
        <v>0</v>
      </c>
    </row>
    <row r="52" spans="2:43" x14ac:dyDescent="0.25">
      <c r="B52" s="8" t="s">
        <v>89</v>
      </c>
      <c r="C52" s="9"/>
      <c r="D52" s="38" t="s">
        <v>47</v>
      </c>
      <c r="E52" s="39" t="s">
        <v>48</v>
      </c>
      <c r="AN52" t="str">
        <f t="shared" si="5"/>
        <v>settembre</v>
      </c>
      <c r="AO52" s="35">
        <v>120</v>
      </c>
      <c r="AP52" s="35" t="str">
        <f t="shared" si="2"/>
        <v>settembre 120</v>
      </c>
      <c r="AQ52">
        <v>1</v>
      </c>
    </row>
    <row r="53" spans="2:43" x14ac:dyDescent="0.25">
      <c r="B53" s="8"/>
      <c r="D53" s="9"/>
      <c r="E53" s="12"/>
      <c r="AN53" t="str">
        <f t="shared" si="5"/>
        <v>settembre</v>
      </c>
      <c r="AO53" s="35">
        <v>150</v>
      </c>
      <c r="AP53" s="35" t="str">
        <f t="shared" si="2"/>
        <v>settembre 150</v>
      </c>
      <c r="AQ53">
        <v>1</v>
      </c>
    </row>
    <row r="54" spans="2:43" x14ac:dyDescent="0.25">
      <c r="B54" s="8"/>
      <c r="C54" t="s">
        <v>90</v>
      </c>
      <c r="D54" s="20">
        <v>20000</v>
      </c>
      <c r="E54" s="21">
        <v>10000</v>
      </c>
      <c r="AN54" t="s">
        <v>92</v>
      </c>
      <c r="AO54" s="35">
        <v>0</v>
      </c>
      <c r="AP54" s="35" t="str">
        <f t="shared" si="2"/>
        <v>AGOSTO 0</v>
      </c>
      <c r="AQ54">
        <v>0</v>
      </c>
    </row>
    <row r="55" spans="2:43" x14ac:dyDescent="0.25">
      <c r="B55" s="8"/>
      <c r="D55" s="9"/>
      <c r="E55" s="12"/>
      <c r="AN55" t="str">
        <f>+AN54</f>
        <v>AGOSTO</v>
      </c>
      <c r="AO55" s="35">
        <v>30</v>
      </c>
      <c r="AP55" s="35" t="str">
        <f t="shared" ref="AP55:AP60" si="6">+AN55&amp;" "&amp;AO55</f>
        <v>AGOSTO 30</v>
      </c>
      <c r="AQ55">
        <v>0</v>
      </c>
    </row>
    <row r="56" spans="2:43" x14ac:dyDescent="0.25">
      <c r="B56" s="8"/>
      <c r="C56" t="s">
        <v>91</v>
      </c>
      <c r="D56" s="20">
        <v>2000</v>
      </c>
      <c r="E56" s="21">
        <v>2000</v>
      </c>
      <c r="AN56" t="str">
        <f>+AN55</f>
        <v>AGOSTO</v>
      </c>
      <c r="AO56" s="35">
        <v>60</v>
      </c>
      <c r="AP56" s="35" t="str">
        <f t="shared" si="6"/>
        <v>AGOSTO 60</v>
      </c>
      <c r="AQ56">
        <v>0</v>
      </c>
    </row>
    <row r="57" spans="2:43" x14ac:dyDescent="0.25">
      <c r="B57" s="8"/>
      <c r="D57" s="9"/>
      <c r="E57" s="12"/>
      <c r="AN57" t="str">
        <f t="shared" ref="AN57:AN58" si="7">+AN56</f>
        <v>AGOSTO</v>
      </c>
      <c r="AO57" s="35">
        <v>90</v>
      </c>
      <c r="AP57" s="35" t="str">
        <f t="shared" si="6"/>
        <v>AGOSTO 90</v>
      </c>
      <c r="AQ57">
        <v>0</v>
      </c>
    </row>
    <row r="58" spans="2:43" x14ac:dyDescent="0.25">
      <c r="B58" s="8"/>
      <c r="C58" s="9" t="s">
        <v>88</v>
      </c>
      <c r="D58" s="20">
        <v>15000</v>
      </c>
      <c r="E58" s="21">
        <v>10000</v>
      </c>
      <c r="AN58" t="str">
        <f t="shared" si="7"/>
        <v>AGOSTO</v>
      </c>
      <c r="AO58" s="35">
        <v>120</v>
      </c>
      <c r="AP58" s="35" t="str">
        <f t="shared" si="6"/>
        <v>AGOSTO 120</v>
      </c>
      <c r="AQ58">
        <v>0</v>
      </c>
    </row>
    <row r="59" spans="2:43" ht="15.75" thickBot="1" x14ac:dyDescent="0.3">
      <c r="B59" s="15"/>
      <c r="C59" s="16"/>
      <c r="D59" s="16"/>
      <c r="E59" s="17"/>
      <c r="AN59" t="str">
        <f>+AN58</f>
        <v>AGOSTO</v>
      </c>
      <c r="AO59" s="35">
        <v>150</v>
      </c>
      <c r="AP59" s="35" t="str">
        <f t="shared" si="6"/>
        <v>AGOSTO 150</v>
      </c>
      <c r="AQ59">
        <v>1</v>
      </c>
    </row>
    <row r="60" spans="2:43" ht="15.75" thickBot="1" x14ac:dyDescent="0.3">
      <c r="AN60" t="s">
        <v>93</v>
      </c>
      <c r="AO60" s="35">
        <v>0</v>
      </c>
      <c r="AP60" s="35" t="str">
        <f t="shared" si="6"/>
        <v>LUGLIO 0</v>
      </c>
      <c r="AQ60">
        <v>0</v>
      </c>
    </row>
    <row r="61" spans="2:43" x14ac:dyDescent="0.25">
      <c r="B61" s="5"/>
      <c r="C61" s="6"/>
      <c r="D61" s="6"/>
      <c r="E61" s="7"/>
      <c r="AN61" t="str">
        <f>+AN60</f>
        <v>LUGLIO</v>
      </c>
      <c r="AO61" s="35">
        <v>30</v>
      </c>
      <c r="AP61" s="35" t="str">
        <f t="shared" ref="AP61:AP66" si="8">+AN61&amp;" "&amp;AO61</f>
        <v>LUGLIO 30</v>
      </c>
      <c r="AQ61">
        <v>0</v>
      </c>
    </row>
    <row r="62" spans="2:43" x14ac:dyDescent="0.25">
      <c r="B62" s="8" t="s">
        <v>100</v>
      </c>
      <c r="C62" s="9"/>
      <c r="D62" s="10" t="s">
        <v>47</v>
      </c>
      <c r="E62" s="11" t="s">
        <v>48</v>
      </c>
      <c r="AN62" t="str">
        <f>+AN61</f>
        <v>LUGLIO</v>
      </c>
      <c r="AO62" s="35">
        <v>60</v>
      </c>
      <c r="AP62" s="35" t="str">
        <f t="shared" si="8"/>
        <v>LUGLIO 60</v>
      </c>
      <c r="AQ62">
        <v>0</v>
      </c>
    </row>
    <row r="63" spans="2:43" x14ac:dyDescent="0.25">
      <c r="B63" s="8"/>
      <c r="C63" s="9" t="s">
        <v>8</v>
      </c>
      <c r="D63" s="9"/>
      <c r="E63" s="12"/>
      <c r="AN63" t="str">
        <f t="shared" ref="AN63:AN65" si="9">+AN62</f>
        <v>LUGLIO</v>
      </c>
      <c r="AO63" s="35">
        <v>90</v>
      </c>
      <c r="AP63" s="35" t="str">
        <f t="shared" si="8"/>
        <v>LUGLIO 90</v>
      </c>
      <c r="AQ63">
        <v>0</v>
      </c>
    </row>
    <row r="64" spans="2:43" x14ac:dyDescent="0.25">
      <c r="B64" s="8"/>
      <c r="C64" s="9" t="s">
        <v>101</v>
      </c>
      <c r="D64" s="29">
        <v>0.21</v>
      </c>
      <c r="E64" s="30">
        <v>0.21</v>
      </c>
      <c r="AN64" t="str">
        <f t="shared" si="9"/>
        <v>LUGLIO</v>
      </c>
      <c r="AO64" s="35">
        <v>120</v>
      </c>
      <c r="AP64" s="35" t="str">
        <f t="shared" si="8"/>
        <v>LUGLIO 120</v>
      </c>
      <c r="AQ64">
        <v>0</v>
      </c>
    </row>
    <row r="65" spans="2:43" x14ac:dyDescent="0.25">
      <c r="B65" s="8"/>
      <c r="C65" s="9" t="s">
        <v>102</v>
      </c>
      <c r="D65" s="29">
        <v>0.21</v>
      </c>
      <c r="E65" s="30">
        <v>0.21</v>
      </c>
      <c r="AN65" t="str">
        <f t="shared" si="9"/>
        <v>LUGLIO</v>
      </c>
      <c r="AO65" s="35">
        <v>150</v>
      </c>
      <c r="AP65" s="35" t="str">
        <f t="shared" si="8"/>
        <v>LUGLIO 150</v>
      </c>
      <c r="AQ65">
        <v>0</v>
      </c>
    </row>
    <row r="66" spans="2:43" ht="15.75" thickBot="1" x14ac:dyDescent="0.3">
      <c r="B66" s="15"/>
      <c r="C66" s="16"/>
      <c r="D66" s="16"/>
      <c r="E66" s="17"/>
      <c r="AN66" t="s">
        <v>94</v>
      </c>
      <c r="AO66" s="35">
        <v>0</v>
      </c>
      <c r="AP66" s="35" t="str">
        <f t="shared" si="8"/>
        <v>GIUGNO 0</v>
      </c>
      <c r="AQ66">
        <v>0</v>
      </c>
    </row>
    <row r="67" spans="2:43" x14ac:dyDescent="0.25">
      <c r="AN67" t="e">
        <f>+#REF!</f>
        <v>#REF!</v>
      </c>
      <c r="AO67" s="35">
        <v>90</v>
      </c>
      <c r="AP67" s="35" t="e">
        <f t="shared" ref="AP67:AP70" si="10">+AN67&amp;" "&amp;AO67</f>
        <v>#REF!</v>
      </c>
      <c r="AQ67">
        <v>0</v>
      </c>
    </row>
    <row r="68" spans="2:43" x14ac:dyDescent="0.25">
      <c r="AN68" t="e">
        <f t="shared" ref="AN68:AN69" si="11">+AN67</f>
        <v>#REF!</v>
      </c>
      <c r="AO68" s="35">
        <v>120</v>
      </c>
      <c r="AP68" s="35" t="e">
        <f t="shared" si="10"/>
        <v>#REF!</v>
      </c>
      <c r="AQ68">
        <v>0</v>
      </c>
    </row>
    <row r="69" spans="2:43" x14ac:dyDescent="0.25">
      <c r="AN69" t="e">
        <f t="shared" si="11"/>
        <v>#REF!</v>
      </c>
      <c r="AO69" s="35">
        <v>150</v>
      </c>
      <c r="AP69" s="35" t="e">
        <f t="shared" si="10"/>
        <v>#REF!</v>
      </c>
      <c r="AQ69">
        <v>0</v>
      </c>
    </row>
    <row r="70" spans="2:43" x14ac:dyDescent="0.25">
      <c r="AN70" t="s">
        <v>95</v>
      </c>
      <c r="AO70" s="35">
        <v>0</v>
      </c>
      <c r="AP70" s="35" t="str">
        <f t="shared" si="10"/>
        <v>MAGGIO 0</v>
      </c>
      <c r="AQ70">
        <v>0</v>
      </c>
    </row>
    <row r="71" spans="2:43" x14ac:dyDescent="0.25">
      <c r="AN71" t="str">
        <f>+AN70</f>
        <v>MAGGIO</v>
      </c>
      <c r="AO71" s="35">
        <v>30</v>
      </c>
      <c r="AP71" s="35" t="str">
        <f t="shared" ref="AP71:AP76" si="12">+AN71&amp;" "&amp;AO71</f>
        <v>MAGGIO 30</v>
      </c>
      <c r="AQ71">
        <v>0</v>
      </c>
    </row>
    <row r="72" spans="2:43" x14ac:dyDescent="0.25">
      <c r="AN72" t="str">
        <f>+AN71</f>
        <v>MAGGIO</v>
      </c>
      <c r="AO72" s="35">
        <v>60</v>
      </c>
      <c r="AP72" s="35" t="str">
        <f t="shared" si="12"/>
        <v>MAGGIO 60</v>
      </c>
      <c r="AQ72">
        <v>0</v>
      </c>
    </row>
    <row r="73" spans="2:43" x14ac:dyDescent="0.25">
      <c r="AN73" t="str">
        <f t="shared" ref="AN73:AN75" si="13">+AN72</f>
        <v>MAGGIO</v>
      </c>
      <c r="AO73" s="35">
        <v>90</v>
      </c>
      <c r="AP73" s="35" t="str">
        <f t="shared" si="12"/>
        <v>MAGGIO 90</v>
      </c>
      <c r="AQ73">
        <v>0</v>
      </c>
    </row>
    <row r="74" spans="2:43" x14ac:dyDescent="0.25">
      <c r="AN74" t="str">
        <f t="shared" si="13"/>
        <v>MAGGIO</v>
      </c>
      <c r="AO74" s="35">
        <v>120</v>
      </c>
      <c r="AP74" s="35" t="str">
        <f t="shared" si="12"/>
        <v>MAGGIO 120</v>
      </c>
      <c r="AQ74">
        <v>0</v>
      </c>
    </row>
    <row r="75" spans="2:43" x14ac:dyDescent="0.25">
      <c r="AN75" t="str">
        <f t="shared" si="13"/>
        <v>MAGGIO</v>
      </c>
      <c r="AO75" s="35">
        <v>150</v>
      </c>
      <c r="AP75" s="35" t="str">
        <f t="shared" si="12"/>
        <v>MAGGIO 150</v>
      </c>
      <c r="AQ75">
        <v>0</v>
      </c>
    </row>
    <row r="76" spans="2:43" x14ac:dyDescent="0.25">
      <c r="AN76" t="s">
        <v>96</v>
      </c>
      <c r="AO76" s="35">
        <v>0</v>
      </c>
      <c r="AP76" s="35" t="str">
        <f t="shared" si="12"/>
        <v>APRILE 0</v>
      </c>
      <c r="AQ76">
        <v>0</v>
      </c>
    </row>
    <row r="77" spans="2:43" x14ac:dyDescent="0.25">
      <c r="AN77" t="str">
        <f>+AN76</f>
        <v>APRILE</v>
      </c>
      <c r="AO77" s="35">
        <v>30</v>
      </c>
      <c r="AP77" s="35" t="str">
        <f t="shared" ref="AP77:AP82" si="14">+AN77&amp;" "&amp;AO77</f>
        <v>APRILE 30</v>
      </c>
      <c r="AQ77">
        <v>0</v>
      </c>
    </row>
    <row r="78" spans="2:43" x14ac:dyDescent="0.25">
      <c r="AN78" t="str">
        <f>+AN77</f>
        <v>APRILE</v>
      </c>
      <c r="AO78" s="35">
        <v>60</v>
      </c>
      <c r="AP78" s="35" t="str">
        <f t="shared" si="14"/>
        <v>APRILE 60</v>
      </c>
      <c r="AQ78">
        <v>0</v>
      </c>
    </row>
    <row r="79" spans="2:43" x14ac:dyDescent="0.25">
      <c r="AN79" t="str">
        <f t="shared" ref="AN79:AN81" si="15">+AN78</f>
        <v>APRILE</v>
      </c>
      <c r="AO79" s="35">
        <v>90</v>
      </c>
      <c r="AP79" s="35" t="str">
        <f t="shared" si="14"/>
        <v>APRILE 90</v>
      </c>
      <c r="AQ79">
        <v>0</v>
      </c>
    </row>
    <row r="80" spans="2:43" x14ac:dyDescent="0.25">
      <c r="AN80" t="str">
        <f t="shared" si="15"/>
        <v>APRILE</v>
      </c>
      <c r="AO80" s="35">
        <v>120</v>
      </c>
      <c r="AP80" s="35" t="str">
        <f t="shared" si="14"/>
        <v>APRILE 120</v>
      </c>
      <c r="AQ80">
        <v>0</v>
      </c>
    </row>
    <row r="81" spans="40:43" x14ac:dyDescent="0.25">
      <c r="AN81" t="str">
        <f t="shared" si="15"/>
        <v>APRILE</v>
      </c>
      <c r="AO81" s="35">
        <v>150</v>
      </c>
      <c r="AP81" s="35" t="str">
        <f t="shared" si="14"/>
        <v>APRILE 150</v>
      </c>
      <c r="AQ81">
        <v>0</v>
      </c>
    </row>
    <row r="82" spans="40:43" x14ac:dyDescent="0.25">
      <c r="AN82" t="s">
        <v>97</v>
      </c>
      <c r="AO82" s="35">
        <v>0</v>
      </c>
      <c r="AP82" s="35" t="str">
        <f t="shared" si="14"/>
        <v>MARZO 0</v>
      </c>
      <c r="AQ82">
        <v>0</v>
      </c>
    </row>
    <row r="83" spans="40:43" x14ac:dyDescent="0.25">
      <c r="AN83" t="str">
        <f>+AN82</f>
        <v>MARZO</v>
      </c>
      <c r="AO83" s="35">
        <v>30</v>
      </c>
      <c r="AP83" s="35" t="str">
        <f t="shared" ref="AP83:AP88" si="16">+AN83&amp;" "&amp;AO83</f>
        <v>MARZO 30</v>
      </c>
      <c r="AQ83">
        <v>0</v>
      </c>
    </row>
    <row r="84" spans="40:43" x14ac:dyDescent="0.25">
      <c r="AN84" t="str">
        <f>+AN83</f>
        <v>MARZO</v>
      </c>
      <c r="AO84" s="35">
        <v>60</v>
      </c>
      <c r="AP84" s="35" t="str">
        <f t="shared" si="16"/>
        <v>MARZO 60</v>
      </c>
      <c r="AQ84">
        <v>0</v>
      </c>
    </row>
    <row r="85" spans="40:43" x14ac:dyDescent="0.25">
      <c r="AN85" t="str">
        <f t="shared" ref="AN85:AN87" si="17">+AN84</f>
        <v>MARZO</v>
      </c>
      <c r="AO85" s="35">
        <v>90</v>
      </c>
      <c r="AP85" s="35" t="str">
        <f t="shared" si="16"/>
        <v>MARZO 90</v>
      </c>
      <c r="AQ85">
        <v>0</v>
      </c>
    </row>
    <row r="86" spans="40:43" x14ac:dyDescent="0.25">
      <c r="AN86" t="str">
        <f t="shared" si="17"/>
        <v>MARZO</v>
      </c>
      <c r="AO86" s="35">
        <v>120</v>
      </c>
      <c r="AP86" s="35" t="str">
        <f t="shared" si="16"/>
        <v>MARZO 120</v>
      </c>
      <c r="AQ86">
        <v>0</v>
      </c>
    </row>
    <row r="87" spans="40:43" x14ac:dyDescent="0.25">
      <c r="AN87" t="str">
        <f t="shared" si="17"/>
        <v>MARZO</v>
      </c>
      <c r="AO87" s="35">
        <v>150</v>
      </c>
      <c r="AP87" s="35" t="str">
        <f t="shared" si="16"/>
        <v>MARZO 150</v>
      </c>
      <c r="AQ87">
        <v>0</v>
      </c>
    </row>
    <row r="88" spans="40:43" x14ac:dyDescent="0.25">
      <c r="AN88" t="s">
        <v>98</v>
      </c>
      <c r="AO88" s="35">
        <v>0</v>
      </c>
      <c r="AP88" s="35" t="str">
        <f t="shared" si="16"/>
        <v>FEBBRAIO 0</v>
      </c>
      <c r="AQ88">
        <v>0</v>
      </c>
    </row>
    <row r="89" spans="40:43" x14ac:dyDescent="0.25">
      <c r="AN89" t="str">
        <f>+AN88</f>
        <v>FEBBRAIO</v>
      </c>
      <c r="AO89" s="35">
        <v>30</v>
      </c>
      <c r="AP89" s="35" t="str">
        <f t="shared" ref="AP89:AP94" si="18">+AN89&amp;" "&amp;AO89</f>
        <v>FEBBRAIO 30</v>
      </c>
      <c r="AQ89">
        <v>0</v>
      </c>
    </row>
    <row r="90" spans="40:43" x14ac:dyDescent="0.25">
      <c r="AN90" t="str">
        <f>+AN89</f>
        <v>FEBBRAIO</v>
      </c>
      <c r="AO90" s="35">
        <v>60</v>
      </c>
      <c r="AP90" s="35" t="str">
        <f t="shared" si="18"/>
        <v>FEBBRAIO 60</v>
      </c>
      <c r="AQ90">
        <v>0</v>
      </c>
    </row>
    <row r="91" spans="40:43" x14ac:dyDescent="0.25">
      <c r="AN91" t="str">
        <f t="shared" ref="AN91:AN93" si="19">+AN90</f>
        <v>FEBBRAIO</v>
      </c>
      <c r="AO91" s="35">
        <v>90</v>
      </c>
      <c r="AP91" s="35" t="str">
        <f t="shared" si="18"/>
        <v>FEBBRAIO 90</v>
      </c>
      <c r="AQ91">
        <v>0</v>
      </c>
    </row>
    <row r="92" spans="40:43" x14ac:dyDescent="0.25">
      <c r="AN92" t="str">
        <f t="shared" si="19"/>
        <v>FEBBRAIO</v>
      </c>
      <c r="AO92" s="35">
        <v>120</v>
      </c>
      <c r="AP92" s="35" t="str">
        <f t="shared" si="18"/>
        <v>FEBBRAIO 120</v>
      </c>
      <c r="AQ92">
        <v>0</v>
      </c>
    </row>
    <row r="93" spans="40:43" x14ac:dyDescent="0.25">
      <c r="AN93" t="str">
        <f t="shared" si="19"/>
        <v>FEBBRAIO</v>
      </c>
      <c r="AO93" s="35">
        <v>150</v>
      </c>
      <c r="AP93" s="35" t="str">
        <f t="shared" si="18"/>
        <v>FEBBRAIO 150</v>
      </c>
      <c r="AQ93">
        <v>0</v>
      </c>
    </row>
    <row r="94" spans="40:43" x14ac:dyDescent="0.25">
      <c r="AN94" t="s">
        <v>99</v>
      </c>
      <c r="AO94" s="35">
        <v>0</v>
      </c>
      <c r="AP94" s="35" t="str">
        <f t="shared" si="18"/>
        <v>GENNAIO 0</v>
      </c>
      <c r="AQ94">
        <v>0</v>
      </c>
    </row>
    <row r="95" spans="40:43" x14ac:dyDescent="0.25">
      <c r="AN95" t="str">
        <f>+AN94</f>
        <v>GENNAIO</v>
      </c>
      <c r="AO95" s="35">
        <v>30</v>
      </c>
      <c r="AP95" s="35" t="str">
        <f t="shared" ref="AP95:AP99" si="20">+AN95&amp;" "&amp;AO95</f>
        <v>GENNAIO 30</v>
      </c>
      <c r="AQ95">
        <v>0</v>
      </c>
    </row>
    <row r="96" spans="40:43" x14ac:dyDescent="0.25">
      <c r="AN96" t="str">
        <f>+AN95</f>
        <v>GENNAIO</v>
      </c>
      <c r="AO96" s="35">
        <v>60</v>
      </c>
      <c r="AP96" s="35" t="str">
        <f t="shared" si="20"/>
        <v>GENNAIO 60</v>
      </c>
      <c r="AQ96">
        <v>0</v>
      </c>
    </row>
    <row r="97" spans="40:43" x14ac:dyDescent="0.25">
      <c r="AN97" t="str">
        <f t="shared" ref="AN97:AN99" si="21">+AN96</f>
        <v>GENNAIO</v>
      </c>
      <c r="AO97" s="35">
        <v>90</v>
      </c>
      <c r="AP97" s="35" t="str">
        <f t="shared" si="20"/>
        <v>GENNAIO 90</v>
      </c>
      <c r="AQ97">
        <v>0</v>
      </c>
    </row>
    <row r="98" spans="40:43" x14ac:dyDescent="0.25">
      <c r="AN98" t="str">
        <f t="shared" si="21"/>
        <v>GENNAIO</v>
      </c>
      <c r="AO98" s="35">
        <v>120</v>
      </c>
      <c r="AP98" s="35" t="str">
        <f t="shared" si="20"/>
        <v>GENNAIO 120</v>
      </c>
      <c r="AQ98">
        <v>0</v>
      </c>
    </row>
    <row r="99" spans="40:43" x14ac:dyDescent="0.25">
      <c r="AN99" t="str">
        <f t="shared" si="21"/>
        <v>GENNAIO</v>
      </c>
      <c r="AO99" s="35">
        <v>150</v>
      </c>
      <c r="AP99" s="35" t="str">
        <f t="shared" si="20"/>
        <v>GENNAIO 150</v>
      </c>
      <c r="AQ99">
        <v>0</v>
      </c>
    </row>
  </sheetData>
  <dataValidations count="2">
    <dataValidation type="list" allowBlank="1" showInputMessage="1" showErrorMessage="1" sqref="D40:E40">
      <formula1>$AI$36:$AI$41</formula1>
    </dataValidation>
    <dataValidation type="list" allowBlank="1" showInputMessage="1" showErrorMessage="1" sqref="D38:E38">
      <formula1>$AK$30:$AK$41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8"/>
  <sheetViews>
    <sheetView workbookViewId="0">
      <selection activeCell="C18" sqref="C18:D18"/>
    </sheetView>
  </sheetViews>
  <sheetFormatPr defaultRowHeight="15" x14ac:dyDescent="0.25"/>
  <cols>
    <col min="2" max="2" width="11.5703125" bestFit="1" customWidth="1"/>
    <col min="3" max="4" width="10.5703125" bestFit="1" customWidth="1"/>
  </cols>
  <sheetData>
    <row r="3" spans="2:7" x14ac:dyDescent="0.25">
      <c r="C3" t="s">
        <v>45</v>
      </c>
      <c r="D3" t="s">
        <v>46</v>
      </c>
    </row>
    <row r="4" spans="2:7" x14ac:dyDescent="0.25">
      <c r="B4" t="s">
        <v>50</v>
      </c>
      <c r="C4" s="1">
        <f>+CIRCOLANTE!D76*CIRCOLANTE!D32</f>
        <v>21000</v>
      </c>
      <c r="D4" s="1">
        <f>+CIRCOLANTE!E76*CIRCOLANTE!E32</f>
        <v>21000</v>
      </c>
    </row>
    <row r="5" spans="2:7" x14ac:dyDescent="0.25">
      <c r="B5" t="s">
        <v>53</v>
      </c>
      <c r="C5" s="1">
        <f>+(CIRCOLANTE!D42*CIRCOLANTE!D77)+(CIRCOLANTE!D51*CIRCOLANTE!D78)+(CIRCOLANTE!D60*CIRCOLANTE!D79)</f>
        <v>10500</v>
      </c>
      <c r="D5" s="1">
        <f>+(CIRCOLANTE!E42*CIRCOLANTE!E77)+(CIRCOLANTE!E51*CIRCOLANTE!E78)+(CIRCOLANTE!E60*CIRCOLANTE!E79)</f>
        <v>10500</v>
      </c>
    </row>
    <row r="6" spans="2:7" x14ac:dyDescent="0.25">
      <c r="B6" t="s">
        <v>52</v>
      </c>
      <c r="C6" s="1">
        <f>+C4-C5</f>
        <v>10500</v>
      </c>
      <c r="D6" s="1">
        <f>+D4-D5</f>
        <v>10500</v>
      </c>
    </row>
    <row r="8" spans="2:7" x14ac:dyDescent="0.25">
      <c r="B8" t="s">
        <v>53</v>
      </c>
      <c r="C8" s="1">
        <f>+IF(C6&lt;0,-(C6),0)</f>
        <v>0</v>
      </c>
      <c r="D8" s="1">
        <f>+IF(D6&lt;0,-(D6),0)</f>
        <v>0</v>
      </c>
    </row>
    <row r="9" spans="2:7" x14ac:dyDescent="0.25">
      <c r="B9" t="s">
        <v>50</v>
      </c>
      <c r="C9" s="1">
        <f>+IF(C6&gt;0,C6/12,0)</f>
        <v>875</v>
      </c>
      <c r="D9" s="1">
        <f>+IF(D6&gt;0,D6/12,0)</f>
        <v>875</v>
      </c>
    </row>
    <row r="12" spans="2:7" x14ac:dyDescent="0.25">
      <c r="C12" t="s">
        <v>45</v>
      </c>
      <c r="D12" t="s">
        <v>46</v>
      </c>
    </row>
    <row r="13" spans="2:7" x14ac:dyDescent="0.25">
      <c r="B13" t="s">
        <v>50</v>
      </c>
      <c r="C13" s="1">
        <f>+IMMOBILIZZAZIONI!D58*IMMOBILIZZAZIONI!D64</f>
        <v>3150</v>
      </c>
      <c r="D13" s="1">
        <f>+IMMOBILIZZAZIONI!E58*IMMOBILIZZAZIONI!E64</f>
        <v>2100</v>
      </c>
      <c r="F13">
        <v>32</v>
      </c>
      <c r="G13">
        <v>61</v>
      </c>
    </row>
    <row r="14" spans="2:7" x14ac:dyDescent="0.25">
      <c r="B14" t="s">
        <v>53</v>
      </c>
      <c r="C14" s="1">
        <f>+IMMOBILIZZAZIONI!D65*IMMOBILIZZAZIONI!D36</f>
        <v>10500</v>
      </c>
      <c r="D14" s="1">
        <f>+IMMOBILIZZAZIONI!E65*IMMOBILIZZAZIONI!E36</f>
        <v>2100</v>
      </c>
      <c r="F14">
        <v>54</v>
      </c>
      <c r="G14">
        <v>60</v>
      </c>
    </row>
    <row r="15" spans="2:7" x14ac:dyDescent="0.25">
      <c r="B15" t="s">
        <v>52</v>
      </c>
      <c r="C15" s="1">
        <f>+C13-C14</f>
        <v>-7350</v>
      </c>
      <c r="D15" s="1">
        <f>+D13-D14</f>
        <v>0</v>
      </c>
    </row>
    <row r="17" spans="2:4" x14ac:dyDescent="0.25">
      <c r="B17" t="s">
        <v>53</v>
      </c>
      <c r="C17" s="1">
        <f>+IF(C15&lt;0,-(C15),0)</f>
        <v>7350</v>
      </c>
      <c r="D17" s="1">
        <f>+IF(D15&lt;0,-(D15),0)</f>
        <v>0</v>
      </c>
    </row>
    <row r="18" spans="2:4" x14ac:dyDescent="0.25">
      <c r="B18" t="s">
        <v>104</v>
      </c>
      <c r="C18" s="1">
        <f>+IF(C15&gt;0,C15/12,0)</f>
        <v>0</v>
      </c>
      <c r="D18" s="1">
        <f>+IF(D15&gt;0,D15/12,0)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CIRCOLANTE</vt:lpstr>
      <vt:lpstr>IMMOBILIZZAZIONI</vt:lpstr>
      <vt:lpstr>A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gianluca.imperiale</dc:creator>
  <cp:lastModifiedBy>Imperiale, Gianluca</cp:lastModifiedBy>
  <dcterms:created xsi:type="dcterms:W3CDTF">2012-12-05T12:32:32Z</dcterms:created>
  <dcterms:modified xsi:type="dcterms:W3CDTF">2012-12-15T16:13:06Z</dcterms:modified>
</cp:coreProperties>
</file>