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8250" activeTab="0"/>
  </bookViews>
  <sheets>
    <sheet name="Input" sheetId="1" r:id="rId1"/>
    <sheet name="Report -&gt;" sheetId="2" r:id="rId2"/>
    <sheet name="SP" sheetId="3" r:id="rId3"/>
    <sheet name="CE" sheetId="4" r:id="rId4"/>
    <sheet name="Cash Flow" sheetId="5" r:id="rId5"/>
    <sheet name="Calcoli -&gt; " sheetId="6" r:id="rId6"/>
    <sheet name="MCL" sheetId="7" r:id="rId7"/>
    <sheet name="Inve" sheetId="8" r:id="rId8"/>
    <sheet name="Personale" sheetId="9" r:id="rId9"/>
    <sheet name="Mutuo invitalia" sheetId="10" r:id="rId10"/>
    <sheet name="finanziamento" sheetId="11" r:id="rId11"/>
    <sheet name="Altri costi" sheetId="12" r:id="rId12"/>
    <sheet name="Iva" sheetId="13" r:id="rId13"/>
    <sheet name="Irap" sheetId="14" r:id="rId14"/>
    <sheet name="Irpef socio" sheetId="15" r:id="rId15"/>
    <sheet name="Inps socio" sheetId="16" r:id="rId16"/>
    <sheet name="Banca" sheetId="17" r:id="rId17"/>
    <sheet name="Sheet5" sheetId="18" r:id="rId1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<sst xmlns="http://schemas.openxmlformats.org/spreadsheetml/2006/main" count="801" uniqueCount="429">
  <si>
    <t>Fatturato</t>
  </si>
  <si>
    <t>Aliquota iva</t>
  </si>
  <si>
    <t>Giorni dil cliente</t>
  </si>
  <si>
    <t>Anno 1</t>
  </si>
  <si>
    <t>Anno 2</t>
  </si>
  <si>
    <t>Anno 3</t>
  </si>
  <si>
    <t>Anno 4</t>
  </si>
  <si>
    <t>Anno 5</t>
  </si>
  <si>
    <t>gg giac mag</t>
  </si>
  <si>
    <t>Prodotti</t>
  </si>
  <si>
    <t>Vendite</t>
  </si>
  <si>
    <t>Aliquota iva media</t>
  </si>
  <si>
    <t>dilazione Clienti</t>
  </si>
  <si>
    <t>Giorni dil fornitore</t>
  </si>
  <si>
    <t>magazzino MP</t>
  </si>
  <si>
    <t>TOTALE</t>
  </si>
  <si>
    <t>Consumo merci Mp</t>
  </si>
  <si>
    <t>Crediti commerciali</t>
  </si>
  <si>
    <t>Iva a Debito</t>
  </si>
  <si>
    <t>Iva a debito</t>
  </si>
  <si>
    <t>Debiti commerciali</t>
  </si>
  <si>
    <t>Acquisto MP</t>
  </si>
  <si>
    <t>Debiti Commerciali</t>
  </si>
  <si>
    <t>Iva a Credito</t>
  </si>
  <si>
    <t>TOTALE Iva a Debito</t>
  </si>
  <si>
    <t>TOTALE Iva a Credito</t>
  </si>
  <si>
    <t>TOTALE Debiti</t>
  </si>
  <si>
    <t>TOTALE Crediti</t>
  </si>
  <si>
    <t>TOTALE ATTIVO</t>
  </si>
  <si>
    <t>TOTALE PASSIVO</t>
  </si>
  <si>
    <t>Utile Esercizio</t>
  </si>
  <si>
    <t>Utile a nuovo</t>
  </si>
  <si>
    <t>Banca/cassa</t>
  </si>
  <si>
    <t>Banca/Cassa</t>
  </si>
  <si>
    <t>Entrate</t>
  </si>
  <si>
    <t>Incassi</t>
  </si>
  <si>
    <t>Totale Incassi</t>
  </si>
  <si>
    <t>Uscite</t>
  </si>
  <si>
    <t>Magazzino MP</t>
  </si>
  <si>
    <t>Investimenti</t>
  </si>
  <si>
    <t>INVESTIMENTI</t>
  </si>
  <si>
    <t>Investimenti Materiali</t>
  </si>
  <si>
    <t>Investimenti Immateriali</t>
  </si>
  <si>
    <t>Pagamenti inv materiali (con Iva)</t>
  </si>
  <si>
    <t>Pagamenti inv immateriali  (con Iva)</t>
  </si>
  <si>
    <t>residuo da pagare</t>
  </si>
  <si>
    <t>Aliquota media amm.to materiali</t>
  </si>
  <si>
    <t>Aliquota media amm.to Immateriali</t>
  </si>
  <si>
    <t>Ammortamenti</t>
  </si>
  <si>
    <t>Fondo Ammortamenti</t>
  </si>
  <si>
    <t>Riepilogo</t>
  </si>
  <si>
    <t>Amm,ti materiali</t>
  </si>
  <si>
    <t>Amm.ti immateriali</t>
  </si>
  <si>
    <t>Investimenti materiali</t>
  </si>
  <si>
    <t>Investimenti immateriali</t>
  </si>
  <si>
    <t>F.do amm.to inv materiali</t>
  </si>
  <si>
    <t>F.do amm.to inv immateriali</t>
  </si>
  <si>
    <t>Iva a credito</t>
  </si>
  <si>
    <t>Totale Iva a Credito</t>
  </si>
  <si>
    <t>Debito Fornitori Imm.ni</t>
  </si>
  <si>
    <t>Totale Debiti Fornitori imm.ni</t>
  </si>
  <si>
    <t>Totale Uscite</t>
  </si>
  <si>
    <t>Debiti Forn. Imm.ni</t>
  </si>
  <si>
    <t>PERSONALE</t>
  </si>
  <si>
    <t>Numero dipendenti</t>
  </si>
  <si>
    <t>INPS (in % della retribuzione lorda media)</t>
  </si>
  <si>
    <t>INAIL (in % della retribuzione lorda media)</t>
  </si>
  <si>
    <t>TFR/Fondo  (in % della retribuzione lorda media)</t>
  </si>
  <si>
    <t>Retribuzione</t>
  </si>
  <si>
    <t>INPS</t>
  </si>
  <si>
    <t>INAIL</t>
  </si>
  <si>
    <t>TFR</t>
  </si>
  <si>
    <t>Costo Dipendenti</t>
  </si>
  <si>
    <t>Retribuzione Lorda media anno</t>
  </si>
  <si>
    <t>Totale Costo</t>
  </si>
  <si>
    <t>Costi Personale</t>
  </si>
  <si>
    <t>FINANZIAMENTI M/L TERMINE</t>
  </si>
  <si>
    <t xml:space="preserve">Periodo Stipula Contratto </t>
  </si>
  <si>
    <t>Tasso di interesse annuale</t>
  </si>
  <si>
    <t>Importo Mutuo</t>
  </si>
  <si>
    <t>Numero anni</t>
  </si>
  <si>
    <t>MUTUO</t>
  </si>
  <si>
    <t>PARAMETRI</t>
  </si>
  <si>
    <t>INPUT</t>
  </si>
  <si>
    <t>Inizio pagamento rata</t>
  </si>
  <si>
    <t>Numero rate annuali (da 1 a 4)</t>
  </si>
  <si>
    <t>Durata (numero rate totali)</t>
  </si>
  <si>
    <t>Tasso di interesse effettivo</t>
  </si>
  <si>
    <t>Rata (quota capitale + oneri finanziari)</t>
  </si>
  <si>
    <t>periodo</t>
  </si>
  <si>
    <t>Mutuo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</si>
  <si>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</si>
  <si>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</si>
  <si>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</si>
  <si>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</si>
  <si>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</si>
  <si>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</si>
  <si>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</si>
  <si>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</si>
  <si>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</si>
  <si>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</si>
  <si>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</si>
  <si>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</si>
  <si>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</si>
  <si>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</si>
  <si>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</si>
  <si>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</si>
  <si>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</si>
  <si>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</si>
  <si>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</si>
  <si>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</si>
  <si>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</si>
  <si>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</si>
  <si>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</si>
  <si>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</si>
  <si>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</si>
  <si>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</si>
  <si>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</si>
  <si>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</si>
  <si>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</si>
  <si>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</si>
  <si>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</si>
  <si>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</si>
  <si>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</si>
  <si>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</si>
  <si>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</si>
  <si>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Rata</t>
  </si>
  <si>
    <t>Quota Capitale</t>
  </si>
  <si>
    <t>Quota Capitale Cumulata</t>
  </si>
  <si>
    <t xml:space="preserve">Oneri Finanziari </t>
  </si>
  <si>
    <t>Debito Residuo</t>
  </si>
  <si>
    <t>SP</t>
  </si>
  <si>
    <t>Banca</t>
  </si>
  <si>
    <t>CE</t>
  </si>
  <si>
    <t>ONERI FINANZIARI</t>
  </si>
  <si>
    <t>controllo</t>
  </si>
  <si>
    <t>numero mese stipula</t>
  </si>
  <si>
    <t>numero mese inizio rata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</si>
  <si>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</si>
  <si>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</si>
  <si>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</si>
  <si>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</si>
  <si>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</si>
  <si>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</si>
  <si>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</si>
  <si>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</si>
  <si>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</si>
  <si>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</si>
  <si>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</si>
  <si>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</si>
  <si>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</si>
  <si>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</si>
  <si>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</si>
  <si>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</si>
  <si>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</si>
  <si>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</si>
  <si>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</si>
  <si>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</si>
  <si>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</si>
  <si>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</si>
  <si>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</si>
  <si>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</si>
  <si>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</si>
  <si>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</si>
  <si>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</si>
  <si>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</si>
  <si>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</si>
  <si>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</si>
  <si>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</si>
  <si>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</si>
  <si>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</si>
  <si>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</si>
  <si>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</si>
  <si>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</si>
  <si>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</si>
  <si>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</si>
  <si>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</si>
  <si>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</si>
  <si>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</si>
  <si>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</si>
  <si>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</si>
  <si>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</si>
  <si>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</si>
  <si>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</si>
  <si>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</si>
  <si>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</si>
  <si>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</si>
  <si>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</si>
  <si>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</si>
  <si>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</si>
  <si>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</si>
  <si>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</si>
  <si>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</si>
  <si>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</si>
  <si>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</si>
  <si>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</si>
  <si>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</si>
  <si>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</si>
  <si>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</si>
  <si>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</si>
  <si>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</si>
  <si>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</si>
  <si>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</si>
  <si>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</si>
  <si>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</si>
  <si>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</si>
  <si>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</si>
  <si>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</si>
  <si>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</si>
  <si>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</si>
  <si>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</si>
  <si>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</si>
  <si>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</si>
  <si>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</si>
  <si>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</si>
  <si>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</si>
  <si>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</si>
  <si>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</si>
  <si>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</si>
  <si>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</si>
  <si>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</si>
  <si>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</si>
  <si>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</si>
  <si>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Finanziamento m/l termine</t>
  </si>
  <si>
    <t>Oneri Finanziari</t>
  </si>
  <si>
    <t>Altri Costi</t>
  </si>
  <si>
    <t>Aliquota Iva</t>
  </si>
  <si>
    <t>Costo -&gt;</t>
  </si>
  <si>
    <t>spese utenze</t>
  </si>
  <si>
    <t>spese di rappresentanza</t>
  </si>
  <si>
    <t>spese di pubblicità e promozioni</t>
  </si>
  <si>
    <t>beni strumentali inf. al milione</t>
  </si>
  <si>
    <t>spese di trasporto</t>
  </si>
  <si>
    <t>lavorazioni presso terzi</t>
  </si>
  <si>
    <t>consulenze legali, fiscali, notarili, ecc…</t>
  </si>
  <si>
    <t>compensi amministratori</t>
  </si>
  <si>
    <t>altri costi amministrativi</t>
  </si>
  <si>
    <t>Costi diversi</t>
  </si>
  <si>
    <t>Premi assicurativi</t>
  </si>
  <si>
    <t xml:space="preserve">affitti </t>
  </si>
  <si>
    <t>Altri costi 3</t>
  </si>
  <si>
    <t>Altri costi 4</t>
  </si>
  <si>
    <t>Altri costi 5</t>
  </si>
  <si>
    <t>Altri costi 6</t>
  </si>
  <si>
    <t>Altri costi 7</t>
  </si>
  <si>
    <t>Altri costi 8</t>
  </si>
  <si>
    <t>Altri costi 9</t>
  </si>
  <si>
    <t>Utile esercizio anteimposte</t>
  </si>
  <si>
    <t>Totale Iva</t>
  </si>
  <si>
    <t>Utile</t>
  </si>
  <si>
    <t>Tasso scoperto conto corrente</t>
  </si>
  <si>
    <t>CRUSCOTTO SINTETICO</t>
  </si>
  <si>
    <t>Erario c/Iva</t>
  </si>
  <si>
    <t>Liquidazione mensile</t>
  </si>
  <si>
    <t xml:space="preserve">Erario c/iva </t>
  </si>
  <si>
    <t>Utilizzo Iva a credito</t>
  </si>
  <si>
    <t>Liquidazione Iva</t>
  </si>
  <si>
    <t>Riporto Iva a Credito</t>
  </si>
  <si>
    <t>Pagamento Iva</t>
  </si>
  <si>
    <t>Liquidazione trimestrale</t>
  </si>
  <si>
    <t>ANNO 1</t>
  </si>
  <si>
    <t>ANNO 2</t>
  </si>
  <si>
    <t>ANNO 3</t>
  </si>
  <si>
    <t>ANNO 4</t>
  </si>
  <si>
    <t>ANNO 5</t>
  </si>
  <si>
    <t xml:space="preserve">Erario c/iva ultimo </t>
  </si>
  <si>
    <t>mensile</t>
  </si>
  <si>
    <t>trimestrale</t>
  </si>
  <si>
    <t>Paramentri Iniziali</t>
  </si>
  <si>
    <t>Liquidazione</t>
  </si>
  <si>
    <t>iva</t>
  </si>
  <si>
    <t>Utile da partecipazione da portare a Tassazione</t>
  </si>
  <si>
    <t>Quota Socio</t>
  </si>
  <si>
    <t>% Utile a Tassazione</t>
  </si>
  <si>
    <t>Utili da partecipazione</t>
  </si>
  <si>
    <t>Utile da portare a Tassazione</t>
  </si>
  <si>
    <t>Tassazione</t>
  </si>
  <si>
    <t>Scaglioni reddito</t>
  </si>
  <si>
    <t>Da</t>
  </si>
  <si>
    <t>a</t>
  </si>
  <si>
    <t>Aliquota</t>
  </si>
  <si>
    <t>Fascia</t>
  </si>
  <si>
    <t>Quota socio</t>
  </si>
  <si>
    <t xml:space="preserve">Liquidità -&gt; Conto corrente Banca </t>
  </si>
  <si>
    <t xml:space="preserve">Tassazione </t>
  </si>
  <si>
    <t>Reddito Imponibile Irpef</t>
  </si>
  <si>
    <t>Costo non detraibili IRAP</t>
  </si>
  <si>
    <t>Costo del Personale</t>
  </si>
  <si>
    <t>Totale costi non deducibili</t>
  </si>
  <si>
    <t>Reddito Imponibile Irap</t>
  </si>
  <si>
    <t>Irap</t>
  </si>
  <si>
    <t>Aliquota Irap</t>
  </si>
  <si>
    <t>Imposta Irap</t>
  </si>
  <si>
    <t>Liquidazione Irap</t>
  </si>
  <si>
    <t>Debito Irap</t>
  </si>
  <si>
    <t>Credito Irap</t>
  </si>
  <si>
    <t>Utile netto dopo Irap</t>
  </si>
  <si>
    <t>Credito v erario</t>
  </si>
  <si>
    <t>Debito v/Erario</t>
  </si>
  <si>
    <t>Cash Flow</t>
  </si>
  <si>
    <t>Reddito Operativo</t>
  </si>
  <si>
    <t xml:space="preserve">    -   Accantonamento TFR ed Altri Fondi</t>
  </si>
  <si>
    <t xml:space="preserve">    -   AmmortamentI</t>
  </si>
  <si>
    <t>1° MARGINE</t>
  </si>
  <si>
    <t xml:space="preserve"> Variazione Circolante Netto</t>
  </si>
  <si>
    <t xml:space="preserve">     - Variazione Crediti v/clienti</t>
  </si>
  <si>
    <t xml:space="preserve">     - Variazione Erario Iva</t>
  </si>
  <si>
    <t xml:space="preserve">     - Variazione Rim. Merci, Mat. Prime, Suss., Semilav.</t>
  </si>
  <si>
    <t xml:space="preserve">     - Variazione Fornitori Commerciali</t>
  </si>
  <si>
    <t>CASH FLOW DELLA GESTIONE CARATTERISTICA</t>
  </si>
  <si>
    <t xml:space="preserve">     - Investimenti</t>
  </si>
  <si>
    <t xml:space="preserve">          1) Materiali</t>
  </si>
  <si>
    <t xml:space="preserve">          2) Immateriali</t>
  </si>
  <si>
    <t>CASH FLOW OPERAZIONALE</t>
  </si>
  <si>
    <t>Variazione debiti A m/l termine</t>
  </si>
  <si>
    <t xml:space="preserve">     - Mutui e Finanziamenti</t>
  </si>
  <si>
    <t xml:space="preserve">     - Finanziamento Soci</t>
  </si>
  <si>
    <t xml:space="preserve">     - Variazione Fornitori Immobilizzazioni</t>
  </si>
  <si>
    <t xml:space="preserve">     - Oneri finanziari </t>
  </si>
  <si>
    <t xml:space="preserve">     - Imposte di competenza</t>
  </si>
  <si>
    <t xml:space="preserve">     - Utili non riportati a nuovo</t>
  </si>
  <si>
    <t>CASH FLOW (VARIAZIONE LIQUIDITA' A BREVE)</t>
  </si>
  <si>
    <t>CONTROLLO</t>
  </si>
  <si>
    <t>Margine Contribuzione</t>
  </si>
  <si>
    <t>REDDITO OPERATIVO</t>
  </si>
  <si>
    <t>AMMORTAMENTI</t>
  </si>
  <si>
    <t>Crediti esigibili nell'esercizio</t>
  </si>
  <si>
    <t>Debiti correnti</t>
  </si>
  <si>
    <t>Fondo TFR</t>
  </si>
  <si>
    <t>Finanxiamento soci</t>
  </si>
  <si>
    <t>Debiti m/l termine</t>
  </si>
  <si>
    <t>Banca c/c attivo</t>
  </si>
  <si>
    <t>Banca c/c passivo</t>
  </si>
  <si>
    <t>Oneri finanziari Passivi</t>
  </si>
  <si>
    <t>Tasso interesse attivo</t>
  </si>
  <si>
    <t>Uscite Oneri finaziari</t>
  </si>
  <si>
    <t>Finanziamento soci</t>
  </si>
  <si>
    <t>Distribuzione utili soci</t>
  </si>
  <si>
    <t>Ineressi Attivi</t>
  </si>
  <si>
    <t>GESTIONE FINANZIARIA</t>
  </si>
  <si>
    <t>Interessi Attivi</t>
  </si>
  <si>
    <t>Entrate interessi attivi</t>
  </si>
  <si>
    <t>dopo ineressi attvi/passivi</t>
  </si>
  <si>
    <t>debiti7CREDITI</t>
  </si>
  <si>
    <t>Stato Patrimoniale</t>
  </si>
  <si>
    <t>Conto Economico</t>
  </si>
  <si>
    <t>Torna ad Input</t>
  </si>
  <si>
    <t>Visualizza Report</t>
  </si>
  <si>
    <t>Settore:</t>
  </si>
  <si>
    <t xml:space="preserve">Entità legale: </t>
  </si>
  <si>
    <t>Utile Azienda  dopo Irap</t>
  </si>
  <si>
    <t xml:space="preserve">Commercio </t>
  </si>
  <si>
    <t>Società di persone/Ditta Individuale</t>
  </si>
  <si>
    <t>Utile socio al</t>
  </si>
  <si>
    <t>Tassazione Irpef Socio al</t>
  </si>
  <si>
    <t>UTILE SOCIO DOPO TASSAZIONE</t>
  </si>
  <si>
    <t>% Utile calcolo Inps</t>
  </si>
  <si>
    <t>Tipologia di contribuente</t>
  </si>
  <si>
    <t>Commerciante</t>
  </si>
  <si>
    <t>Inps</t>
  </si>
  <si>
    <t>&lt;</t>
  </si>
  <si>
    <t>Minimale</t>
  </si>
  <si>
    <t>&gt;</t>
  </si>
  <si>
    <t>%</t>
  </si>
  <si>
    <t>contributi</t>
  </si>
  <si>
    <t>Contributi Inps Socio al</t>
  </si>
  <si>
    <t>Utile socio (dopo tassazione Irpef e Inps)</t>
  </si>
  <si>
    <t>celle input</t>
  </si>
  <si>
    <t>Iva a Debito mese</t>
  </si>
  <si>
    <t>Iva a Credito mese</t>
  </si>
  <si>
    <t>TOTALE Iva a Debito Mese</t>
  </si>
  <si>
    <t>TOTALE Iva a Credito mese</t>
  </si>
  <si>
    <t>Attività:</t>
  </si>
  <si>
    <t>Tipologia 1</t>
  </si>
  <si>
    <t>Tipologia 2</t>
  </si>
  <si>
    <t>Tipologia 3</t>
  </si>
  <si>
    <t>Tipologia 4</t>
  </si>
  <si>
    <t>Tipologia 5</t>
  </si>
  <si>
    <t>Tipologia 6</t>
  </si>
  <si>
    <t>Tipologia 7</t>
  </si>
  <si>
    <t>Tipologia 8</t>
  </si>
  <si>
    <t>Tipologia 9</t>
  </si>
  <si>
    <t>Royalties Fatturato</t>
  </si>
  <si>
    <t xml:space="preserve">Royalties </t>
  </si>
  <si>
    <t>Royalties Franchising</t>
  </si>
  <si>
    <t>Royalties franchising</t>
  </si>
  <si>
    <t>Acquisti</t>
  </si>
  <si>
    <t>Debito v/Franchisor</t>
  </si>
  <si>
    <t>Uscite Franchisor</t>
  </si>
  <si>
    <t>www.bpexcel.it</t>
  </si>
  <si>
    <t>MARCHIO:</t>
  </si>
  <si>
    <t>Margine contribuzione</t>
  </si>
  <si>
    <t>Importo Fidejussione</t>
  </si>
  <si>
    <t>SEZIONE FINANZIAMENTO INVITALIA</t>
  </si>
  <si>
    <t>Fidejussione</t>
  </si>
  <si>
    <t xml:space="preserve">      -Fidejussione</t>
  </si>
  <si>
    <t>Investimenti Finanziabili</t>
  </si>
  <si>
    <t>Costi di conto gestione finanziabili</t>
  </si>
  <si>
    <t>Contributo a fondo Perduto</t>
  </si>
  <si>
    <t>Totale Contributo</t>
  </si>
  <si>
    <t>tasso interesse mutuo</t>
  </si>
  <si>
    <t>Mutuo invitalia</t>
  </si>
  <si>
    <t xml:space="preserve">     - Mutuo Invitalia</t>
  </si>
  <si>
    <t>Erogazione</t>
  </si>
  <si>
    <t>Conto Gestione</t>
  </si>
  <si>
    <t>a3</t>
  </si>
  <si>
    <t>Contributo f/perduto</t>
  </si>
  <si>
    <t>Costo annuale fidejussione</t>
  </si>
  <si>
    <t xml:space="preserve">     - Contributo fondo Perduto</t>
  </si>
  <si>
    <t>Consumi MP</t>
  </si>
  <si>
    <t>Giacenza magazzino</t>
  </si>
  <si>
    <t>Prezzo medio</t>
  </si>
  <si>
    <t>Quantità</t>
  </si>
  <si>
    <t>Mp iniziali</t>
  </si>
  <si>
    <t>Mp Finali</t>
  </si>
  <si>
    <t>% Margine di contribuzione</t>
  </si>
  <si>
    <t>anni durata contratto</t>
  </si>
  <si>
    <t>Fee d'ingresso</t>
  </si>
  <si>
    <t>F.ddo amm.to fee d'ingresso</t>
  </si>
  <si>
    <t>Fondo ammortamento</t>
  </si>
  <si>
    <t>Ammortamento</t>
  </si>
  <si>
    <t>Amm.ti fee d'ingresso</t>
  </si>
  <si>
    <t>Fee di Ingresso (al netto iva)</t>
  </si>
  <si>
    <t>Pagamento fee d'ingresso (con iva)</t>
  </si>
  <si>
    <t>Format:</t>
  </si>
  <si>
    <t>L'Erbolario</t>
  </si>
  <si>
    <t>Erboristeria</t>
  </si>
  <si>
    <t>Concept Tradizionale</t>
  </si>
  <si>
    <t>% su fatturato netto mensile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</si>
</sst>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&quot;€&quot;\ #,##0.00"/>
    <numFmt numFmtId="166" formatCode="&quot;€&quot;\ #,##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%"/>
    <numFmt numFmtId="173" formatCode="0.0000%"/>
    <numFmt numFmtId="17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b/>
      <sz val="8"/>
      <name val="Book Antiqua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8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 val="single"/>
      <sz val="18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9FB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4" fillId="0" borderId="17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4" fillId="0" borderId="15" xfId="0" applyFont="1" applyBorder="1" applyAlignment="1">
      <alignment/>
    </xf>
    <xf numFmtId="0" fontId="44" fillId="0" borderId="0" xfId="0" applyFont="1" applyBorder="1" applyAlignment="1">
      <alignment horizontal="center" wrapText="1"/>
    </xf>
    <xf numFmtId="9" fontId="44" fillId="8" borderId="10" xfId="59" applyFon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4" fillId="8" borderId="0" xfId="0" applyFont="1" applyFill="1" applyBorder="1" applyAlignment="1">
      <alignment/>
    </xf>
    <xf numFmtId="0" fontId="44" fillId="0" borderId="15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4" fillId="0" borderId="0" xfId="0" applyNumberFormat="1" applyFont="1" applyBorder="1" applyAlignment="1">
      <alignment horizontal="center"/>
    </xf>
    <xf numFmtId="164" fontId="44" fillId="0" borderId="0" xfId="0" applyNumberFormat="1" applyFont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0" xfId="0" applyFont="1" applyBorder="1" applyAlignment="1" quotePrefix="1">
      <alignment/>
    </xf>
    <xf numFmtId="9" fontId="0" fillId="8" borderId="10" xfId="59" applyFon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4" fillId="0" borderId="26" xfId="0" applyFont="1" applyBorder="1" applyAlignment="1">
      <alignment/>
    </xf>
    <xf numFmtId="164" fontId="44" fillId="0" borderId="0" xfId="0" applyNumberFormat="1" applyFont="1" applyBorder="1" applyAlignment="1">
      <alignment/>
    </xf>
    <xf numFmtId="0" fontId="44" fillId="0" borderId="20" xfId="0" applyFont="1" applyBorder="1" applyAlignment="1">
      <alignment/>
    </xf>
    <xf numFmtId="0" fontId="0" fillId="0" borderId="0" xfId="0" applyFill="1" applyBorder="1" applyAlignment="1">
      <alignment/>
    </xf>
    <xf numFmtId="164" fontId="44" fillId="0" borderId="20" xfId="0" applyNumberFormat="1" applyFont="1" applyBorder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 applyProtection="1">
      <alignment vertical="center"/>
      <protection hidden="1"/>
    </xf>
    <xf numFmtId="0" fontId="2" fillId="35" borderId="11" xfId="0" applyFont="1" applyFill="1" applyBorder="1" applyAlignment="1">
      <alignment horizontal="center"/>
    </xf>
    <xf numFmtId="0" fontId="2" fillId="35" borderId="31" xfId="0" applyFont="1" applyFill="1" applyBorder="1" applyAlignment="1" applyProtection="1">
      <alignment vertical="center"/>
      <protection hidden="1"/>
    </xf>
    <xf numFmtId="2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11" xfId="59" applyFont="1" applyFill="1" applyBorder="1" applyAlignment="1" applyProtection="1">
      <alignment horizontal="center" vertical="center" wrapText="1"/>
      <protection locked="0"/>
    </xf>
    <xf numFmtId="17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1" xfId="0" applyFont="1" applyFill="1" applyBorder="1" applyAlignment="1" applyProtection="1">
      <alignment vertical="center"/>
      <protection hidden="1"/>
    </xf>
    <xf numFmtId="165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0" applyFont="1" applyFill="1" applyBorder="1" applyAlignment="1" applyProtection="1">
      <alignment vertical="center" wrapText="1"/>
      <protection hidden="1"/>
    </xf>
    <xf numFmtId="3" fontId="23" fillId="36" borderId="12" xfId="0" applyNumberFormat="1" applyFont="1" applyFill="1" applyBorder="1" applyAlignment="1" applyProtection="1">
      <alignment horizontal="center"/>
      <protection hidden="1"/>
    </xf>
    <xf numFmtId="0" fontId="2" fillId="35" borderId="13" xfId="0" applyFont="1" applyFill="1" applyBorder="1" applyAlignment="1" applyProtection="1">
      <alignment vertical="center"/>
      <protection hidden="1"/>
    </xf>
    <xf numFmtId="0" fontId="4" fillId="35" borderId="11" xfId="0" applyFont="1" applyFill="1" applyBorder="1" applyAlignment="1">
      <alignment horizontal="center"/>
    </xf>
    <xf numFmtId="9" fontId="0" fillId="2" borderId="0" xfId="59" applyNumberFormat="1" applyFont="1" applyFill="1" applyAlignment="1" applyProtection="1">
      <alignment horizontal="center"/>
      <protection hidden="1"/>
    </xf>
    <xf numFmtId="164" fontId="0" fillId="2" borderId="0" xfId="0" applyNumberFormat="1" applyFill="1" applyAlignment="1" applyProtection="1">
      <alignment horizontal="center"/>
      <protection hidden="1"/>
    </xf>
    <xf numFmtId="0" fontId="28" fillId="34" borderId="0" xfId="0" applyFont="1" applyFill="1" applyAlignment="1">
      <alignment/>
    </xf>
    <xf numFmtId="0" fontId="2" fillId="35" borderId="12" xfId="0" applyFont="1" applyFill="1" applyBorder="1" applyAlignment="1" applyProtection="1">
      <alignment horizontal="center" vertical="center" wrapText="1"/>
      <protection hidden="1"/>
    </xf>
    <xf numFmtId="17" fontId="2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vertical="center"/>
      <protection hidden="1"/>
    </xf>
    <xf numFmtId="17" fontId="0" fillId="34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/>
    </xf>
    <xf numFmtId="0" fontId="28" fillId="37" borderId="0" xfId="0" applyFont="1" applyFill="1" applyAlignment="1">
      <alignment/>
    </xf>
    <xf numFmtId="17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45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164" fontId="44" fillId="2" borderId="0" xfId="0" applyNumberFormat="1" applyFont="1" applyFill="1" applyBorder="1" applyAlignment="1" applyProtection="1">
      <alignment horizontal="center"/>
      <protection hidden="1"/>
    </xf>
    <xf numFmtId="0" fontId="44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44" fillId="0" borderId="0" xfId="0" applyNumberFormat="1" applyFont="1" applyFill="1" applyAlignment="1">
      <alignment/>
    </xf>
    <xf numFmtId="164" fontId="44" fillId="0" borderId="0" xfId="0" applyNumberFormat="1" applyFont="1" applyFill="1" applyAlignment="1" applyProtection="1">
      <alignment horizontal="left"/>
      <protection hidden="1"/>
    </xf>
    <xf numFmtId="164" fontId="44" fillId="0" borderId="0" xfId="0" applyNumberFormat="1" applyFont="1" applyFill="1" applyAlignment="1">
      <alignment horizontal="center"/>
    </xf>
    <xf numFmtId="9" fontId="0" fillId="0" borderId="0" xfId="59" applyFont="1" applyFill="1" applyAlignment="1">
      <alignment horizontal="center"/>
    </xf>
    <xf numFmtId="0" fontId="44" fillId="0" borderId="0" xfId="0" applyFont="1" applyFill="1" applyAlignment="1" quotePrefix="1">
      <alignment/>
    </xf>
    <xf numFmtId="9" fontId="44" fillId="0" borderId="0" xfId="59" applyNumberFormat="1" applyFont="1" applyFill="1" applyAlignment="1">
      <alignment/>
    </xf>
    <xf numFmtId="3" fontId="44" fillId="0" borderId="0" xfId="0" applyNumberFormat="1" applyFont="1" applyFill="1" applyAlignment="1">
      <alignment horizontal="center"/>
    </xf>
    <xf numFmtId="165" fontId="44" fillId="0" borderId="0" xfId="0" applyNumberFormat="1" applyFont="1" applyFill="1" applyAlignment="1">
      <alignment horizontal="center"/>
    </xf>
    <xf numFmtId="10" fontId="0" fillId="0" borderId="0" xfId="59" applyNumberFormat="1" applyFont="1" applyBorder="1" applyAlignment="1">
      <alignment/>
    </xf>
    <xf numFmtId="9" fontId="0" fillId="0" borderId="0" xfId="59" applyFont="1" applyBorder="1" applyAlignment="1">
      <alignment/>
    </xf>
    <xf numFmtId="164" fontId="44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44" fillId="8" borderId="0" xfId="0" applyFont="1" applyFill="1" applyBorder="1" applyAlignment="1">
      <alignment horizontal="center"/>
    </xf>
    <xf numFmtId="0" fontId="38" fillId="0" borderId="0" xfId="53" applyAlignment="1">
      <alignment/>
    </xf>
    <xf numFmtId="9" fontId="0" fillId="33" borderId="33" xfId="59" applyFont="1" applyFill="1" applyBorder="1" applyAlignment="1">
      <alignment horizontal="center"/>
    </xf>
    <xf numFmtId="9" fontId="0" fillId="33" borderId="34" xfId="59" applyFont="1" applyFill="1" applyBorder="1" applyAlignment="1">
      <alignment horizontal="center"/>
    </xf>
    <xf numFmtId="9" fontId="0" fillId="33" borderId="35" xfId="59" applyFont="1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164" fontId="0" fillId="33" borderId="34" xfId="0" applyNumberFormat="1" applyFill="1" applyBorder="1" applyAlignment="1">
      <alignment horizontal="center"/>
    </xf>
    <xf numFmtId="1" fontId="0" fillId="33" borderId="34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46" fillId="0" borderId="36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10" fontId="47" fillId="0" borderId="36" xfId="0" applyNumberFormat="1" applyFont="1" applyBorder="1" applyAlignment="1">
      <alignment horizontal="center" vertical="center" wrapText="1"/>
    </xf>
    <xf numFmtId="165" fontId="47" fillId="0" borderId="36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44" fillId="0" borderId="0" xfId="0" applyNumberFormat="1" applyFont="1" applyAlignment="1">
      <alignment/>
    </xf>
    <xf numFmtId="0" fontId="46" fillId="0" borderId="36" xfId="0" applyFont="1" applyFill="1" applyBorder="1" applyAlignment="1">
      <alignment horizontal="center" vertical="center" wrapText="1"/>
    </xf>
    <xf numFmtId="166" fontId="0" fillId="0" borderId="36" xfId="0" applyNumberFormat="1" applyBorder="1" applyAlignment="1">
      <alignment/>
    </xf>
    <xf numFmtId="9" fontId="0" fillId="0" borderId="0" xfId="0" applyNumberFormat="1" applyBorder="1" applyAlignment="1">
      <alignment/>
    </xf>
    <xf numFmtId="164" fontId="44" fillId="0" borderId="18" xfId="0" applyNumberFormat="1" applyFont="1" applyBorder="1" applyAlignment="1">
      <alignment horizontal="center"/>
    </xf>
    <xf numFmtId="9" fontId="0" fillId="0" borderId="17" xfId="0" applyNumberFormat="1" applyBorder="1" applyAlignment="1" quotePrefix="1">
      <alignment/>
    </xf>
    <xf numFmtId="9" fontId="44" fillId="0" borderId="0" xfId="59" applyFont="1" applyBorder="1" applyAlignment="1">
      <alignment/>
    </xf>
    <xf numFmtId="167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0" fontId="44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59" applyFont="1" applyAlignment="1">
      <alignment/>
    </xf>
    <xf numFmtId="10" fontId="0" fillId="0" borderId="0" xfId="59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 quotePrefix="1">
      <alignment/>
    </xf>
    <xf numFmtId="173" fontId="0" fillId="2" borderId="0" xfId="59" applyNumberFormat="1" applyFont="1" applyFill="1" applyAlignment="1" applyProtection="1">
      <alignment horizontal="center"/>
      <protection hidden="1"/>
    </xf>
    <xf numFmtId="10" fontId="0" fillId="0" borderId="0" xfId="59" applyNumberFormat="1" applyFont="1" applyBorder="1" applyAlignment="1">
      <alignment/>
    </xf>
    <xf numFmtId="2" fontId="0" fillId="33" borderId="10" xfId="0" applyNumberFormat="1" applyFill="1" applyBorder="1" applyAlignment="1">
      <alignment horizontal="center"/>
    </xf>
    <xf numFmtId="0" fontId="48" fillId="16" borderId="0" xfId="53" applyFont="1" applyFill="1" applyAlignment="1">
      <alignment horizontal="center"/>
    </xf>
    <xf numFmtId="0" fontId="44" fillId="38" borderId="0" xfId="0" applyFont="1" applyFill="1" applyAlignment="1">
      <alignment/>
    </xf>
    <xf numFmtId="0" fontId="0" fillId="0" borderId="15" xfId="0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32" xfId="0" applyNumberFormat="1" applyFill="1" applyBorder="1" applyAlignment="1">
      <alignment horizontal="center"/>
    </xf>
    <xf numFmtId="3" fontId="0" fillId="33" borderId="22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64" fontId="0" fillId="7" borderId="37" xfId="0" applyNumberFormat="1" applyFill="1" applyBorder="1" applyAlignment="1">
      <alignment horizontal="center"/>
    </xf>
    <xf numFmtId="0" fontId="44" fillId="0" borderId="18" xfId="0" applyFont="1" applyBorder="1" applyAlignment="1">
      <alignment/>
    </xf>
    <xf numFmtId="165" fontId="44" fillId="0" borderId="15" xfId="0" applyNumberFormat="1" applyFont="1" applyBorder="1" applyAlignment="1">
      <alignment/>
    </xf>
    <xf numFmtId="165" fontId="44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46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0" fillId="7" borderId="0" xfId="0" applyFill="1" applyBorder="1" applyAlignment="1">
      <alignment/>
    </xf>
    <xf numFmtId="9" fontId="0" fillId="7" borderId="34" xfId="59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166" fontId="44" fillId="0" borderId="1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pexcel.it/" TargetMode="Externa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N148"/>
  <sheetViews>
    <sheetView showGridLines="0" tabSelected="1" zoomScale="110" zoomScaleNormal="11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6" sqref="E76"/>
    </sheetView>
  </sheetViews>
  <sheetFormatPr defaultColWidth="9.140625" defaultRowHeight="15"/>
  <cols>
    <col min="2" max="2" width="1.7109375" style="0" customWidth="1"/>
    <col min="3" max="3" width="41.00390625" style="0" customWidth="1"/>
    <col min="4" max="4" width="12.57421875" style="0" bestFit="1" customWidth="1"/>
    <col min="5" max="5" width="15.140625" style="0" customWidth="1"/>
    <col min="6" max="6" width="12.00390625" style="0" customWidth="1"/>
    <col min="7" max="7" width="11.421875" style="0" customWidth="1"/>
    <col min="8" max="8" width="19.421875" style="0" bestFit="1" customWidth="1"/>
    <col min="9" max="9" width="19.421875" style="0" customWidth="1"/>
    <col min="10" max="10" width="13.140625" style="0" bestFit="1" customWidth="1"/>
    <col min="11" max="11" width="17.8515625" style="0" customWidth="1"/>
    <col min="13" max="13" width="11.421875" style="0" customWidth="1"/>
    <col min="17" max="18" width="9.7109375" style="0" bestFit="1" customWidth="1"/>
    <col min="29" max="29" width="11.00390625" style="0" bestFit="1" customWidth="1"/>
    <col min="30" max="30" width="15.57421875" style="0" bestFit="1" customWidth="1"/>
  </cols>
  <sheetData>
    <row r="2" spans="5:9" ht="15">
      <c r="E2" s="6" t="s">
        <v>390</v>
      </c>
      <c r="F2" s="137" t="s">
        <v>425</v>
      </c>
      <c r="H2" s="6" t="s">
        <v>424</v>
      </c>
      <c r="I2" s="137" t="s">
        <v>427</v>
      </c>
    </row>
    <row r="3" spans="3:13" ht="46.5">
      <c r="C3" s="136" t="s">
        <v>389</v>
      </c>
      <c r="E3" s="6" t="s">
        <v>348</v>
      </c>
      <c r="F3" t="s">
        <v>351</v>
      </c>
      <c r="H3" t="s">
        <v>372</v>
      </c>
      <c r="I3" s="126" t="s">
        <v>426</v>
      </c>
      <c r="J3" s="6" t="s">
        <v>349</v>
      </c>
      <c r="K3" s="126" t="s">
        <v>352</v>
      </c>
      <c r="M3" s="2" t="s">
        <v>367</v>
      </c>
    </row>
    <row r="4" ht="15.75" thickBot="1"/>
    <row r="5" spans="2:11" ht="15">
      <c r="B5" s="8"/>
      <c r="C5" s="21" t="s">
        <v>251</v>
      </c>
      <c r="D5" s="9"/>
      <c r="E5" s="9"/>
      <c r="F5" s="9"/>
      <c r="G5" s="9"/>
      <c r="H5" s="9"/>
      <c r="I5" s="10"/>
      <c r="K5" s="6" t="s">
        <v>347</v>
      </c>
    </row>
    <row r="6" spans="2:11" ht="15">
      <c r="B6" s="16"/>
      <c r="C6" s="17"/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5"/>
      <c r="K6" s="105" t="s">
        <v>344</v>
      </c>
    </row>
    <row r="7" spans="2:11" ht="15">
      <c r="B7" s="16"/>
      <c r="C7" s="17" t="s">
        <v>350</v>
      </c>
      <c r="D7" s="50">
        <f>+'CE'!D55</f>
        <v>-5544.353246075023</v>
      </c>
      <c r="E7" s="50">
        <f>+'CE'!E55</f>
        <v>22174.66143499998</v>
      </c>
      <c r="F7" s="50">
        <f>+'CE'!F55</f>
        <v>50206.05601999998</v>
      </c>
      <c r="G7" s="50">
        <f>+'CE'!G55</f>
        <v>51518.38245346234</v>
      </c>
      <c r="H7" s="50">
        <f>+'CE'!H55</f>
        <v>53987.091415593946</v>
      </c>
      <c r="I7" s="15"/>
      <c r="K7" s="105" t="s">
        <v>345</v>
      </c>
    </row>
    <row r="8" spans="2:11" ht="15">
      <c r="B8" s="16"/>
      <c r="C8" s="17" t="s">
        <v>366</v>
      </c>
      <c r="D8" s="50">
        <f>+'CE'!D63</f>
        <v>-8737.243246075022</v>
      </c>
      <c r="E8" s="50">
        <f>+'CE'!E63</f>
        <v>10731.323317499991</v>
      </c>
      <c r="F8" s="50">
        <f>+'CE'!F63</f>
        <v>21682.8299</v>
      </c>
      <c r="G8" s="50">
        <f>+'CE'!G63</f>
        <v>22157.747897695666</v>
      </c>
      <c r="H8" s="50">
        <f>+'CE'!H63</f>
        <v>22998.03374734524</v>
      </c>
      <c r="I8" s="15"/>
      <c r="K8" s="105" t="s">
        <v>299</v>
      </c>
    </row>
    <row r="9" spans="2:9" ht="15">
      <c r="B9" s="16"/>
      <c r="C9" s="17"/>
      <c r="D9" s="124"/>
      <c r="E9" s="124"/>
      <c r="F9" s="124"/>
      <c r="G9" s="124"/>
      <c r="H9" s="124"/>
      <c r="I9" s="15"/>
    </row>
    <row r="10" spans="2:9" ht="15">
      <c r="B10" s="16"/>
      <c r="C10" s="17" t="s">
        <v>283</v>
      </c>
      <c r="D10" s="50">
        <f>+IF(SP!C4&gt;0,SP!C4,-SP!C27)</f>
        <v>-22268.065575000015</v>
      </c>
      <c r="E10" s="50">
        <f>+IF(SP!D4&gt;0,SP!D4,-SP!D27)</f>
        <v>38016.93832035002</v>
      </c>
      <c r="F10" s="50">
        <f>+IF(SP!E4&gt;0,SP!E4,-SP!E27)</f>
        <v>100037.06996970426</v>
      </c>
      <c r="G10" s="50">
        <f>+IF(SP!F4&gt;0,SP!F4,-SP!F27)</f>
        <v>160986.4713415585</v>
      </c>
      <c r="H10" s="50">
        <f>+IF(SP!G4&gt;0,SP!G4,-SP!G27)</f>
        <v>226215.48992891214</v>
      </c>
      <c r="I10" s="15"/>
    </row>
    <row r="11" spans="2:9" ht="15.75" thickBot="1">
      <c r="B11" s="18"/>
      <c r="C11" s="19"/>
      <c r="D11" s="19"/>
      <c r="E11" s="19"/>
      <c r="F11" s="19"/>
      <c r="G11" s="19"/>
      <c r="H11" s="19"/>
      <c r="I11" s="20"/>
    </row>
    <row r="12" ht="15.75" thickBot="1"/>
    <row r="13" spans="2:9" ht="15">
      <c r="B13" s="8"/>
      <c r="C13" s="9"/>
      <c r="D13" s="9"/>
      <c r="E13" s="9"/>
      <c r="F13" s="9"/>
      <c r="G13" s="9"/>
      <c r="H13" s="9"/>
      <c r="I13" s="10"/>
    </row>
    <row r="14" spans="2:9" ht="15">
      <c r="B14" s="16"/>
      <c r="C14" s="12" t="s">
        <v>268</v>
      </c>
      <c r="D14" s="17"/>
      <c r="E14" s="17"/>
      <c r="F14" s="17"/>
      <c r="G14" s="17"/>
      <c r="H14" s="17"/>
      <c r="I14" s="15"/>
    </row>
    <row r="15" spans="2:34" ht="15">
      <c r="B15" s="16"/>
      <c r="C15" s="17" t="s">
        <v>256</v>
      </c>
      <c r="D15" s="104" t="s">
        <v>266</v>
      </c>
      <c r="E15" s="17"/>
      <c r="F15" s="17"/>
      <c r="G15" s="17"/>
      <c r="H15" s="17"/>
      <c r="I15" s="15"/>
      <c r="AH15" t="s">
        <v>266</v>
      </c>
    </row>
    <row r="16" spans="2:34" ht="15">
      <c r="B16" s="16"/>
      <c r="C16" s="17"/>
      <c r="D16" s="17"/>
      <c r="E16" s="17"/>
      <c r="F16" s="17"/>
      <c r="G16" s="17"/>
      <c r="H16" s="17"/>
      <c r="I16" s="15"/>
      <c r="AH16" t="s">
        <v>267</v>
      </c>
    </row>
    <row r="17" spans="2:9" ht="15">
      <c r="B17" s="16"/>
      <c r="C17" s="17"/>
      <c r="D17" s="13" t="s">
        <v>428</v>
      </c>
      <c r="E17" s="127"/>
      <c r="F17" s="127" t="s">
        <v>226</v>
      </c>
      <c r="G17" s="17"/>
      <c r="H17" s="17"/>
      <c r="I17" s="15"/>
    </row>
    <row r="18" spans="2:9" ht="15">
      <c r="B18" s="16"/>
      <c r="C18" s="17" t="s">
        <v>384</v>
      </c>
      <c r="D18" s="23">
        <v>0.03</v>
      </c>
      <c r="E18" s="17"/>
      <c r="F18" s="23">
        <v>0.21</v>
      </c>
      <c r="G18" s="17"/>
      <c r="H18" s="17"/>
      <c r="I18" s="15"/>
    </row>
    <row r="19" spans="2:9" ht="15">
      <c r="B19" s="16"/>
      <c r="C19" s="17"/>
      <c r="D19" s="17"/>
      <c r="E19" s="17"/>
      <c r="F19" s="17"/>
      <c r="G19" s="17"/>
      <c r="H19" s="17"/>
      <c r="I19" s="15"/>
    </row>
    <row r="20" spans="2:9" ht="30">
      <c r="B20" s="16"/>
      <c r="C20" s="17"/>
      <c r="D20" s="17"/>
      <c r="E20" s="127" t="s">
        <v>226</v>
      </c>
      <c r="F20" s="127" t="s">
        <v>416</v>
      </c>
      <c r="G20" s="17"/>
      <c r="H20" s="17"/>
      <c r="I20" s="15"/>
    </row>
    <row r="21" spans="2:9" ht="15">
      <c r="B21" s="16"/>
      <c r="C21" s="17" t="s">
        <v>422</v>
      </c>
      <c r="D21" s="2">
        <v>0</v>
      </c>
      <c r="E21" s="23">
        <v>0.21</v>
      </c>
      <c r="F21" s="145">
        <v>7</v>
      </c>
      <c r="G21" s="17"/>
      <c r="H21" s="17"/>
      <c r="I21" s="15"/>
    </row>
    <row r="22" spans="2:10" ht="15">
      <c r="B22" s="16"/>
      <c r="C22" s="17"/>
      <c r="D22" s="13" t="str">
        <f>+D6</f>
        <v>Anno 1</v>
      </c>
      <c r="E22" s="13" t="str">
        <f>+E6</f>
        <v>Anno 2</v>
      </c>
      <c r="F22" s="13" t="str">
        <f>+F6</f>
        <v>Anno 3</v>
      </c>
      <c r="G22" s="13" t="str">
        <f>+G6</f>
        <v>Anno 4</v>
      </c>
      <c r="H22" s="13" t="str">
        <f>+H6</f>
        <v>Anno 5</v>
      </c>
      <c r="I22" s="147" t="s">
        <v>45</v>
      </c>
      <c r="J22" s="17"/>
    </row>
    <row r="23" spans="2:9" ht="15">
      <c r="B23" s="16"/>
      <c r="C23" s="17" t="s">
        <v>423</v>
      </c>
      <c r="D23" s="2">
        <v>0</v>
      </c>
      <c r="E23" s="2">
        <v>0</v>
      </c>
      <c r="F23" s="2"/>
      <c r="G23" s="2"/>
      <c r="H23" s="2"/>
      <c r="I23" s="146">
        <f>+($D$21+($D$21*E21))-SUM(D23:H23)</f>
        <v>0</v>
      </c>
    </row>
    <row r="24" spans="2:9" ht="15">
      <c r="B24" s="16"/>
      <c r="C24" s="17"/>
      <c r="D24" s="17"/>
      <c r="E24" s="17"/>
      <c r="F24" s="17"/>
      <c r="G24" s="17"/>
      <c r="H24" s="17"/>
      <c r="I24" s="15"/>
    </row>
    <row r="25" spans="2:9" ht="15">
      <c r="B25" s="16"/>
      <c r="C25" s="17"/>
      <c r="D25" s="2"/>
      <c r="E25" s="17"/>
      <c r="F25" s="17"/>
      <c r="G25" s="17"/>
      <c r="H25" s="17"/>
      <c r="I25" s="15"/>
    </row>
    <row r="26" spans="2:9" ht="15">
      <c r="B26" s="16"/>
      <c r="C26" s="17"/>
      <c r="D26" s="17"/>
      <c r="E26" s="17"/>
      <c r="F26" s="17"/>
      <c r="G26" s="17"/>
      <c r="H26" s="17"/>
      <c r="I26" s="15"/>
    </row>
    <row r="27" spans="2:9" ht="15">
      <c r="B27" s="16"/>
      <c r="C27" s="17" t="s">
        <v>282</v>
      </c>
      <c r="D27" s="23">
        <v>1</v>
      </c>
      <c r="E27" s="12"/>
      <c r="F27" s="17"/>
      <c r="G27" s="17"/>
      <c r="H27" s="17"/>
      <c r="I27" s="15"/>
    </row>
    <row r="28" spans="2:9" ht="15">
      <c r="B28" s="16"/>
      <c r="C28" s="17"/>
      <c r="D28" s="12" t="str">
        <f>+D6</f>
        <v>Anno 1</v>
      </c>
      <c r="E28" s="12" t="str">
        <f>+E6</f>
        <v>Anno 2</v>
      </c>
      <c r="F28" s="12" t="str">
        <f>+F6</f>
        <v>Anno 3</v>
      </c>
      <c r="G28" s="12" t="str">
        <f>+G6</f>
        <v>Anno 4</v>
      </c>
      <c r="H28" s="12" t="str">
        <f>+H6</f>
        <v>Anno 5</v>
      </c>
      <c r="I28" s="15"/>
    </row>
    <row r="29" spans="2:9" ht="15">
      <c r="B29" s="16"/>
      <c r="C29" s="17" t="s">
        <v>336</v>
      </c>
      <c r="D29" s="2">
        <v>0</v>
      </c>
      <c r="E29" s="2"/>
      <c r="F29" s="2"/>
      <c r="G29" s="2"/>
      <c r="H29" s="2"/>
      <c r="I29" s="15"/>
    </row>
    <row r="30" spans="2:9" ht="15">
      <c r="B30" s="16"/>
      <c r="C30" s="17" t="s">
        <v>337</v>
      </c>
      <c r="E30" s="2"/>
      <c r="F30" s="2"/>
      <c r="G30" s="2"/>
      <c r="H30" s="2"/>
      <c r="I30" s="15"/>
    </row>
    <row r="31" spans="2:9" ht="15.75" thickBot="1">
      <c r="B31" s="18"/>
      <c r="C31" s="19"/>
      <c r="D31" s="103"/>
      <c r="E31" s="103"/>
      <c r="F31" s="103"/>
      <c r="G31" s="103"/>
      <c r="H31" s="103"/>
      <c r="I31" s="20"/>
    </row>
    <row r="32" ht="15.75" thickBot="1"/>
    <row r="33" spans="2:20" ht="15">
      <c r="B33" s="8"/>
      <c r="C33" s="21" t="s">
        <v>10</v>
      </c>
      <c r="D33" s="9"/>
      <c r="E33" s="9"/>
      <c r="F33" s="9"/>
      <c r="G33" s="9"/>
      <c r="H33" s="9"/>
      <c r="I33" s="21" t="s">
        <v>411</v>
      </c>
      <c r="J33" s="21"/>
      <c r="K33" s="21"/>
      <c r="L33" s="21"/>
      <c r="M33" s="21"/>
      <c r="N33" s="9"/>
      <c r="O33" s="21" t="s">
        <v>412</v>
      </c>
      <c r="P33" s="21"/>
      <c r="Q33" s="158">
        <f>350000/K35</f>
        <v>58333.333333333336</v>
      </c>
      <c r="R33" s="148"/>
      <c r="S33" s="21"/>
      <c r="T33" s="10"/>
    </row>
    <row r="34" spans="1:30" ht="30">
      <c r="A34" s="6"/>
      <c r="B34" s="11"/>
      <c r="C34" s="12" t="s">
        <v>9</v>
      </c>
      <c r="D34" s="12"/>
      <c r="E34" s="22" t="s">
        <v>391</v>
      </c>
      <c r="F34" s="22" t="s">
        <v>1</v>
      </c>
      <c r="G34" s="22" t="s">
        <v>2</v>
      </c>
      <c r="H34" s="14"/>
      <c r="I34" s="13" t="s">
        <v>3</v>
      </c>
      <c r="J34" s="13" t="s">
        <v>4</v>
      </c>
      <c r="K34" s="13" t="s">
        <v>5</v>
      </c>
      <c r="L34" s="13" t="s">
        <v>6</v>
      </c>
      <c r="M34" s="13" t="s">
        <v>7</v>
      </c>
      <c r="N34" s="14"/>
      <c r="O34" s="13" t="s">
        <v>3</v>
      </c>
      <c r="P34" s="13" t="s">
        <v>4</v>
      </c>
      <c r="Q34" s="13" t="s">
        <v>5</v>
      </c>
      <c r="R34" s="13" t="s">
        <v>6</v>
      </c>
      <c r="S34" s="13" t="s">
        <v>7</v>
      </c>
      <c r="T34" s="15"/>
      <c r="AC34" t="s">
        <v>8</v>
      </c>
      <c r="AD34" t="s">
        <v>12</v>
      </c>
    </row>
    <row r="35" spans="2:30" ht="15">
      <c r="B35" s="16"/>
      <c r="C35" s="27" t="s">
        <v>373</v>
      </c>
      <c r="D35" s="12"/>
      <c r="E35" s="23">
        <v>0.43</v>
      </c>
      <c r="F35" s="23">
        <v>0.21</v>
      </c>
      <c r="G35" s="24">
        <v>0</v>
      </c>
      <c r="H35" s="17"/>
      <c r="I35" s="157">
        <v>5</v>
      </c>
      <c r="J35" s="157">
        <v>5.5</v>
      </c>
      <c r="K35" s="157">
        <v>6</v>
      </c>
      <c r="L35" s="157">
        <v>6</v>
      </c>
      <c r="M35" s="157">
        <v>6</v>
      </c>
      <c r="N35" s="17"/>
      <c r="O35" s="139">
        <v>40000</v>
      </c>
      <c r="P35" s="140">
        <v>50000</v>
      </c>
      <c r="Q35" s="140">
        <v>58500</v>
      </c>
      <c r="R35" s="140">
        <v>59000</v>
      </c>
      <c r="S35" s="141">
        <v>60000</v>
      </c>
      <c r="T35" s="15"/>
      <c r="AC35" s="1">
        <v>0</v>
      </c>
      <c r="AD35" s="1">
        <v>0</v>
      </c>
    </row>
    <row r="36" spans="2:30" ht="15">
      <c r="B36" s="16"/>
      <c r="C36" s="27" t="s">
        <v>374</v>
      </c>
      <c r="D36" s="12"/>
      <c r="E36" s="23">
        <v>0</v>
      </c>
      <c r="F36" s="23">
        <v>0</v>
      </c>
      <c r="G36" s="24">
        <v>0</v>
      </c>
      <c r="H36" s="17"/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17"/>
      <c r="O36" s="142">
        <v>0</v>
      </c>
      <c r="P36" s="142">
        <v>0</v>
      </c>
      <c r="Q36" s="142">
        <v>0</v>
      </c>
      <c r="R36" s="142">
        <v>0</v>
      </c>
      <c r="S36" s="142">
        <v>0</v>
      </c>
      <c r="T36" s="15"/>
      <c r="AC36" s="1">
        <v>30</v>
      </c>
      <c r="AD36" s="1">
        <v>30</v>
      </c>
    </row>
    <row r="37" spans="2:30" ht="15">
      <c r="B37" s="16"/>
      <c r="C37" s="27" t="s">
        <v>375</v>
      </c>
      <c r="D37" s="12"/>
      <c r="E37" s="23">
        <v>0</v>
      </c>
      <c r="F37" s="23">
        <v>0</v>
      </c>
      <c r="G37" s="24">
        <v>0</v>
      </c>
      <c r="H37" s="17"/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17"/>
      <c r="O37" s="142">
        <v>0</v>
      </c>
      <c r="P37" s="142">
        <v>0</v>
      </c>
      <c r="Q37" s="142">
        <v>0</v>
      </c>
      <c r="R37" s="142">
        <v>0</v>
      </c>
      <c r="S37" s="142">
        <v>0</v>
      </c>
      <c r="T37" s="15"/>
      <c r="AC37" s="1">
        <v>60</v>
      </c>
      <c r="AD37" s="1">
        <v>60</v>
      </c>
    </row>
    <row r="38" spans="2:30" ht="15">
      <c r="B38" s="16"/>
      <c r="C38" s="27" t="s">
        <v>376</v>
      </c>
      <c r="D38" s="12"/>
      <c r="E38" s="23">
        <v>0</v>
      </c>
      <c r="F38" s="23">
        <v>0</v>
      </c>
      <c r="G38" s="24">
        <v>0</v>
      </c>
      <c r="H38" s="17"/>
      <c r="I38" s="3">
        <v>0</v>
      </c>
      <c r="J38" s="4">
        <v>0</v>
      </c>
      <c r="K38" s="4">
        <v>0</v>
      </c>
      <c r="L38" s="4">
        <v>0</v>
      </c>
      <c r="M38" s="5">
        <v>0</v>
      </c>
      <c r="N38" s="17"/>
      <c r="O38" s="142">
        <v>0</v>
      </c>
      <c r="P38" s="143">
        <v>0</v>
      </c>
      <c r="Q38" s="143">
        <v>0</v>
      </c>
      <c r="R38" s="143">
        <v>0</v>
      </c>
      <c r="S38" s="144">
        <v>0</v>
      </c>
      <c r="T38" s="15"/>
      <c r="AC38" s="1">
        <v>90</v>
      </c>
      <c r="AD38" s="1">
        <v>90</v>
      </c>
    </row>
    <row r="39" spans="2:30" ht="15">
      <c r="B39" s="16"/>
      <c r="C39" s="27" t="s">
        <v>377</v>
      </c>
      <c r="D39" s="12"/>
      <c r="E39" s="23">
        <v>0</v>
      </c>
      <c r="F39" s="23">
        <v>0</v>
      </c>
      <c r="G39" s="24">
        <v>0</v>
      </c>
      <c r="H39" s="17"/>
      <c r="I39" s="3"/>
      <c r="J39" s="4"/>
      <c r="K39" s="4"/>
      <c r="L39" s="4"/>
      <c r="M39" s="5"/>
      <c r="N39" s="17"/>
      <c r="O39" s="142"/>
      <c r="P39" s="143"/>
      <c r="Q39" s="143"/>
      <c r="R39" s="143"/>
      <c r="S39" s="144"/>
      <c r="T39" s="15"/>
      <c r="AC39" s="1">
        <v>120</v>
      </c>
      <c r="AD39" s="1">
        <v>120</v>
      </c>
    </row>
    <row r="40" spans="2:30" ht="15">
      <c r="B40" s="16"/>
      <c r="C40" s="27" t="s">
        <v>378</v>
      </c>
      <c r="D40" s="12"/>
      <c r="E40" s="23">
        <v>0</v>
      </c>
      <c r="F40" s="23">
        <v>0</v>
      </c>
      <c r="G40" s="24">
        <v>0</v>
      </c>
      <c r="H40" s="17"/>
      <c r="I40" s="3"/>
      <c r="J40" s="4"/>
      <c r="K40" s="4"/>
      <c r="L40" s="4"/>
      <c r="M40" s="5"/>
      <c r="N40" s="17"/>
      <c r="O40" s="142"/>
      <c r="P40" s="143"/>
      <c r="Q40" s="143"/>
      <c r="R40" s="143"/>
      <c r="S40" s="144"/>
      <c r="T40" s="15"/>
      <c r="AC40" s="1">
        <v>150</v>
      </c>
      <c r="AD40" s="1">
        <v>150</v>
      </c>
    </row>
    <row r="41" spans="2:30" ht="15">
      <c r="B41" s="16"/>
      <c r="C41" s="27" t="s">
        <v>379</v>
      </c>
      <c r="D41" s="12"/>
      <c r="E41" s="23">
        <v>0</v>
      </c>
      <c r="F41" s="23">
        <v>0</v>
      </c>
      <c r="G41" s="24">
        <v>0</v>
      </c>
      <c r="H41" s="17"/>
      <c r="I41" s="3"/>
      <c r="J41" s="4"/>
      <c r="K41" s="4"/>
      <c r="L41" s="4"/>
      <c r="M41" s="5"/>
      <c r="N41" s="17"/>
      <c r="O41" s="142"/>
      <c r="P41" s="143"/>
      <c r="Q41" s="143"/>
      <c r="R41" s="143"/>
      <c r="S41" s="144"/>
      <c r="T41" s="15"/>
      <c r="AC41" s="1">
        <v>180</v>
      </c>
      <c r="AD41" s="1">
        <v>180</v>
      </c>
    </row>
    <row r="42" spans="2:20" ht="15">
      <c r="B42" s="16"/>
      <c r="C42" s="27" t="s">
        <v>380</v>
      </c>
      <c r="D42" s="12"/>
      <c r="E42" s="23">
        <v>0</v>
      </c>
      <c r="F42" s="23">
        <v>0</v>
      </c>
      <c r="G42" s="24">
        <v>0</v>
      </c>
      <c r="H42" s="17"/>
      <c r="I42" s="3"/>
      <c r="J42" s="4"/>
      <c r="K42" s="4"/>
      <c r="L42" s="4"/>
      <c r="M42" s="5"/>
      <c r="N42" s="17"/>
      <c r="O42" s="142"/>
      <c r="P42" s="143"/>
      <c r="Q42" s="143"/>
      <c r="R42" s="143"/>
      <c r="S42" s="144"/>
      <c r="T42" s="15"/>
    </row>
    <row r="43" spans="2:20" ht="15">
      <c r="B43" s="16"/>
      <c r="C43" s="27" t="s">
        <v>381</v>
      </c>
      <c r="D43" s="12"/>
      <c r="E43" s="23">
        <v>0</v>
      </c>
      <c r="F43" s="23">
        <v>0</v>
      </c>
      <c r="G43" s="24">
        <v>0</v>
      </c>
      <c r="H43" s="17"/>
      <c r="I43" s="3"/>
      <c r="J43" s="4"/>
      <c r="K43" s="4"/>
      <c r="L43" s="4"/>
      <c r="M43" s="5"/>
      <c r="N43" s="17"/>
      <c r="O43" s="142"/>
      <c r="P43" s="143"/>
      <c r="Q43" s="143"/>
      <c r="R43" s="143"/>
      <c r="S43" s="144"/>
      <c r="T43" s="15"/>
    </row>
    <row r="44" spans="2:20" ht="15.75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ht="15.75" thickBot="1"/>
    <row r="46" spans="2:12" ht="15">
      <c r="B46" s="8"/>
      <c r="C46" s="21" t="s">
        <v>409</v>
      </c>
      <c r="D46" s="9"/>
      <c r="E46" s="28"/>
      <c r="F46" s="9"/>
      <c r="G46" s="9"/>
      <c r="H46" s="10"/>
      <c r="L46" s="128"/>
    </row>
    <row r="47" spans="2:15" ht="26.25" customHeight="1">
      <c r="B47" s="16"/>
      <c r="C47" s="17"/>
      <c r="D47" s="17"/>
      <c r="E47" s="22" t="s">
        <v>11</v>
      </c>
      <c r="F47" s="22" t="s">
        <v>410</v>
      </c>
      <c r="G47" s="22" t="s">
        <v>13</v>
      </c>
      <c r="H47" s="15"/>
      <c r="O47" s="129"/>
    </row>
    <row r="48" spans="2:8" ht="15">
      <c r="B48" s="16"/>
      <c r="C48" s="27" t="str">
        <f>+"Mp x"&amp;C35</f>
        <v>Mp xTipologia 1</v>
      </c>
      <c r="D48" s="17"/>
      <c r="E48" s="38">
        <v>0.21</v>
      </c>
      <c r="F48" s="24">
        <v>90</v>
      </c>
      <c r="G48" s="24">
        <v>60</v>
      </c>
      <c r="H48" s="15"/>
    </row>
    <row r="49" spans="2:8" ht="15">
      <c r="B49" s="16"/>
      <c r="C49" s="27" t="str">
        <f aca="true" t="shared" si="0" ref="C49:C56">+"Mp x"&amp;C36</f>
        <v>Mp xTipologia 2</v>
      </c>
      <c r="D49" s="17"/>
      <c r="E49" s="38">
        <v>0</v>
      </c>
      <c r="F49" s="24">
        <v>30</v>
      </c>
      <c r="G49" s="24">
        <v>30</v>
      </c>
      <c r="H49" s="15"/>
    </row>
    <row r="50" spans="2:8" ht="15">
      <c r="B50" s="16"/>
      <c r="C50" s="27" t="str">
        <f t="shared" si="0"/>
        <v>Mp xTipologia 3</v>
      </c>
      <c r="D50" s="17"/>
      <c r="E50" s="38">
        <v>0</v>
      </c>
      <c r="F50" s="24">
        <v>30</v>
      </c>
      <c r="G50" s="24">
        <v>30</v>
      </c>
      <c r="H50" s="15"/>
    </row>
    <row r="51" spans="2:8" ht="15">
      <c r="B51" s="16"/>
      <c r="C51" s="27" t="str">
        <f t="shared" si="0"/>
        <v>Mp xTipologia 4</v>
      </c>
      <c r="D51" s="17"/>
      <c r="E51" s="38">
        <v>0</v>
      </c>
      <c r="F51" s="24">
        <v>30</v>
      </c>
      <c r="G51" s="24">
        <v>30</v>
      </c>
      <c r="H51" s="15"/>
    </row>
    <row r="52" spans="2:8" ht="15">
      <c r="B52" s="16"/>
      <c r="C52" s="27" t="str">
        <f t="shared" si="0"/>
        <v>Mp xTipologia 5</v>
      </c>
      <c r="D52" s="17"/>
      <c r="E52" s="38">
        <v>0</v>
      </c>
      <c r="F52" s="24">
        <v>30</v>
      </c>
      <c r="G52" s="24">
        <v>30</v>
      </c>
      <c r="H52" s="15"/>
    </row>
    <row r="53" spans="2:8" ht="15">
      <c r="B53" s="16"/>
      <c r="C53" s="27" t="str">
        <f t="shared" si="0"/>
        <v>Mp xTipologia 6</v>
      </c>
      <c r="D53" s="17"/>
      <c r="E53" s="38">
        <v>0</v>
      </c>
      <c r="F53" s="24">
        <v>30</v>
      </c>
      <c r="G53" s="24">
        <v>30</v>
      </c>
      <c r="H53" s="15"/>
    </row>
    <row r="54" spans="2:8" ht="15">
      <c r="B54" s="16"/>
      <c r="C54" s="27" t="str">
        <f t="shared" si="0"/>
        <v>Mp xTipologia 7</v>
      </c>
      <c r="D54" s="17"/>
      <c r="E54" s="38">
        <v>0</v>
      </c>
      <c r="F54" s="24">
        <v>30</v>
      </c>
      <c r="G54" s="24">
        <v>30</v>
      </c>
      <c r="H54" s="15"/>
    </row>
    <row r="55" spans="2:8" ht="15">
      <c r="B55" s="16"/>
      <c r="C55" s="27" t="str">
        <f>+"Mp x"&amp;C42</f>
        <v>Mp xTipologia 8</v>
      </c>
      <c r="D55" s="17"/>
      <c r="E55" s="38">
        <v>0</v>
      </c>
      <c r="F55" s="24">
        <v>30</v>
      </c>
      <c r="G55" s="24">
        <v>30</v>
      </c>
      <c r="H55" s="15"/>
    </row>
    <row r="56" spans="2:8" ht="15">
      <c r="B56" s="16"/>
      <c r="C56" s="27" t="str">
        <f t="shared" si="0"/>
        <v>Mp xTipologia 9</v>
      </c>
      <c r="D56" s="17"/>
      <c r="E56" s="38">
        <v>0</v>
      </c>
      <c r="F56" s="24">
        <v>30</v>
      </c>
      <c r="G56" s="24">
        <v>30</v>
      </c>
      <c r="H56" s="15"/>
    </row>
    <row r="57" spans="2:8" ht="15.75" thickBot="1">
      <c r="B57" s="18"/>
      <c r="C57" s="19"/>
      <c r="D57" s="19"/>
      <c r="E57" s="19"/>
      <c r="F57" s="19"/>
      <c r="G57" s="19"/>
      <c r="H57" s="20"/>
    </row>
    <row r="59" ht="15.75" thickBot="1"/>
    <row r="60" spans="2:12" ht="15">
      <c r="B60" s="8"/>
      <c r="C60" s="21" t="s">
        <v>40</v>
      </c>
      <c r="D60" s="9"/>
      <c r="E60" s="9"/>
      <c r="F60" s="9"/>
      <c r="G60" s="9"/>
      <c r="H60" s="9"/>
      <c r="I60" s="9"/>
      <c r="J60" s="9"/>
      <c r="K60" s="9"/>
      <c r="L60" s="10"/>
    </row>
    <row r="61" spans="2:12" ht="15">
      <c r="B61" s="16"/>
      <c r="C61" s="17"/>
      <c r="D61" s="17"/>
      <c r="E61" s="13" t="str">
        <f>+I34</f>
        <v>Anno 1</v>
      </c>
      <c r="F61" s="13" t="str">
        <f>+J34</f>
        <v>Anno 2</v>
      </c>
      <c r="G61" s="13" t="str">
        <f>+K34</f>
        <v>Anno 3</v>
      </c>
      <c r="H61" s="13" t="str">
        <f>+L34</f>
        <v>Anno 4</v>
      </c>
      <c r="I61" s="13" t="str">
        <f>+M34</f>
        <v>Anno 5</v>
      </c>
      <c r="J61" s="17"/>
      <c r="K61" s="17"/>
      <c r="L61" s="15"/>
    </row>
    <row r="62" spans="2:12" ht="15">
      <c r="B62" s="16"/>
      <c r="C62" s="17" t="s">
        <v>41</v>
      </c>
      <c r="D62" s="17"/>
      <c r="E62" s="2">
        <v>86400</v>
      </c>
      <c r="F62" s="2"/>
      <c r="G62" s="2"/>
      <c r="H62" s="2"/>
      <c r="I62" s="2"/>
      <c r="J62" s="17"/>
      <c r="K62" s="17"/>
      <c r="L62" s="15"/>
    </row>
    <row r="63" spans="2:12" ht="15">
      <c r="B63" s="16"/>
      <c r="C63" s="17" t="s">
        <v>42</v>
      </c>
      <c r="D63" s="17"/>
      <c r="E63" s="2">
        <v>0</v>
      </c>
      <c r="F63" s="2"/>
      <c r="G63" s="2"/>
      <c r="H63" s="2"/>
      <c r="I63" s="2"/>
      <c r="J63" s="17"/>
      <c r="K63" s="17"/>
      <c r="L63" s="15"/>
    </row>
    <row r="64" spans="2:12" ht="15"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5"/>
    </row>
    <row r="65" spans="2:12" ht="15">
      <c r="B65" s="16"/>
      <c r="C65" s="17" t="s">
        <v>1</v>
      </c>
      <c r="D65" s="17"/>
      <c r="E65" s="23">
        <v>0.21</v>
      </c>
      <c r="F65" s="17"/>
      <c r="G65" s="17"/>
      <c r="H65" s="17"/>
      <c r="I65" s="17"/>
      <c r="J65" s="17"/>
      <c r="K65" s="12" t="s">
        <v>45</v>
      </c>
      <c r="L65" s="15"/>
    </row>
    <row r="66" spans="2:12" ht="15">
      <c r="B66" s="16"/>
      <c r="C66" s="17"/>
      <c r="D66" s="17"/>
      <c r="E66" s="17" t="str">
        <f>+E61</f>
        <v>Anno 1</v>
      </c>
      <c r="F66" s="17" t="str">
        <f>+F61</f>
        <v>Anno 2</v>
      </c>
      <c r="G66" s="17" t="str">
        <f>+G61</f>
        <v>Anno 3</v>
      </c>
      <c r="H66" s="17" t="str">
        <f>+H61</f>
        <v>Anno 4</v>
      </c>
      <c r="I66" s="17" t="str">
        <f>+I61</f>
        <v>Anno 5</v>
      </c>
      <c r="J66" s="17"/>
      <c r="K66" s="17"/>
      <c r="L66" s="15"/>
    </row>
    <row r="67" spans="2:12" ht="15">
      <c r="B67" s="16"/>
      <c r="C67" s="17" t="s">
        <v>43</v>
      </c>
      <c r="D67" s="17"/>
      <c r="E67" s="2">
        <v>104544</v>
      </c>
      <c r="F67" s="2">
        <v>0</v>
      </c>
      <c r="G67" s="2"/>
      <c r="H67" s="2"/>
      <c r="I67" s="2"/>
      <c r="J67" s="17"/>
      <c r="K67" s="39">
        <f>+(SUM(E62:I62)+(SUM(E62:I62)*E65))-SUM(E67:I67)</f>
        <v>0</v>
      </c>
      <c r="L67" s="15"/>
    </row>
    <row r="68" spans="2:12" ht="15">
      <c r="B68" s="16"/>
      <c r="C68" s="17" t="s">
        <v>44</v>
      </c>
      <c r="D68" s="17"/>
      <c r="E68" s="2">
        <v>0</v>
      </c>
      <c r="F68" s="2"/>
      <c r="G68" s="2"/>
      <c r="H68" s="2"/>
      <c r="I68" s="2"/>
      <c r="J68" s="17"/>
      <c r="K68" s="39">
        <f>+(SUM(E63:I63)+(SUM(E63:I63)*E65))-SUM(E68:I68)</f>
        <v>0</v>
      </c>
      <c r="L68" s="15"/>
    </row>
    <row r="69" spans="2:12" ht="15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5"/>
    </row>
    <row r="70" spans="2:12" ht="15">
      <c r="B70" s="16"/>
      <c r="C70" s="17" t="s">
        <v>46</v>
      </c>
      <c r="D70" s="17"/>
      <c r="E70" s="23">
        <v>0.2</v>
      </c>
      <c r="F70" s="17"/>
      <c r="G70" s="17"/>
      <c r="H70" s="17"/>
      <c r="I70" s="17"/>
      <c r="J70" s="17"/>
      <c r="K70" s="17"/>
      <c r="L70" s="15"/>
    </row>
    <row r="71" spans="2:12" ht="15">
      <c r="B71" s="16"/>
      <c r="C71" s="17" t="s">
        <v>47</v>
      </c>
      <c r="D71" s="17"/>
      <c r="E71" s="23">
        <v>0.2</v>
      </c>
      <c r="F71" s="17"/>
      <c r="G71" s="17"/>
      <c r="H71" s="17"/>
      <c r="I71" s="17"/>
      <c r="J71" s="17"/>
      <c r="K71" s="17"/>
      <c r="L71" s="15"/>
    </row>
    <row r="72" spans="2:12" ht="15.75" thickBot="1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20"/>
    </row>
    <row r="73" ht="15.75" thickBot="1"/>
    <row r="74" spans="2:10" ht="15">
      <c r="B74" s="8"/>
      <c r="C74" s="9"/>
      <c r="D74" s="9"/>
      <c r="E74" s="9"/>
      <c r="F74" s="9"/>
      <c r="G74" s="9"/>
      <c r="H74" s="9"/>
      <c r="I74" s="9"/>
      <c r="J74" s="10"/>
    </row>
    <row r="75" spans="2:10" ht="15">
      <c r="B75" s="16"/>
      <c r="C75" s="12" t="s">
        <v>63</v>
      </c>
      <c r="D75" s="17"/>
      <c r="E75" s="17"/>
      <c r="F75" s="17"/>
      <c r="G75" s="17"/>
      <c r="H75" s="17"/>
      <c r="I75" s="17"/>
      <c r="J75" s="15"/>
    </row>
    <row r="76" spans="2:10" ht="15">
      <c r="B76" s="16"/>
      <c r="C76" s="17"/>
      <c r="D76" s="17"/>
      <c r="E76" s="13" t="str">
        <f>+E61</f>
        <v>Anno 1</v>
      </c>
      <c r="F76" s="13" t="str">
        <f>+F61</f>
        <v>Anno 2</v>
      </c>
      <c r="G76" s="13" t="str">
        <f>+G61</f>
        <v>Anno 3</v>
      </c>
      <c r="H76" s="13" t="str">
        <f>+H61</f>
        <v>Anno 4</v>
      </c>
      <c r="I76" s="13" t="str">
        <f>+I61</f>
        <v>Anno 5</v>
      </c>
      <c r="J76" s="15"/>
    </row>
    <row r="77" spans="2:10" ht="15">
      <c r="B77" s="16"/>
      <c r="C77" s="17" t="s">
        <v>64</v>
      </c>
      <c r="D77" s="17"/>
      <c r="E77" s="135">
        <v>1.5</v>
      </c>
      <c r="F77" s="135">
        <v>1.5</v>
      </c>
      <c r="G77" s="135">
        <v>1.5</v>
      </c>
      <c r="H77" s="135">
        <v>1.5</v>
      </c>
      <c r="I77" s="135">
        <v>1.5</v>
      </c>
      <c r="J77" s="15"/>
    </row>
    <row r="78" spans="2:10" ht="15">
      <c r="B78" s="16"/>
      <c r="C78" s="17"/>
      <c r="D78" s="17"/>
      <c r="E78" s="17"/>
      <c r="F78" s="17"/>
      <c r="G78" s="17"/>
      <c r="H78" s="17"/>
      <c r="I78" s="17"/>
      <c r="J78" s="15"/>
    </row>
    <row r="79" spans="2:10" ht="15">
      <c r="B79" s="16"/>
      <c r="C79" s="17" t="s">
        <v>73</v>
      </c>
      <c r="D79" s="17"/>
      <c r="E79" s="2">
        <v>20000</v>
      </c>
      <c r="F79" s="2">
        <f>1500*14</f>
        <v>21000</v>
      </c>
      <c r="G79" s="2">
        <f>1500*14</f>
        <v>21000</v>
      </c>
      <c r="H79" s="2">
        <f>1500*14</f>
        <v>21000</v>
      </c>
      <c r="I79" s="2">
        <f>1500*14</f>
        <v>21000</v>
      </c>
      <c r="J79" s="15"/>
    </row>
    <row r="80" spans="2:10" ht="15">
      <c r="B80" s="16"/>
      <c r="C80" s="52"/>
      <c r="D80" s="17"/>
      <c r="E80" s="17"/>
      <c r="F80" s="17"/>
      <c r="G80" s="17"/>
      <c r="H80" s="17"/>
      <c r="I80" s="17"/>
      <c r="J80" s="15"/>
    </row>
    <row r="81" spans="2:10" ht="15">
      <c r="B81" s="16"/>
      <c r="C81" s="17" t="s">
        <v>65</v>
      </c>
      <c r="D81" s="17"/>
      <c r="E81" s="106">
        <v>0.3</v>
      </c>
      <c r="F81" s="17"/>
      <c r="G81" s="17"/>
      <c r="H81" s="17"/>
      <c r="I81" s="17"/>
      <c r="J81" s="15"/>
    </row>
    <row r="82" spans="2:10" ht="15">
      <c r="B82" s="16"/>
      <c r="C82" s="17" t="s">
        <v>66</v>
      </c>
      <c r="D82" s="17"/>
      <c r="E82" s="107">
        <v>0.04</v>
      </c>
      <c r="F82" s="17"/>
      <c r="G82" s="17"/>
      <c r="H82" s="17"/>
      <c r="I82" s="17"/>
      <c r="J82" s="15"/>
    </row>
    <row r="83" spans="2:10" ht="15">
      <c r="B83" s="16"/>
      <c r="C83" s="17" t="s">
        <v>67</v>
      </c>
      <c r="D83" s="17"/>
      <c r="E83" s="108">
        <v>0.08</v>
      </c>
      <c r="F83" s="17"/>
      <c r="G83" s="17"/>
      <c r="H83" s="17"/>
      <c r="I83" s="17"/>
      <c r="J83" s="15"/>
    </row>
    <row r="84" spans="2:10" ht="15.75" thickBot="1">
      <c r="B84" s="18"/>
      <c r="C84" s="19"/>
      <c r="D84" s="19"/>
      <c r="E84" s="19"/>
      <c r="F84" s="19"/>
      <c r="G84" s="19"/>
      <c r="H84" s="19"/>
      <c r="I84" s="19"/>
      <c r="J84" s="20"/>
    </row>
    <row r="86" ht="15.75" thickBot="1"/>
    <row r="87" spans="2:6" ht="15">
      <c r="B87" s="8"/>
      <c r="C87" s="21" t="s">
        <v>76</v>
      </c>
      <c r="D87" s="9"/>
      <c r="E87" s="9"/>
      <c r="F87" s="10"/>
    </row>
    <row r="88" spans="2:6" ht="15">
      <c r="B88" s="16"/>
      <c r="C88" s="17"/>
      <c r="D88" s="17"/>
      <c r="E88" s="17"/>
      <c r="F88" s="15"/>
    </row>
    <row r="89" spans="2:40" ht="15">
      <c r="B89" s="16"/>
      <c r="C89" s="17" t="s">
        <v>77</v>
      </c>
      <c r="D89" s="17"/>
      <c r="E89" s="109" t="s">
        <v>93</v>
      </c>
      <c r="F89" s="15"/>
      <c r="AN89" t="s">
        <v>91</v>
      </c>
    </row>
    <row r="90" spans="2:40" ht="15">
      <c r="B90" s="16"/>
      <c r="C90" s="17" t="s">
        <v>78</v>
      </c>
      <c r="D90" s="17"/>
      <c r="E90" s="108">
        <v>0.01</v>
      </c>
      <c r="F90" s="15"/>
      <c r="AN90" t="s">
        <v>92</v>
      </c>
    </row>
    <row r="91" spans="2:40" ht="15">
      <c r="B91" s="16"/>
      <c r="C91" s="17"/>
      <c r="D91" s="17"/>
      <c r="E91" s="17"/>
      <c r="F91" s="15"/>
      <c r="AN91" t="s">
        <v>93</v>
      </c>
    </row>
    <row r="92" spans="2:40" ht="15">
      <c r="B92" s="16"/>
      <c r="C92" s="17" t="s">
        <v>79</v>
      </c>
      <c r="D92" s="17"/>
      <c r="E92" s="110">
        <v>0</v>
      </c>
      <c r="F92" s="15"/>
      <c r="AN92" t="s">
        <v>94</v>
      </c>
    </row>
    <row r="93" spans="2:40" ht="15">
      <c r="B93" s="16"/>
      <c r="C93" s="17" t="s">
        <v>80</v>
      </c>
      <c r="D93" s="17"/>
      <c r="E93" s="111">
        <v>1</v>
      </c>
      <c r="F93" s="15"/>
      <c r="AN93" t="s">
        <v>95</v>
      </c>
    </row>
    <row r="94" spans="2:6" ht="15.75" thickBot="1">
      <c r="B94" s="18"/>
      <c r="C94" s="19"/>
      <c r="D94" s="19"/>
      <c r="E94" s="19"/>
      <c r="F94" s="20"/>
    </row>
    <row r="95" ht="15.75" thickBot="1"/>
    <row r="96" spans="2:11" ht="15">
      <c r="B96" s="8"/>
      <c r="C96" s="9"/>
      <c r="D96" s="9"/>
      <c r="E96" s="9"/>
      <c r="F96" s="9"/>
      <c r="G96" s="9"/>
      <c r="H96" s="9"/>
      <c r="I96" s="9"/>
      <c r="J96" s="9"/>
      <c r="K96" s="10"/>
    </row>
    <row r="97" spans="2:11" ht="15">
      <c r="B97" s="16"/>
      <c r="C97" s="13" t="s">
        <v>225</v>
      </c>
      <c r="D97" s="83" t="s">
        <v>226</v>
      </c>
      <c r="E97" s="12" t="s">
        <v>227</v>
      </c>
      <c r="F97" s="13" t="str">
        <f>+E76</f>
        <v>Anno 1</v>
      </c>
      <c r="G97" s="13" t="str">
        <f>+F76</f>
        <v>Anno 2</v>
      </c>
      <c r="H97" s="13" t="str">
        <f>+G76</f>
        <v>Anno 3</v>
      </c>
      <c r="I97" s="13" t="str">
        <f>+H76</f>
        <v>Anno 4</v>
      </c>
      <c r="J97" s="13" t="str">
        <f>+I76</f>
        <v>Anno 5</v>
      </c>
      <c r="K97" s="15"/>
    </row>
    <row r="98" spans="2:11" ht="15">
      <c r="B98" s="16"/>
      <c r="C98" s="13"/>
      <c r="D98" s="17"/>
      <c r="E98" s="14"/>
      <c r="F98" s="14"/>
      <c r="G98" s="14"/>
      <c r="H98" s="14"/>
      <c r="I98" s="14"/>
      <c r="J98" s="14"/>
      <c r="K98" s="15"/>
    </row>
    <row r="99" spans="2:11" ht="15">
      <c r="B99" s="16"/>
      <c r="C99" s="17" t="s">
        <v>228</v>
      </c>
      <c r="D99" s="107">
        <v>0.21</v>
      </c>
      <c r="E99" s="17"/>
      <c r="F99" s="2">
        <f>250*12</f>
        <v>3000</v>
      </c>
      <c r="G99" s="2">
        <f>250*12</f>
        <v>3000</v>
      </c>
      <c r="H99" s="2">
        <f>250*12</f>
        <v>3000</v>
      </c>
      <c r="I99" s="2">
        <f>250*12</f>
        <v>3000</v>
      </c>
      <c r="J99" s="2">
        <f>250*12</f>
        <v>3000</v>
      </c>
      <c r="K99" s="15"/>
    </row>
    <row r="100" spans="2:11" ht="15">
      <c r="B100" s="16"/>
      <c r="C100" s="17" t="s">
        <v>229</v>
      </c>
      <c r="D100" s="107">
        <v>0.21</v>
      </c>
      <c r="E100" s="17"/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15"/>
    </row>
    <row r="101" spans="2:11" ht="15">
      <c r="B101" s="16"/>
      <c r="C101" s="17" t="s">
        <v>230</v>
      </c>
      <c r="D101" s="107">
        <v>0.21</v>
      </c>
      <c r="E101" s="17"/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15"/>
    </row>
    <row r="102" spans="2:11" ht="15">
      <c r="B102" s="16"/>
      <c r="C102" s="17" t="s">
        <v>231</v>
      </c>
      <c r="D102" s="107">
        <v>0.21</v>
      </c>
      <c r="E102" s="17"/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15"/>
    </row>
    <row r="103" spans="2:11" ht="15">
      <c r="B103" s="16"/>
      <c r="C103" s="17" t="s">
        <v>232</v>
      </c>
      <c r="D103" s="107">
        <v>0.21</v>
      </c>
      <c r="E103" s="17"/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15"/>
    </row>
    <row r="104" spans="2:11" ht="15">
      <c r="B104" s="16"/>
      <c r="C104" s="17" t="s">
        <v>233</v>
      </c>
      <c r="D104" s="107">
        <v>0.21</v>
      </c>
      <c r="E104" s="17"/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15"/>
    </row>
    <row r="105" spans="2:11" ht="15">
      <c r="B105" s="16"/>
      <c r="C105" s="17" t="s">
        <v>234</v>
      </c>
      <c r="D105" s="107">
        <v>0.21</v>
      </c>
      <c r="E105" s="17"/>
      <c r="F105" s="2">
        <v>600</v>
      </c>
      <c r="G105" s="2">
        <v>600</v>
      </c>
      <c r="H105" s="2">
        <v>600</v>
      </c>
      <c r="I105" s="2">
        <v>600</v>
      </c>
      <c r="J105" s="2">
        <v>600</v>
      </c>
      <c r="K105" s="15"/>
    </row>
    <row r="106" spans="2:11" ht="15">
      <c r="B106" s="16"/>
      <c r="C106" s="17" t="s">
        <v>235</v>
      </c>
      <c r="D106" s="107">
        <v>0.21</v>
      </c>
      <c r="E106" s="17"/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15"/>
    </row>
    <row r="107" spans="2:11" ht="15">
      <c r="B107" s="16"/>
      <c r="C107" s="17" t="s">
        <v>239</v>
      </c>
      <c r="D107" s="107">
        <v>0</v>
      </c>
      <c r="E107" s="17"/>
      <c r="F107" s="2">
        <f>1500*12</f>
        <v>18000</v>
      </c>
      <c r="G107" s="2">
        <f>1500*12</f>
        <v>18000</v>
      </c>
      <c r="H107" s="2">
        <f>1500*12</f>
        <v>18000</v>
      </c>
      <c r="I107" s="2">
        <f>1500*12</f>
        <v>18000</v>
      </c>
      <c r="J107" s="2">
        <f>1500*12</f>
        <v>18000</v>
      </c>
      <c r="K107" s="15"/>
    </row>
    <row r="108" spans="2:11" ht="15">
      <c r="B108" s="16"/>
      <c r="C108" s="17" t="s">
        <v>236</v>
      </c>
      <c r="D108" s="107">
        <v>0.21</v>
      </c>
      <c r="E108" s="17"/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15"/>
    </row>
    <row r="109" spans="2:11" ht="15">
      <c r="B109" s="16"/>
      <c r="C109" s="17" t="s">
        <v>237</v>
      </c>
      <c r="D109" s="107">
        <v>0.21</v>
      </c>
      <c r="E109" s="17"/>
      <c r="F109" s="2">
        <v>1000</v>
      </c>
      <c r="G109" s="2">
        <v>1000</v>
      </c>
      <c r="H109" s="2">
        <v>1000</v>
      </c>
      <c r="I109" s="2">
        <v>1000</v>
      </c>
      <c r="J109" s="2">
        <v>1000</v>
      </c>
      <c r="K109" s="15"/>
    </row>
    <row r="110" spans="2:11" ht="15">
      <c r="B110" s="16"/>
      <c r="C110" s="17" t="s">
        <v>238</v>
      </c>
      <c r="D110" s="107">
        <v>0</v>
      </c>
      <c r="E110" s="17"/>
      <c r="F110" s="2">
        <v>500</v>
      </c>
      <c r="G110" s="2">
        <v>500</v>
      </c>
      <c r="H110" s="2">
        <v>500</v>
      </c>
      <c r="I110" s="2">
        <v>500</v>
      </c>
      <c r="J110" s="2">
        <v>500</v>
      </c>
      <c r="K110" s="15"/>
    </row>
    <row r="111" spans="2:11" ht="15">
      <c r="B111" s="16"/>
      <c r="C111" s="52" t="s">
        <v>407</v>
      </c>
      <c r="D111" s="107">
        <v>0</v>
      </c>
      <c r="E111" s="17"/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15"/>
    </row>
    <row r="112" spans="2:11" ht="15">
      <c r="B112" s="16"/>
      <c r="C112" s="154" t="str">
        <f>+C18</f>
        <v>Royalties Franchising</v>
      </c>
      <c r="D112" s="155">
        <f>+F18</f>
        <v>0.21</v>
      </c>
      <c r="E112" s="17"/>
      <c r="F112" s="156">
        <f>+MCL!D13*Input!$D$18</f>
        <v>6000</v>
      </c>
      <c r="G112" s="156">
        <f>+MCL!E13*Input!$D$18</f>
        <v>8250</v>
      </c>
      <c r="H112" s="156">
        <f>+MCL!F13*Input!$D$18</f>
        <v>10530</v>
      </c>
      <c r="I112" s="156">
        <f>+MCL!G13*Input!$D$18</f>
        <v>10620</v>
      </c>
      <c r="J112" s="156">
        <f>+MCL!H13*Input!$D$18</f>
        <v>10800</v>
      </c>
      <c r="K112" s="15"/>
    </row>
    <row r="113" spans="2:11" ht="15">
      <c r="B113" s="16"/>
      <c r="C113" s="52" t="s">
        <v>240</v>
      </c>
      <c r="D113" s="107">
        <v>0</v>
      </c>
      <c r="E113" s="17"/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15"/>
    </row>
    <row r="114" spans="2:11" ht="15">
      <c r="B114" s="16"/>
      <c r="C114" s="52" t="s">
        <v>241</v>
      </c>
      <c r="D114" s="107">
        <v>0</v>
      </c>
      <c r="E114" s="17"/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15"/>
    </row>
    <row r="115" spans="2:11" ht="15">
      <c r="B115" s="16"/>
      <c r="C115" s="52" t="s">
        <v>242</v>
      </c>
      <c r="D115" s="107">
        <v>0</v>
      </c>
      <c r="E115" s="17"/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15"/>
    </row>
    <row r="116" spans="2:11" ht="15">
      <c r="B116" s="16"/>
      <c r="C116" s="52" t="s">
        <v>243</v>
      </c>
      <c r="D116" s="107">
        <v>0</v>
      </c>
      <c r="E116" s="17"/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15"/>
    </row>
    <row r="117" spans="2:11" ht="15">
      <c r="B117" s="16"/>
      <c r="C117" s="52" t="s">
        <v>244</v>
      </c>
      <c r="D117" s="107">
        <v>0</v>
      </c>
      <c r="E117" s="17"/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15"/>
    </row>
    <row r="118" spans="2:11" ht="15">
      <c r="B118" s="16"/>
      <c r="C118" s="52" t="s">
        <v>245</v>
      </c>
      <c r="D118" s="107">
        <v>0</v>
      </c>
      <c r="E118" s="17"/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15"/>
    </row>
    <row r="119" spans="2:11" ht="15">
      <c r="B119" s="16"/>
      <c r="C119" s="52" t="s">
        <v>246</v>
      </c>
      <c r="D119" s="107">
        <v>0</v>
      </c>
      <c r="E119" s="17"/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15"/>
    </row>
    <row r="120" spans="2:11" ht="15.75" thickBot="1">
      <c r="B120" s="18"/>
      <c r="C120" s="19"/>
      <c r="D120" s="19"/>
      <c r="E120" s="19"/>
      <c r="F120" s="19"/>
      <c r="G120" s="19"/>
      <c r="H120" s="19"/>
      <c r="I120" s="19"/>
      <c r="J120" s="19"/>
      <c r="K120" s="20"/>
    </row>
    <row r="121" ht="15.75" thickBot="1"/>
    <row r="122" spans="2:5" ht="15">
      <c r="B122" s="8"/>
      <c r="C122" s="9"/>
      <c r="D122" s="9"/>
      <c r="E122" s="10"/>
    </row>
    <row r="123" spans="2:5" ht="15">
      <c r="B123" s="16"/>
      <c r="C123" s="17" t="s">
        <v>250</v>
      </c>
      <c r="D123" s="107">
        <v>0.05</v>
      </c>
      <c r="E123" s="15"/>
    </row>
    <row r="124" spans="2:5" ht="15">
      <c r="B124" s="16"/>
      <c r="C124" s="17"/>
      <c r="D124" s="17"/>
      <c r="E124" s="15"/>
    </row>
    <row r="125" spans="2:5" ht="15">
      <c r="B125" s="16"/>
      <c r="C125" s="17" t="s">
        <v>334</v>
      </c>
      <c r="D125" s="107">
        <v>0.03</v>
      </c>
      <c r="E125" s="15"/>
    </row>
    <row r="126" spans="2:5" ht="15.75" thickBot="1">
      <c r="B126" s="18"/>
      <c r="C126" s="19"/>
      <c r="D126" s="19"/>
      <c r="E126" s="20"/>
    </row>
    <row r="127" ht="15.75" thickBot="1"/>
    <row r="128" spans="2:9" ht="15">
      <c r="B128" s="8"/>
      <c r="C128" s="9"/>
      <c r="D128" s="9"/>
      <c r="E128" s="9"/>
      <c r="F128" s="9"/>
      <c r="G128" s="9"/>
      <c r="H128" s="9"/>
      <c r="I128" s="10"/>
    </row>
    <row r="129" spans="2:9" ht="15">
      <c r="B129" s="16"/>
      <c r="C129" s="17"/>
      <c r="D129" s="13" t="str">
        <f>+F97</f>
        <v>Anno 1</v>
      </c>
      <c r="E129" s="13" t="str">
        <f>+G97</f>
        <v>Anno 2</v>
      </c>
      <c r="F129" s="13" t="str">
        <f>+H97</f>
        <v>Anno 3</v>
      </c>
      <c r="G129" s="13" t="str">
        <f>+I97</f>
        <v>Anno 4</v>
      </c>
      <c r="H129" s="13" t="str">
        <f>+J97</f>
        <v>Anno 5</v>
      </c>
      <c r="I129" s="36"/>
    </row>
    <row r="130" spans="2:9" ht="15">
      <c r="B130" s="16"/>
      <c r="C130" s="131" t="s">
        <v>392</v>
      </c>
      <c r="D130" s="4">
        <v>20000</v>
      </c>
      <c r="E130" s="4">
        <v>0</v>
      </c>
      <c r="F130" s="4">
        <v>0</v>
      </c>
      <c r="G130" s="4">
        <v>0</v>
      </c>
      <c r="H130" s="4">
        <v>0</v>
      </c>
      <c r="I130" s="15"/>
    </row>
    <row r="131" spans="2:9" ht="15.75" thickBot="1">
      <c r="B131" s="18"/>
      <c r="C131" s="19"/>
      <c r="D131" s="19"/>
      <c r="E131" s="19"/>
      <c r="F131" s="19"/>
      <c r="G131" s="19"/>
      <c r="H131" s="19"/>
      <c r="I131" s="20"/>
    </row>
    <row r="133" ht="15.75" thickBot="1"/>
    <row r="134" spans="2:9" ht="15">
      <c r="B134" s="8"/>
      <c r="C134" s="9"/>
      <c r="D134" s="9"/>
      <c r="E134" s="9"/>
      <c r="F134" s="9"/>
      <c r="G134" s="9"/>
      <c r="H134" s="9"/>
      <c r="I134" s="10"/>
    </row>
    <row r="135" spans="2:9" ht="15">
      <c r="B135" s="16"/>
      <c r="C135" s="12" t="s">
        <v>393</v>
      </c>
      <c r="D135" s="17"/>
      <c r="E135" s="17"/>
      <c r="F135" s="17"/>
      <c r="G135" s="17"/>
      <c r="H135" s="17"/>
      <c r="I135" s="15"/>
    </row>
    <row r="136" spans="2:9" ht="15">
      <c r="B136" s="16"/>
      <c r="C136" s="17"/>
      <c r="D136" s="17"/>
      <c r="E136" s="17"/>
      <c r="F136" s="17"/>
      <c r="G136" s="17"/>
      <c r="H136" s="17"/>
      <c r="I136" s="15"/>
    </row>
    <row r="137" spans="2:9" ht="15">
      <c r="B137" s="16"/>
      <c r="C137" s="17" t="s">
        <v>396</v>
      </c>
      <c r="D137" s="4">
        <v>93100</v>
      </c>
      <c r="E137" s="17"/>
      <c r="F137" s="17"/>
      <c r="G137" s="17"/>
      <c r="H137" s="17"/>
      <c r="I137" s="15"/>
    </row>
    <row r="138" spans="2:9" ht="15">
      <c r="B138" s="16"/>
      <c r="C138" s="17" t="s">
        <v>397</v>
      </c>
      <c r="D138" s="4">
        <v>30000</v>
      </c>
      <c r="E138" s="17"/>
      <c r="F138" s="17"/>
      <c r="G138" s="17"/>
      <c r="H138" s="17"/>
      <c r="I138" s="15"/>
    </row>
    <row r="139" spans="2:9" ht="15">
      <c r="B139" s="16"/>
      <c r="C139" s="17"/>
      <c r="D139" s="34">
        <f>SUM(D137:D138)</f>
        <v>123100</v>
      </c>
      <c r="E139" s="17"/>
      <c r="F139" s="17"/>
      <c r="G139" s="17"/>
      <c r="H139" s="17"/>
      <c r="I139" s="15"/>
    </row>
    <row r="140" spans="2:9" ht="15">
      <c r="B140" s="16"/>
      <c r="C140" s="17"/>
      <c r="D140" s="17"/>
      <c r="E140" s="17"/>
      <c r="F140" s="17"/>
      <c r="G140" s="17"/>
      <c r="H140" s="17"/>
      <c r="I140" s="15"/>
    </row>
    <row r="141" spans="2:9" ht="15">
      <c r="B141" s="16"/>
      <c r="C141" s="17" t="s">
        <v>90</v>
      </c>
      <c r="D141" s="39">
        <f>+IF(((D137+D138)/2)&gt;D137,D137,((D137+D138)/2))</f>
        <v>61550</v>
      </c>
      <c r="E141" s="134"/>
      <c r="F141" s="17" t="s">
        <v>400</v>
      </c>
      <c r="G141" s="17"/>
      <c r="H141" s="107">
        <v>0.02</v>
      </c>
      <c r="I141" s="15"/>
    </row>
    <row r="142" spans="2:9" ht="15">
      <c r="B142" s="16"/>
      <c r="C142" s="17" t="s">
        <v>398</v>
      </c>
      <c r="D142" s="39">
        <f>+D141</f>
        <v>61550</v>
      </c>
      <c r="E142" s="17"/>
      <c r="F142" s="17"/>
      <c r="G142" s="17"/>
      <c r="H142" s="17"/>
      <c r="I142" s="15"/>
    </row>
    <row r="143" spans="2:9" ht="15">
      <c r="B143" s="16"/>
      <c r="C143" s="12" t="s">
        <v>399</v>
      </c>
      <c r="D143" s="34">
        <f>SUM(D141:D142)</f>
        <v>123100</v>
      </c>
      <c r="E143" s="17"/>
      <c r="F143" s="17"/>
      <c r="G143" s="17"/>
      <c r="H143" s="17"/>
      <c r="I143" s="15"/>
    </row>
    <row r="144" spans="2:9" ht="15">
      <c r="B144" s="16"/>
      <c r="C144" s="12"/>
      <c r="D144" s="34"/>
      <c r="E144" s="17"/>
      <c r="F144" s="17"/>
      <c r="G144" s="17"/>
      <c r="H144" s="17"/>
      <c r="I144" s="15"/>
    </row>
    <row r="145" spans="2:9" ht="15">
      <c r="B145" s="16"/>
      <c r="C145" s="12" t="s">
        <v>403</v>
      </c>
      <c r="D145" s="34" t="s">
        <v>260</v>
      </c>
      <c r="E145" s="34" t="s">
        <v>261</v>
      </c>
      <c r="F145" s="17"/>
      <c r="G145" s="17"/>
      <c r="H145" s="17"/>
      <c r="I145" s="15"/>
    </row>
    <row r="146" spans="2:9" ht="15">
      <c r="B146" s="16"/>
      <c r="C146" s="17" t="s">
        <v>39</v>
      </c>
      <c r="D146" s="39">
        <f>+D137</f>
        <v>93100</v>
      </c>
      <c r="E146" s="17"/>
      <c r="F146" s="17"/>
      <c r="G146" s="17"/>
      <c r="H146" s="17"/>
      <c r="I146" s="15"/>
    </row>
    <row r="147" spans="2:9" ht="15">
      <c r="B147" s="16"/>
      <c r="C147" s="17" t="s">
        <v>404</v>
      </c>
      <c r="D147" s="4">
        <v>15000</v>
      </c>
      <c r="E147" s="4">
        <v>15000</v>
      </c>
      <c r="F147" s="17"/>
      <c r="G147" s="17"/>
      <c r="H147" s="17"/>
      <c r="I147" s="15"/>
    </row>
    <row r="148" spans="2:9" ht="15.75" thickBot="1">
      <c r="B148" s="18"/>
      <c r="C148" s="19"/>
      <c r="D148" s="19"/>
      <c r="E148" s="19"/>
      <c r="F148" s="19"/>
      <c r="G148" s="19"/>
      <c r="H148" s="19"/>
      <c r="I148" s="20"/>
    </row>
  </sheetData>
  <sheetProtection/>
  <dataValidations count="4">
    <dataValidation type="list" allowBlank="1" showInputMessage="1" showErrorMessage="1" sqref="G48:G56 E24:E25 G35:G43">
      <formula1>$AD$35:$AD$41</formula1>
    </dataValidation>
    <dataValidation type="list" allowBlank="1" showInputMessage="1" showErrorMessage="1" sqref="F48:F56">
      <formula1>$AC$35:$AC$41</formula1>
    </dataValidation>
    <dataValidation type="list" allowBlank="1" showInputMessage="1" showErrorMessage="1" sqref="E89">
      <formula1>$AN$89:$AN$93</formula1>
    </dataValidation>
    <dataValidation type="list" allowBlank="1" showInputMessage="1" showErrorMessage="1" sqref="D15">
      <formula1>$AH$15:$AH$32</formula1>
    </dataValidation>
  </dataValidations>
  <hyperlinks>
    <hyperlink ref="K6" location="SP!A1" display="Stato Patrimoniale"/>
    <hyperlink ref="K7" location="CE!A1" display="Conto Economico"/>
    <hyperlink ref="K8" location="'Cash Flow'!A1" display="Cash Flow"/>
    <hyperlink ref="C3" r:id="rId1" display="www.bpexcel.i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6">
      <selection activeCell="E22" sqref="E22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4"/>
      <c r="B1" s="55" t="s">
        <v>81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>
        <v>1</v>
      </c>
      <c r="GN1" s="75">
        <v>2</v>
      </c>
      <c r="GO1" s="75">
        <v>3</v>
      </c>
      <c r="GP1" s="75">
        <v>4</v>
      </c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</row>
    <row r="2" spans="1:212" ht="15">
      <c r="A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FY2" s="76" t="s">
        <v>91</v>
      </c>
      <c r="FZ2" s="75">
        <v>1</v>
      </c>
      <c r="GA2" s="75"/>
      <c r="GB2" s="75"/>
      <c r="GC2" s="75" t="s">
        <v>135</v>
      </c>
      <c r="GD2" s="75">
        <f>VLOOKUP(C4,$FY$2:$FZ$38,2,FALSE)</f>
        <v>3</v>
      </c>
      <c r="GE2" s="75" t="s">
        <v>136</v>
      </c>
      <c r="GF2" s="75"/>
      <c r="GG2" s="75"/>
      <c r="GH2" s="75"/>
      <c r="GI2" s="75"/>
      <c r="GJ2" s="75">
        <v>1</v>
      </c>
      <c r="GK2" s="75">
        <f>+IF($C$8=$GM$1,GM2,IF($C$8=$GN$1,GN2,IF($C$8=$GO$1,GO2,IF($C$8=$GP$1,GP2,0))))</f>
        <v>1</v>
      </c>
      <c r="GL2" s="75"/>
      <c r="GM2" s="75">
        <v>1</v>
      </c>
      <c r="GN2" s="75">
        <v>1</v>
      </c>
      <c r="GO2" s="75">
        <v>1</v>
      </c>
      <c r="GP2" s="75">
        <v>1</v>
      </c>
      <c r="GQ2" s="75"/>
      <c r="GR2" s="75"/>
      <c r="GS2" s="75"/>
      <c r="GT2" s="75">
        <v>1</v>
      </c>
      <c r="GU2" s="75"/>
      <c r="GV2" s="75">
        <v>1</v>
      </c>
      <c r="GW2" s="75"/>
      <c r="GX2" s="75"/>
      <c r="GY2" s="75"/>
      <c r="GZ2" s="75"/>
      <c r="HA2" s="75"/>
      <c r="HB2" s="75"/>
      <c r="HC2" s="75"/>
      <c r="HD2" s="75"/>
    </row>
    <row r="3" spans="1:212" ht="15.75">
      <c r="A3" s="54"/>
      <c r="B3" s="55" t="s">
        <v>82</v>
      </c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FY3" s="76" t="s">
        <v>92</v>
      </c>
      <c r="FZ3" s="75">
        <f>1+FZ2</f>
        <v>2</v>
      </c>
      <c r="GA3" s="75"/>
      <c r="GB3" s="75"/>
      <c r="GC3" s="75"/>
      <c r="GD3" s="75">
        <f>VLOOKUP(C6,$FY$2:$FZ$38,2,FALSE)</f>
        <v>3</v>
      </c>
      <c r="GE3" s="75" t="s">
        <v>137</v>
      </c>
      <c r="GF3" s="75"/>
      <c r="GG3" s="75"/>
      <c r="GH3" s="75"/>
      <c r="GI3" s="75"/>
      <c r="GJ3" s="75">
        <f>+GJ2+1</f>
        <v>2</v>
      </c>
      <c r="GK3" s="75">
        <f>+IF($C$8=$GM$1,GM3,IF($C$8=$GN$1,GN3,IF($C$8=$GO$1,GO3,IF($C$8=$GP$1,GP3,0))))</f>
        <v>0</v>
      </c>
      <c r="GL3" s="75"/>
      <c r="GM3" s="75"/>
      <c r="GN3" s="75"/>
      <c r="GO3" s="75"/>
      <c r="GP3" s="75"/>
      <c r="GQ3" s="75"/>
      <c r="GR3" s="75"/>
      <c r="GS3" s="75"/>
      <c r="GT3" s="75">
        <v>2</v>
      </c>
      <c r="GU3" s="75"/>
      <c r="GV3" s="75">
        <v>2</v>
      </c>
      <c r="GW3" s="75"/>
      <c r="GX3" s="75"/>
      <c r="GY3" s="75"/>
      <c r="GZ3" s="75"/>
      <c r="HA3" s="75"/>
      <c r="HB3" s="75"/>
      <c r="HC3" s="75"/>
      <c r="HD3" s="75"/>
    </row>
    <row r="4" spans="2:212" ht="15">
      <c r="B4" s="57" t="s">
        <v>77</v>
      </c>
      <c r="C4" s="58" t="s">
        <v>405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FY4" s="76" t="s">
        <v>93</v>
      </c>
      <c r="FZ4" s="75">
        <f aca="true" t="shared" si="0" ref="FZ4:FZ67">1+FZ3</f>
        <v>3</v>
      </c>
      <c r="GA4" s="75"/>
      <c r="GB4" s="75"/>
      <c r="GC4" s="75"/>
      <c r="GD4" s="75"/>
      <c r="GE4" s="75"/>
      <c r="GF4" s="75"/>
      <c r="GG4" s="75"/>
      <c r="GH4" s="75"/>
      <c r="GI4" s="75"/>
      <c r="GJ4" s="75">
        <f aca="true" t="shared" si="1" ref="GJ4:GJ67">+GJ3+1</f>
        <v>3</v>
      </c>
      <c r="GK4" s="75">
        <f aca="true" t="shared" si="2" ref="GK4:GK68">+IF($C$8=$GM$1,GM4,IF($C$8=$GN$1,GN4,IF($C$8=$GO$1,GO4,IF($C$8=$GP$1,GP4,0))))</f>
        <v>0</v>
      </c>
      <c r="GL4" s="75"/>
      <c r="GM4" s="75"/>
      <c r="GN4" s="75"/>
      <c r="GO4" s="75"/>
      <c r="GP4" s="75"/>
      <c r="GQ4" s="75"/>
      <c r="GR4" s="75"/>
      <c r="GS4" s="75"/>
      <c r="GT4" s="75">
        <v>3</v>
      </c>
      <c r="GU4" s="75"/>
      <c r="GV4" s="75">
        <v>3</v>
      </c>
      <c r="GW4" s="75"/>
      <c r="GX4" s="75"/>
      <c r="GY4" s="75"/>
      <c r="GZ4" s="75"/>
      <c r="HA4" s="75"/>
      <c r="HB4" s="75"/>
      <c r="HC4" s="75"/>
      <c r="HD4" s="75"/>
    </row>
    <row r="5" spans="1:212" ht="15">
      <c r="A5" s="54" t="s">
        <v>83</v>
      </c>
      <c r="B5" s="57" t="s">
        <v>78</v>
      </c>
      <c r="C5" s="59">
        <f>+Input!H141</f>
        <v>0.02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FY5" s="76" t="s">
        <v>94</v>
      </c>
      <c r="FZ5" s="75">
        <f t="shared" si="0"/>
        <v>4</v>
      </c>
      <c r="GA5" s="75"/>
      <c r="GB5" s="75"/>
      <c r="GC5" s="75"/>
      <c r="GD5" s="75"/>
      <c r="GE5" s="75"/>
      <c r="GF5" s="75"/>
      <c r="GG5" s="75"/>
      <c r="GH5" s="75"/>
      <c r="GI5" s="75"/>
      <c r="GJ5" s="75">
        <f t="shared" si="1"/>
        <v>4</v>
      </c>
      <c r="GK5" s="75">
        <f t="shared" si="2"/>
        <v>0</v>
      </c>
      <c r="GL5" s="75"/>
      <c r="GM5" s="75"/>
      <c r="GN5" s="75"/>
      <c r="GO5" s="75"/>
      <c r="GP5" s="75">
        <v>1</v>
      </c>
      <c r="GQ5" s="75"/>
      <c r="GR5" s="75"/>
      <c r="GS5" s="75"/>
      <c r="GT5" s="75">
        <v>4</v>
      </c>
      <c r="GU5" s="75"/>
      <c r="GV5" s="75">
        <v>4</v>
      </c>
      <c r="GW5" s="75"/>
      <c r="GX5" s="75"/>
      <c r="GY5" s="75"/>
      <c r="GZ5" s="75"/>
      <c r="HA5" s="75"/>
      <c r="HB5" s="75"/>
      <c r="HC5" s="75"/>
      <c r="HD5" s="75"/>
    </row>
    <row r="6" spans="1:212" ht="15">
      <c r="A6" s="54"/>
      <c r="B6" s="57" t="s">
        <v>84</v>
      </c>
      <c r="C6" s="60" t="s">
        <v>405</v>
      </c>
      <c r="D6" s="54">
        <f>+IF(GD3&lt;GD2,"non puoi inserire una data antecedente a quella di stipule del finanziamento","")</f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FY6" s="76" t="s">
        <v>95</v>
      </c>
      <c r="FZ6" s="75">
        <f t="shared" si="0"/>
        <v>5</v>
      </c>
      <c r="GA6" s="75"/>
      <c r="GB6" s="75"/>
      <c r="GC6" s="75"/>
      <c r="GD6" s="75"/>
      <c r="GE6" s="75"/>
      <c r="GF6" s="75"/>
      <c r="GG6" s="75"/>
      <c r="GH6" s="75"/>
      <c r="GI6" s="75"/>
      <c r="GJ6" s="75">
        <f t="shared" si="1"/>
        <v>5</v>
      </c>
      <c r="GK6" s="75">
        <f t="shared" si="2"/>
        <v>0</v>
      </c>
      <c r="GL6" s="75"/>
      <c r="GM6" s="75"/>
      <c r="GN6" s="75"/>
      <c r="GO6" s="75">
        <v>1</v>
      </c>
      <c r="GP6" s="75"/>
      <c r="GQ6" s="75"/>
      <c r="GR6" s="75"/>
      <c r="GS6" s="75"/>
      <c r="GT6" s="75"/>
      <c r="GU6" s="75"/>
      <c r="GV6" s="75">
        <v>5</v>
      </c>
      <c r="GW6" s="75"/>
      <c r="GX6" s="75"/>
      <c r="GY6" s="75"/>
      <c r="GZ6" s="75"/>
      <c r="HA6" s="75"/>
      <c r="HB6" s="75"/>
      <c r="HC6" s="75"/>
      <c r="HD6" s="75"/>
    </row>
    <row r="7" spans="1:212" ht="15">
      <c r="A7" s="54"/>
      <c r="B7" s="61" t="s">
        <v>79</v>
      </c>
      <c r="C7" s="62">
        <f>+Input!D141</f>
        <v>61550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FY7" s="76" t="s">
        <v>96</v>
      </c>
      <c r="FZ7" s="75">
        <f t="shared" si="0"/>
        <v>6</v>
      </c>
      <c r="GA7" s="75"/>
      <c r="GB7" s="75"/>
      <c r="GC7" s="75"/>
      <c r="GD7" s="75"/>
      <c r="GE7" s="75"/>
      <c r="GF7" s="75"/>
      <c r="GG7" s="75"/>
      <c r="GH7" s="75"/>
      <c r="GI7" s="75"/>
      <c r="GJ7" s="75">
        <f t="shared" si="1"/>
        <v>6</v>
      </c>
      <c r="GK7" s="75">
        <f t="shared" si="2"/>
        <v>0</v>
      </c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>
        <v>6</v>
      </c>
      <c r="GW7" s="75"/>
      <c r="GX7" s="75"/>
      <c r="GY7" s="75"/>
      <c r="GZ7" s="75"/>
      <c r="HA7" s="75"/>
      <c r="HB7" s="75"/>
      <c r="HC7" s="75"/>
      <c r="HD7" s="75"/>
    </row>
    <row r="8" spans="1:212" ht="15">
      <c r="A8" s="54"/>
      <c r="B8" s="61" t="s">
        <v>85</v>
      </c>
      <c r="C8" s="63"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FY8" s="76" t="s">
        <v>97</v>
      </c>
      <c r="FZ8" s="75">
        <f t="shared" si="0"/>
        <v>7</v>
      </c>
      <c r="GA8" s="75"/>
      <c r="GB8" s="75"/>
      <c r="GC8" s="75"/>
      <c r="GD8" s="75"/>
      <c r="GE8" s="75"/>
      <c r="GF8" s="75"/>
      <c r="GG8" s="75"/>
      <c r="GH8" s="75"/>
      <c r="GI8" s="75"/>
      <c r="GJ8" s="75">
        <f t="shared" si="1"/>
        <v>7</v>
      </c>
      <c r="GK8" s="75">
        <f t="shared" si="2"/>
        <v>0</v>
      </c>
      <c r="GL8" s="75"/>
      <c r="GM8" s="75"/>
      <c r="GN8" s="75">
        <v>1</v>
      </c>
      <c r="GO8" s="75"/>
      <c r="GP8" s="75">
        <v>1</v>
      </c>
      <c r="GQ8" s="75"/>
      <c r="GR8" s="75"/>
      <c r="GS8" s="75"/>
      <c r="GT8" s="75"/>
      <c r="GU8" s="75"/>
      <c r="GV8" s="75">
        <v>7</v>
      </c>
      <c r="GW8" s="75"/>
      <c r="GX8" s="75"/>
      <c r="GY8" s="75"/>
      <c r="GZ8" s="75"/>
      <c r="HA8" s="75"/>
      <c r="HB8" s="75"/>
      <c r="HC8" s="75"/>
      <c r="HD8" s="75"/>
    </row>
    <row r="9" spans="1:212" ht="15">
      <c r="A9" s="54"/>
      <c r="B9" s="61" t="s">
        <v>80</v>
      </c>
      <c r="C9" s="63"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FY9" s="76" t="s">
        <v>98</v>
      </c>
      <c r="FZ9" s="75">
        <f t="shared" si="0"/>
        <v>8</v>
      </c>
      <c r="GA9" s="75"/>
      <c r="GB9" s="75"/>
      <c r="GC9" s="75"/>
      <c r="GD9" s="75"/>
      <c r="GE9" s="75"/>
      <c r="GF9" s="75"/>
      <c r="GG9" s="75"/>
      <c r="GH9" s="75"/>
      <c r="GI9" s="75"/>
      <c r="GJ9" s="75">
        <f t="shared" si="1"/>
        <v>8</v>
      </c>
      <c r="GK9" s="75">
        <f t="shared" si="2"/>
        <v>0</v>
      </c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>
        <v>8</v>
      </c>
      <c r="GW9" s="75"/>
      <c r="GX9" s="75"/>
      <c r="GY9" s="75"/>
      <c r="GZ9" s="75"/>
      <c r="HA9" s="75"/>
      <c r="HB9" s="75"/>
      <c r="HC9" s="75"/>
      <c r="HD9" s="75"/>
    </row>
    <row r="10" spans="1:212" ht="15">
      <c r="A10" s="54"/>
      <c r="B10" s="64" t="s">
        <v>86</v>
      </c>
      <c r="C10" s="65"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FY10" s="76" t="s">
        <v>99</v>
      </c>
      <c r="FZ10" s="75">
        <f t="shared" si="0"/>
        <v>9</v>
      </c>
      <c r="GA10" s="75"/>
      <c r="GB10" s="75"/>
      <c r="GC10" s="75"/>
      <c r="GD10" s="75"/>
      <c r="GE10" s="75"/>
      <c r="GF10" s="75"/>
      <c r="GG10" s="75"/>
      <c r="GH10" s="75"/>
      <c r="GI10" s="75"/>
      <c r="GJ10" s="75">
        <f t="shared" si="1"/>
        <v>9</v>
      </c>
      <c r="GK10" s="75">
        <f t="shared" si="2"/>
        <v>0</v>
      </c>
      <c r="GL10" s="75"/>
      <c r="GM10" s="75"/>
      <c r="GN10" s="75"/>
      <c r="GO10" s="75">
        <v>1</v>
      </c>
      <c r="GP10" s="75"/>
      <c r="GQ10" s="75"/>
      <c r="GR10" s="75"/>
      <c r="GS10" s="75"/>
      <c r="GT10" s="75"/>
      <c r="GU10" s="75"/>
      <c r="GV10" s="75">
        <v>9</v>
      </c>
      <c r="GW10" s="75"/>
      <c r="GX10" s="75"/>
      <c r="GY10" s="75"/>
      <c r="GZ10" s="75"/>
      <c r="HA10" s="75"/>
      <c r="HB10" s="75"/>
      <c r="HC10" s="75"/>
      <c r="HD10" s="75"/>
    </row>
    <row r="11" spans="1:212" ht="15">
      <c r="A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FY11" s="76" t="s">
        <v>100</v>
      </c>
      <c r="FZ11" s="75">
        <f t="shared" si="0"/>
        <v>10</v>
      </c>
      <c r="GA11" s="75"/>
      <c r="GB11" s="75"/>
      <c r="GC11" s="75"/>
      <c r="GD11" s="75"/>
      <c r="GE11" s="75"/>
      <c r="GF11" s="75"/>
      <c r="GG11" s="75"/>
      <c r="GH11" s="75"/>
      <c r="GI11" s="75"/>
      <c r="GJ11" s="75">
        <f t="shared" si="1"/>
        <v>10</v>
      </c>
      <c r="GK11" s="75">
        <f t="shared" si="2"/>
        <v>0</v>
      </c>
      <c r="GL11" s="75"/>
      <c r="GM11" s="75"/>
      <c r="GN11" s="75"/>
      <c r="GO11" s="75"/>
      <c r="GP11" s="75">
        <v>1</v>
      </c>
      <c r="GQ11" s="75"/>
      <c r="GR11" s="75"/>
      <c r="GS11" s="75"/>
      <c r="GT11" s="75"/>
      <c r="GU11" s="75"/>
      <c r="GV11" s="75">
        <v>10</v>
      </c>
      <c r="GW11" s="75"/>
      <c r="GX11" s="75"/>
      <c r="GY11" s="75"/>
      <c r="GZ11" s="75"/>
      <c r="HA11" s="75"/>
      <c r="HB11" s="75"/>
      <c r="HC11" s="75"/>
      <c r="HD11" s="75"/>
    </row>
    <row r="12" spans="1:212" ht="15">
      <c r="A12" s="54"/>
      <c r="B12" s="66" t="s">
        <v>87</v>
      </c>
      <c r="C12" s="67" t="str">
        <f>IF(C8=1,"annuale",IF(C8=2,"semestrale",IF(C8=3,"quadrimestrale",IF(C8=4,"trimestrale"))))</f>
        <v>annuale</v>
      </c>
      <c r="D12" s="133">
        <f>((1+C5)^(1/C8))-1</f>
        <v>0.020000000000000018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FY12" s="76" t="s">
        <v>101</v>
      </c>
      <c r="FZ12" s="75">
        <f t="shared" si="0"/>
        <v>11</v>
      </c>
      <c r="GA12" s="75"/>
      <c r="GB12" s="75"/>
      <c r="GC12" s="75"/>
      <c r="GD12" s="75"/>
      <c r="GE12" s="75"/>
      <c r="GF12" s="75"/>
      <c r="GG12" s="75"/>
      <c r="GH12" s="75"/>
      <c r="GI12" s="75"/>
      <c r="GJ12" s="75">
        <f t="shared" si="1"/>
        <v>11</v>
      </c>
      <c r="GK12" s="75">
        <f t="shared" si="2"/>
        <v>0</v>
      </c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</row>
    <row r="13" spans="1:212" ht="15">
      <c r="A13" s="54"/>
      <c r="C13" s="54"/>
      <c r="D13" s="54"/>
      <c r="E13" s="54"/>
      <c r="F13" s="54"/>
      <c r="G13" s="54"/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FY13" s="76" t="s">
        <v>102</v>
      </c>
      <c r="FZ13" s="75">
        <f t="shared" si="0"/>
        <v>12</v>
      </c>
      <c r="GA13" s="75"/>
      <c r="GB13" s="75"/>
      <c r="GC13" s="75"/>
      <c r="GD13" s="75"/>
      <c r="GE13" s="75"/>
      <c r="GF13" s="75"/>
      <c r="GG13" s="75"/>
      <c r="GH13" s="75"/>
      <c r="GI13" s="75"/>
      <c r="GJ13" s="75">
        <f t="shared" si="1"/>
        <v>12</v>
      </c>
      <c r="GK13" s="75">
        <f t="shared" si="2"/>
        <v>0</v>
      </c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</row>
    <row r="14" spans="1:212" ht="15">
      <c r="A14" s="54"/>
      <c r="B14" s="66" t="s">
        <v>88</v>
      </c>
      <c r="C14" s="67" t="str">
        <f>C12</f>
        <v>annuale</v>
      </c>
      <c r="D14" s="69">
        <f>C7/((1-(1+D12)^(-C10))/D12)</f>
        <v>9510.210898145793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FY14" s="76" t="s">
        <v>103</v>
      </c>
      <c r="FZ14" s="75">
        <f t="shared" si="0"/>
        <v>13</v>
      </c>
      <c r="GA14" s="75"/>
      <c r="GB14" s="75"/>
      <c r="GC14" s="75"/>
      <c r="GD14" s="75"/>
      <c r="GE14" s="75"/>
      <c r="GF14" s="75"/>
      <c r="GG14" s="75"/>
      <c r="GH14" s="75"/>
      <c r="GI14" s="75"/>
      <c r="GJ14" s="75">
        <f t="shared" si="1"/>
        <v>13</v>
      </c>
      <c r="GK14" s="75">
        <f t="shared" si="2"/>
        <v>1</v>
      </c>
      <c r="GL14" s="75"/>
      <c r="GM14" s="75">
        <v>1</v>
      </c>
      <c r="GN14" s="75">
        <v>1</v>
      </c>
      <c r="GO14" s="75">
        <v>1</v>
      </c>
      <c r="GP14" s="75">
        <v>1</v>
      </c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</row>
    <row r="15" spans="1:212" s="77" customFormat="1" ht="15">
      <c r="A15" s="70"/>
      <c r="B15" s="70"/>
      <c r="C15" s="70"/>
      <c r="D15" s="70">
        <f>+_xlfn.IFERROR((VLOOKUP(D16,$GJ:$GK,2,FALSE)),0)</f>
        <v>0</v>
      </c>
      <c r="E15" s="80">
        <v>1</v>
      </c>
      <c r="F15" s="80">
        <v>1</v>
      </c>
      <c r="G15" s="80">
        <v>1</v>
      </c>
      <c r="H15" s="80">
        <v>1</v>
      </c>
      <c r="I15" s="80">
        <v>1</v>
      </c>
      <c r="J15" s="80">
        <v>1</v>
      </c>
      <c r="K15" s="80">
        <v>1</v>
      </c>
      <c r="L15" s="80">
        <v>1</v>
      </c>
      <c r="M15" s="80">
        <v>1</v>
      </c>
      <c r="N15" s="80">
        <v>1</v>
      </c>
      <c r="O15" s="80">
        <v>1</v>
      </c>
      <c r="P15" s="80">
        <v>1</v>
      </c>
      <c r="Q15" s="80">
        <v>1</v>
      </c>
      <c r="R15" s="80">
        <v>1</v>
      </c>
      <c r="S15" s="80">
        <v>1</v>
      </c>
      <c r="T15" s="80">
        <v>1</v>
      </c>
      <c r="U15" s="80">
        <v>1</v>
      </c>
      <c r="V15" s="80">
        <v>1</v>
      </c>
      <c r="W15" s="80">
        <v>1</v>
      </c>
      <c r="X15" s="80">
        <v>1</v>
      </c>
      <c r="Y15" s="80">
        <v>1</v>
      </c>
      <c r="Z15" s="80">
        <v>1</v>
      </c>
      <c r="AA15" s="80">
        <v>1</v>
      </c>
      <c r="AB15" s="80">
        <v>1</v>
      </c>
      <c r="AC15" s="80">
        <v>1</v>
      </c>
      <c r="AD15" s="80">
        <v>1</v>
      </c>
      <c r="AE15" s="80">
        <v>1</v>
      </c>
      <c r="AF15" s="80">
        <v>1</v>
      </c>
      <c r="AG15" s="80">
        <v>1</v>
      </c>
      <c r="AH15" s="80">
        <v>1</v>
      </c>
      <c r="AI15" s="80">
        <v>1</v>
      </c>
      <c r="AJ15" s="80">
        <v>1</v>
      </c>
      <c r="AK15" s="80">
        <v>1</v>
      </c>
      <c r="AL15" s="80">
        <v>1</v>
      </c>
      <c r="AM15" s="80">
        <v>1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FY15" s="76" t="s">
        <v>104</v>
      </c>
      <c r="FZ15" s="78">
        <f t="shared" si="0"/>
        <v>14</v>
      </c>
      <c r="GA15" s="78"/>
      <c r="GB15" s="78"/>
      <c r="GC15" s="78"/>
      <c r="GD15" s="78"/>
      <c r="GE15" s="78"/>
      <c r="GF15" s="78"/>
      <c r="GG15" s="78"/>
      <c r="GH15" s="78"/>
      <c r="GI15" s="78"/>
      <c r="GJ15" s="78">
        <f t="shared" si="1"/>
        <v>14</v>
      </c>
      <c r="GK15" s="78">
        <f t="shared" si="2"/>
        <v>0</v>
      </c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</row>
    <row r="16" spans="1:212" s="77" customFormat="1" ht="15">
      <c r="A16" s="70"/>
      <c r="B16" s="70"/>
      <c r="C16" s="70" t="s">
        <v>89</v>
      </c>
      <c r="D16" s="70">
        <f>+IF(D17=$C$6,1,0)</f>
        <v>0</v>
      </c>
      <c r="E16" s="80">
        <f aca="true" t="shared" si="3" ref="E16:AM16">+IF(E17=$C$6,1,+IF(D16=0,0,D16+1))</f>
        <v>0</v>
      </c>
      <c r="F16" s="80">
        <f t="shared" si="3"/>
        <v>0</v>
      </c>
      <c r="G16" s="80">
        <f t="shared" si="3"/>
        <v>1</v>
      </c>
      <c r="H16" s="80">
        <f t="shared" si="3"/>
        <v>2</v>
      </c>
      <c r="I16" s="80">
        <f t="shared" si="3"/>
        <v>3</v>
      </c>
      <c r="J16" s="80">
        <f t="shared" si="3"/>
        <v>4</v>
      </c>
      <c r="K16" s="80">
        <f t="shared" si="3"/>
        <v>5</v>
      </c>
      <c r="L16" s="80">
        <f t="shared" si="3"/>
        <v>6</v>
      </c>
      <c r="M16" s="80">
        <f t="shared" si="3"/>
        <v>7</v>
      </c>
      <c r="N16" s="80">
        <f t="shared" si="3"/>
        <v>8</v>
      </c>
      <c r="O16" s="80">
        <f t="shared" si="3"/>
        <v>9</v>
      </c>
      <c r="P16" s="80">
        <f t="shared" si="3"/>
        <v>10</v>
      </c>
      <c r="Q16" s="80">
        <f t="shared" si="3"/>
        <v>11</v>
      </c>
      <c r="R16" s="80">
        <f t="shared" si="3"/>
        <v>12</v>
      </c>
      <c r="S16" s="80">
        <f t="shared" si="3"/>
        <v>13</v>
      </c>
      <c r="T16" s="80">
        <f t="shared" si="3"/>
        <v>14</v>
      </c>
      <c r="U16" s="80">
        <f t="shared" si="3"/>
        <v>15</v>
      </c>
      <c r="V16" s="80">
        <f t="shared" si="3"/>
        <v>16</v>
      </c>
      <c r="W16" s="80">
        <f t="shared" si="3"/>
        <v>17</v>
      </c>
      <c r="X16" s="80">
        <f t="shared" si="3"/>
        <v>18</v>
      </c>
      <c r="Y16" s="80">
        <f t="shared" si="3"/>
        <v>19</v>
      </c>
      <c r="Z16" s="80">
        <f t="shared" si="3"/>
        <v>20</v>
      </c>
      <c r="AA16" s="80">
        <f t="shared" si="3"/>
        <v>21</v>
      </c>
      <c r="AB16" s="80">
        <f t="shared" si="3"/>
        <v>22</v>
      </c>
      <c r="AC16" s="80">
        <f t="shared" si="3"/>
        <v>23</v>
      </c>
      <c r="AD16" s="80">
        <f t="shared" si="3"/>
        <v>24</v>
      </c>
      <c r="AE16" s="80">
        <f t="shared" si="3"/>
        <v>25</v>
      </c>
      <c r="AF16" s="80">
        <f t="shared" si="3"/>
        <v>26</v>
      </c>
      <c r="AG16" s="80">
        <f t="shared" si="3"/>
        <v>27</v>
      </c>
      <c r="AH16" s="80">
        <f t="shared" si="3"/>
        <v>28</v>
      </c>
      <c r="AI16" s="80">
        <f t="shared" si="3"/>
        <v>29</v>
      </c>
      <c r="AJ16" s="80">
        <f t="shared" si="3"/>
        <v>30</v>
      </c>
      <c r="AK16" s="80">
        <f t="shared" si="3"/>
        <v>31</v>
      </c>
      <c r="AL16" s="80">
        <f t="shared" si="3"/>
        <v>32</v>
      </c>
      <c r="AM16" s="80">
        <f t="shared" si="3"/>
        <v>33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FY16" s="76" t="s">
        <v>105</v>
      </c>
      <c r="FZ16" s="78">
        <f t="shared" si="0"/>
        <v>15</v>
      </c>
      <c r="GA16" s="78"/>
      <c r="GB16" s="78"/>
      <c r="GC16" s="78"/>
      <c r="GD16" s="78"/>
      <c r="GE16" s="78"/>
      <c r="GF16" s="78"/>
      <c r="GG16" s="78"/>
      <c r="GH16" s="78"/>
      <c r="GI16" s="78"/>
      <c r="GJ16" s="78">
        <f t="shared" si="1"/>
        <v>15</v>
      </c>
      <c r="GK16" s="78">
        <f t="shared" si="2"/>
        <v>0</v>
      </c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</row>
    <row r="17" spans="1:212" ht="15">
      <c r="A17" s="54"/>
      <c r="B17" s="71" t="s">
        <v>90</v>
      </c>
      <c r="C17" s="72"/>
      <c r="D17" s="72"/>
      <c r="E17" s="72" t="s">
        <v>91</v>
      </c>
      <c r="F17" s="72" t="s">
        <v>92</v>
      </c>
      <c r="G17" s="72" t="s">
        <v>93</v>
      </c>
      <c r="H17" s="72" t="s">
        <v>94</v>
      </c>
      <c r="I17" s="72" t="s">
        <v>95</v>
      </c>
      <c r="J17" s="72" t="s">
        <v>96</v>
      </c>
      <c r="K17" s="72" t="s">
        <v>97</v>
      </c>
      <c r="L17" s="72" t="s">
        <v>98</v>
      </c>
      <c r="M17" s="72" t="s">
        <v>99</v>
      </c>
      <c r="N17" s="72" t="s">
        <v>100</v>
      </c>
      <c r="O17" s="72" t="s">
        <v>101</v>
      </c>
      <c r="P17" s="72" t="s">
        <v>102</v>
      </c>
      <c r="Q17" s="72" t="s">
        <v>103</v>
      </c>
      <c r="R17" s="72" t="s">
        <v>104</v>
      </c>
      <c r="S17" s="72" t="s">
        <v>105</v>
      </c>
      <c r="T17" s="72" t="s">
        <v>106</v>
      </c>
      <c r="U17" s="72" t="s">
        <v>107</v>
      </c>
      <c r="V17" s="72" t="s">
        <v>108</v>
      </c>
      <c r="W17" s="72" t="s">
        <v>109</v>
      </c>
      <c r="X17" s="72" t="s">
        <v>110</v>
      </c>
      <c r="Y17" s="72" t="s">
        <v>111</v>
      </c>
      <c r="Z17" s="72" t="s">
        <v>112</v>
      </c>
      <c r="AA17" s="72" t="s">
        <v>113</v>
      </c>
      <c r="AB17" s="72" t="s">
        <v>114</v>
      </c>
      <c r="AC17" s="72" t="s">
        <v>115</v>
      </c>
      <c r="AD17" s="72" t="s">
        <v>116</v>
      </c>
      <c r="AE17" s="72" t="s">
        <v>117</v>
      </c>
      <c r="AF17" s="72" t="s">
        <v>118</v>
      </c>
      <c r="AG17" s="72" t="s">
        <v>119</v>
      </c>
      <c r="AH17" s="72" t="s">
        <v>120</v>
      </c>
      <c r="AI17" s="72" t="s">
        <v>121</v>
      </c>
      <c r="AJ17" s="72" t="s">
        <v>122</v>
      </c>
      <c r="AK17" s="72" t="s">
        <v>123</v>
      </c>
      <c r="AL17" s="72" t="s">
        <v>124</v>
      </c>
      <c r="AM17" s="72" t="s">
        <v>125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Y17" s="76" t="s">
        <v>106</v>
      </c>
      <c r="FZ17" s="75">
        <f t="shared" si="0"/>
        <v>16</v>
      </c>
      <c r="GA17" s="75"/>
      <c r="GB17" s="75"/>
      <c r="GC17" s="75"/>
      <c r="GD17" s="75"/>
      <c r="GE17" s="75"/>
      <c r="GF17" s="75"/>
      <c r="GG17" s="75"/>
      <c r="GH17" s="75"/>
      <c r="GI17" s="75"/>
      <c r="GJ17" s="75">
        <f t="shared" si="1"/>
        <v>16</v>
      </c>
      <c r="GK17" s="75">
        <f t="shared" si="2"/>
        <v>0</v>
      </c>
      <c r="GL17" s="75"/>
      <c r="GM17" s="75"/>
      <c r="GN17" s="75"/>
      <c r="GO17" s="75"/>
      <c r="GP17" s="75">
        <v>1</v>
      </c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</row>
    <row r="18" spans="1:212" ht="15">
      <c r="A18" s="54"/>
      <c r="B18" s="61" t="s">
        <v>126</v>
      </c>
      <c r="C18" s="69"/>
      <c r="D18" s="69">
        <f aca="true" t="shared" si="4" ref="D18:AM18">IF(D16&gt;=1,IF(D15=1,$D$14,0))*IF(C22&lt;1,0,1)</f>
        <v>0</v>
      </c>
      <c r="E18" s="69">
        <f t="shared" si="4"/>
        <v>0</v>
      </c>
      <c r="F18" s="69">
        <f t="shared" si="4"/>
        <v>0</v>
      </c>
      <c r="G18" s="69">
        <f t="shared" si="4"/>
        <v>9510.210898145793</v>
      </c>
      <c r="H18" s="69">
        <f t="shared" si="4"/>
        <v>9510.210898145793</v>
      </c>
      <c r="I18" s="69">
        <f t="shared" si="4"/>
        <v>9510.210898145793</v>
      </c>
      <c r="J18" s="69">
        <f t="shared" si="4"/>
        <v>9510.210898145793</v>
      </c>
      <c r="K18" s="69">
        <f t="shared" si="4"/>
        <v>9510.210898145793</v>
      </c>
      <c r="L18" s="69">
        <f t="shared" si="4"/>
        <v>9510.210898145793</v>
      </c>
      <c r="M18" s="69">
        <f t="shared" si="4"/>
        <v>9510.210898145793</v>
      </c>
      <c r="N18" s="69">
        <f t="shared" si="4"/>
        <v>0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>
        <f t="shared" si="4"/>
        <v>0</v>
      </c>
      <c r="S18" s="69">
        <f t="shared" si="4"/>
        <v>0</v>
      </c>
      <c r="T18" s="69">
        <f t="shared" si="4"/>
        <v>0</v>
      </c>
      <c r="U18" s="69">
        <f t="shared" si="4"/>
        <v>0</v>
      </c>
      <c r="V18" s="69">
        <f t="shared" si="4"/>
        <v>0</v>
      </c>
      <c r="W18" s="69">
        <f t="shared" si="4"/>
        <v>0</v>
      </c>
      <c r="X18" s="69">
        <f t="shared" si="4"/>
        <v>0</v>
      </c>
      <c r="Y18" s="69">
        <f t="shared" si="4"/>
        <v>0</v>
      </c>
      <c r="Z18" s="69">
        <f t="shared" si="4"/>
        <v>0</v>
      </c>
      <c r="AA18" s="69">
        <f t="shared" si="4"/>
        <v>0</v>
      </c>
      <c r="AB18" s="69">
        <f t="shared" si="4"/>
        <v>0</v>
      </c>
      <c r="AC18" s="69">
        <f t="shared" si="4"/>
        <v>0</v>
      </c>
      <c r="AD18" s="69">
        <f t="shared" si="4"/>
        <v>0</v>
      </c>
      <c r="AE18" s="69">
        <f t="shared" si="4"/>
        <v>0</v>
      </c>
      <c r="AF18" s="69">
        <f t="shared" si="4"/>
        <v>0</v>
      </c>
      <c r="AG18" s="69">
        <f t="shared" si="4"/>
        <v>0</v>
      </c>
      <c r="AH18" s="69">
        <f t="shared" si="4"/>
        <v>0</v>
      </c>
      <c r="AI18" s="69">
        <f t="shared" si="4"/>
        <v>0</v>
      </c>
      <c r="AJ18" s="69">
        <f t="shared" si="4"/>
        <v>0</v>
      </c>
      <c r="AK18" s="69">
        <f t="shared" si="4"/>
        <v>0</v>
      </c>
      <c r="AL18" s="69">
        <f t="shared" si="4"/>
        <v>0</v>
      </c>
      <c r="AM18" s="69">
        <f t="shared" si="4"/>
        <v>0</v>
      </c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Y18" s="76" t="s">
        <v>107</v>
      </c>
      <c r="FZ18" s="75">
        <f t="shared" si="0"/>
        <v>17</v>
      </c>
      <c r="GA18" s="75"/>
      <c r="GB18" s="75"/>
      <c r="GC18" s="75"/>
      <c r="GD18" s="75"/>
      <c r="GE18" s="75"/>
      <c r="GF18" s="75"/>
      <c r="GG18" s="75"/>
      <c r="GH18" s="75"/>
      <c r="GI18" s="75"/>
      <c r="GJ18" s="75">
        <f t="shared" si="1"/>
        <v>17</v>
      </c>
      <c r="GK18" s="75">
        <f t="shared" si="2"/>
        <v>0</v>
      </c>
      <c r="GL18" s="75"/>
      <c r="GM18" s="75"/>
      <c r="GN18" s="75"/>
      <c r="GO18" s="75">
        <v>1</v>
      </c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</row>
    <row r="19" spans="1:212" ht="15">
      <c r="A19" s="54"/>
      <c r="B19" s="61" t="s">
        <v>127</v>
      </c>
      <c r="C19" s="69"/>
      <c r="D19" s="69">
        <f aca="true" t="shared" si="5" ref="D19:I19">D18-D21</f>
        <v>0</v>
      </c>
      <c r="E19" s="69">
        <f t="shared" si="5"/>
        <v>0</v>
      </c>
      <c r="F19" s="69">
        <f t="shared" si="5"/>
        <v>0</v>
      </c>
      <c r="G19" s="69">
        <f t="shared" si="5"/>
        <v>8279.210898145791</v>
      </c>
      <c r="H19" s="69">
        <f t="shared" si="5"/>
        <v>8444.795116108708</v>
      </c>
      <c r="I19" s="69">
        <f t="shared" si="5"/>
        <v>8613.691018430882</v>
      </c>
      <c r="J19" s="69">
        <f>J18-J21</f>
        <v>8785.9648387995</v>
      </c>
      <c r="K19" s="69">
        <f aca="true" t="shared" si="6" ref="K19:AM19">K18-K21</f>
        <v>8961.68413557549</v>
      </c>
      <c r="L19" s="69">
        <f t="shared" si="6"/>
        <v>9140.917818287</v>
      </c>
      <c r="M19" s="69">
        <f t="shared" si="6"/>
        <v>9323.73617465274</v>
      </c>
      <c r="N19" s="69">
        <f t="shared" si="6"/>
        <v>0</v>
      </c>
      <c r="O19" s="69">
        <f t="shared" si="6"/>
        <v>0</v>
      </c>
      <c r="P19" s="69">
        <f t="shared" si="6"/>
        <v>0</v>
      </c>
      <c r="Q19" s="69">
        <f t="shared" si="6"/>
        <v>0</v>
      </c>
      <c r="R19" s="69">
        <f t="shared" si="6"/>
        <v>0</v>
      </c>
      <c r="S19" s="69">
        <f t="shared" si="6"/>
        <v>0</v>
      </c>
      <c r="T19" s="69">
        <f t="shared" si="6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6"/>
        <v>0</v>
      </c>
      <c r="AI19" s="69">
        <f t="shared" si="6"/>
        <v>0</v>
      </c>
      <c r="AJ19" s="69">
        <f t="shared" si="6"/>
        <v>0</v>
      </c>
      <c r="AK19" s="69">
        <f t="shared" si="6"/>
        <v>0</v>
      </c>
      <c r="AL19" s="69">
        <f t="shared" si="6"/>
        <v>0</v>
      </c>
      <c r="AM19" s="69">
        <f t="shared" si="6"/>
        <v>0</v>
      </c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Y19" s="76" t="s">
        <v>108</v>
      </c>
      <c r="FZ19" s="75">
        <f t="shared" si="0"/>
        <v>18</v>
      </c>
      <c r="GA19" s="75"/>
      <c r="GB19" s="75"/>
      <c r="GC19" s="75"/>
      <c r="GD19" s="75"/>
      <c r="GE19" s="75"/>
      <c r="GF19" s="75"/>
      <c r="GG19" s="75"/>
      <c r="GH19" s="75"/>
      <c r="GI19" s="75"/>
      <c r="GJ19" s="75">
        <f t="shared" si="1"/>
        <v>18</v>
      </c>
      <c r="GK19" s="75">
        <f t="shared" si="2"/>
        <v>0</v>
      </c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</row>
    <row r="20" spans="1:212" ht="15">
      <c r="A20" s="54"/>
      <c r="B20" s="61" t="s">
        <v>128</v>
      </c>
      <c r="C20" s="69"/>
      <c r="D20" s="69">
        <f aca="true" t="shared" si="7" ref="D20:AM20">D19+C20*(IF(C22&lt;1,0,1))</f>
        <v>0</v>
      </c>
      <c r="E20" s="69">
        <f t="shared" si="7"/>
        <v>0</v>
      </c>
      <c r="F20" s="69">
        <f t="shared" si="7"/>
        <v>0</v>
      </c>
      <c r="G20" s="69">
        <f t="shared" si="7"/>
        <v>8279.210898145791</v>
      </c>
      <c r="H20" s="69">
        <f t="shared" si="7"/>
        <v>16724.006014254497</v>
      </c>
      <c r="I20" s="69">
        <f t="shared" si="7"/>
        <v>25337.697032685377</v>
      </c>
      <c r="J20" s="69">
        <f t="shared" si="7"/>
        <v>34123.661871484874</v>
      </c>
      <c r="K20" s="69">
        <f t="shared" si="7"/>
        <v>43085.34600706036</v>
      </c>
      <c r="L20" s="69">
        <f t="shared" si="7"/>
        <v>52226.26382534736</v>
      </c>
      <c r="M20" s="69">
        <f t="shared" si="7"/>
        <v>61550.0000000001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69">
        <f t="shared" si="7"/>
        <v>0</v>
      </c>
      <c r="AF20" s="69">
        <f t="shared" si="7"/>
        <v>0</v>
      </c>
      <c r="AG20" s="69">
        <f t="shared" si="7"/>
        <v>0</v>
      </c>
      <c r="AH20" s="69">
        <f t="shared" si="7"/>
        <v>0</v>
      </c>
      <c r="AI20" s="69">
        <f t="shared" si="7"/>
        <v>0</v>
      </c>
      <c r="AJ20" s="69">
        <f t="shared" si="7"/>
        <v>0</v>
      </c>
      <c r="AK20" s="69">
        <f t="shared" si="7"/>
        <v>0</v>
      </c>
      <c r="AL20" s="69">
        <f t="shared" si="7"/>
        <v>0</v>
      </c>
      <c r="AM20" s="69">
        <f t="shared" si="7"/>
        <v>0</v>
      </c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Y20" s="76" t="s">
        <v>109</v>
      </c>
      <c r="FZ20" s="75">
        <f t="shared" si="0"/>
        <v>19</v>
      </c>
      <c r="GA20" s="75"/>
      <c r="GB20" s="75"/>
      <c r="GC20" s="75"/>
      <c r="GD20" s="75"/>
      <c r="GE20" s="75"/>
      <c r="GF20" s="75"/>
      <c r="GG20" s="75"/>
      <c r="GH20" s="75"/>
      <c r="GI20" s="75"/>
      <c r="GJ20" s="75">
        <f t="shared" si="1"/>
        <v>19</v>
      </c>
      <c r="GK20" s="75">
        <f t="shared" si="2"/>
        <v>0</v>
      </c>
      <c r="GL20" s="75"/>
      <c r="GM20" s="75"/>
      <c r="GN20" s="75">
        <v>1</v>
      </c>
      <c r="GO20" s="75"/>
      <c r="GP20" s="75">
        <v>1</v>
      </c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</row>
    <row r="21" spans="1:212" ht="15">
      <c r="A21" s="54"/>
      <c r="B21" s="61" t="s">
        <v>129</v>
      </c>
      <c r="C21" s="69">
        <f aca="true" t="shared" si="8" ref="C21:AM21">IF(C18&gt;0,B22*$D$12,0)</f>
        <v>0</v>
      </c>
      <c r="D21" s="69">
        <f t="shared" si="8"/>
        <v>0</v>
      </c>
      <c r="E21" s="69">
        <f t="shared" si="8"/>
        <v>0</v>
      </c>
      <c r="F21" s="69">
        <f t="shared" si="8"/>
        <v>0</v>
      </c>
      <c r="G21" s="69">
        <f t="shared" si="8"/>
        <v>1231.0000000000011</v>
      </c>
      <c r="H21" s="69">
        <f t="shared" si="8"/>
        <v>1065.4157820370851</v>
      </c>
      <c r="I21" s="69">
        <f t="shared" si="8"/>
        <v>896.5198797149109</v>
      </c>
      <c r="J21" s="69">
        <f t="shared" si="8"/>
        <v>724.2460593462931</v>
      </c>
      <c r="K21" s="69">
        <f t="shared" si="8"/>
        <v>548.526762570303</v>
      </c>
      <c r="L21" s="69">
        <f t="shared" si="8"/>
        <v>369.2930798587931</v>
      </c>
      <c r="M21" s="69">
        <f t="shared" si="8"/>
        <v>186.4747234930529</v>
      </c>
      <c r="N21" s="69">
        <f t="shared" si="8"/>
        <v>0</v>
      </c>
      <c r="O21" s="69">
        <f t="shared" si="8"/>
        <v>0</v>
      </c>
      <c r="P21" s="69">
        <f t="shared" si="8"/>
        <v>0</v>
      </c>
      <c r="Q21" s="69">
        <f t="shared" si="8"/>
        <v>0</v>
      </c>
      <c r="R21" s="69">
        <f t="shared" si="8"/>
        <v>0</v>
      </c>
      <c r="S21" s="69">
        <f t="shared" si="8"/>
        <v>0</v>
      </c>
      <c r="T21" s="69">
        <f t="shared" si="8"/>
        <v>0</v>
      </c>
      <c r="U21" s="69">
        <f t="shared" si="8"/>
        <v>0</v>
      </c>
      <c r="V21" s="69">
        <f t="shared" si="8"/>
        <v>0</v>
      </c>
      <c r="W21" s="69">
        <f t="shared" si="8"/>
        <v>0</v>
      </c>
      <c r="X21" s="69">
        <f t="shared" si="8"/>
        <v>0</v>
      </c>
      <c r="Y21" s="69">
        <f t="shared" si="8"/>
        <v>0</v>
      </c>
      <c r="Z21" s="69">
        <f t="shared" si="8"/>
        <v>0</v>
      </c>
      <c r="AA21" s="69">
        <f t="shared" si="8"/>
        <v>0</v>
      </c>
      <c r="AB21" s="69">
        <f t="shared" si="8"/>
        <v>0</v>
      </c>
      <c r="AC21" s="69">
        <f t="shared" si="8"/>
        <v>0</v>
      </c>
      <c r="AD21" s="69">
        <f t="shared" si="8"/>
        <v>0</v>
      </c>
      <c r="AE21" s="69">
        <f t="shared" si="8"/>
        <v>0</v>
      </c>
      <c r="AF21" s="69">
        <f t="shared" si="8"/>
        <v>0</v>
      </c>
      <c r="AG21" s="69">
        <f t="shared" si="8"/>
        <v>0</v>
      </c>
      <c r="AH21" s="69">
        <f t="shared" si="8"/>
        <v>0</v>
      </c>
      <c r="AI21" s="69">
        <f t="shared" si="8"/>
        <v>0</v>
      </c>
      <c r="AJ21" s="69">
        <f t="shared" si="8"/>
        <v>0</v>
      </c>
      <c r="AK21" s="69">
        <f t="shared" si="8"/>
        <v>0</v>
      </c>
      <c r="AL21" s="69">
        <f t="shared" si="8"/>
        <v>0</v>
      </c>
      <c r="AM21" s="69">
        <f t="shared" si="8"/>
        <v>0</v>
      </c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Y21" s="76" t="s">
        <v>110</v>
      </c>
      <c r="FZ21" s="75">
        <f t="shared" si="0"/>
        <v>20</v>
      </c>
      <c r="GA21" s="75"/>
      <c r="GB21" s="75"/>
      <c r="GC21" s="75"/>
      <c r="GD21" s="75"/>
      <c r="GE21" s="75"/>
      <c r="GF21" s="75"/>
      <c r="GG21" s="75"/>
      <c r="GH21" s="75"/>
      <c r="GI21" s="75"/>
      <c r="GJ21" s="75">
        <f t="shared" si="1"/>
        <v>20</v>
      </c>
      <c r="GK21" s="75">
        <f t="shared" si="2"/>
        <v>0</v>
      </c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</row>
    <row r="22" spans="1:212" ht="15">
      <c r="A22" s="54"/>
      <c r="B22" s="73" t="s">
        <v>130</v>
      </c>
      <c r="C22" s="69">
        <f>IF(D17=$C$4,$C$7,IF(C20=0,0,$C$7-C20))</f>
        <v>0</v>
      </c>
      <c r="D22" s="69">
        <f aca="true" t="shared" si="9" ref="D22:AM22">IF(E17=$C$4,$C$7,IF(D20=0,0,$C$7-D20))</f>
        <v>0</v>
      </c>
      <c r="E22" s="69">
        <f>+Input!D141</f>
        <v>61550</v>
      </c>
      <c r="F22" s="69">
        <f t="shared" si="9"/>
        <v>61550</v>
      </c>
      <c r="G22" s="69">
        <f t="shared" si="9"/>
        <v>53270.78910185421</v>
      </c>
      <c r="H22" s="69">
        <f t="shared" si="9"/>
        <v>44825.9939857455</v>
      </c>
      <c r="I22" s="69">
        <f t="shared" si="9"/>
        <v>36212.30296731462</v>
      </c>
      <c r="J22" s="69">
        <f t="shared" si="9"/>
        <v>27426.338128515126</v>
      </c>
      <c r="K22" s="69">
        <f t="shared" si="9"/>
        <v>18464.65399293964</v>
      </c>
      <c r="L22" s="69">
        <f t="shared" si="9"/>
        <v>9323.736174652637</v>
      </c>
      <c r="M22" s="69">
        <f t="shared" si="9"/>
        <v>-1.0186340659856796E-10</v>
      </c>
      <c r="N22" s="69">
        <f t="shared" si="9"/>
        <v>0</v>
      </c>
      <c r="O22" s="69">
        <f t="shared" si="9"/>
        <v>0</v>
      </c>
      <c r="P22" s="69">
        <f t="shared" si="9"/>
        <v>0</v>
      </c>
      <c r="Q22" s="69">
        <f t="shared" si="9"/>
        <v>0</v>
      </c>
      <c r="R22" s="69">
        <f t="shared" si="9"/>
        <v>0</v>
      </c>
      <c r="S22" s="69">
        <f t="shared" si="9"/>
        <v>0</v>
      </c>
      <c r="T22" s="69">
        <f t="shared" si="9"/>
        <v>0</v>
      </c>
      <c r="U22" s="69">
        <f t="shared" si="9"/>
        <v>0</v>
      </c>
      <c r="V22" s="69">
        <f t="shared" si="9"/>
        <v>0</v>
      </c>
      <c r="W22" s="69">
        <f t="shared" si="9"/>
        <v>0</v>
      </c>
      <c r="X22" s="69">
        <f t="shared" si="9"/>
        <v>0</v>
      </c>
      <c r="Y22" s="69">
        <f t="shared" si="9"/>
        <v>0</v>
      </c>
      <c r="Z22" s="69">
        <f t="shared" si="9"/>
        <v>0</v>
      </c>
      <c r="AA22" s="69">
        <f t="shared" si="9"/>
        <v>0</v>
      </c>
      <c r="AB22" s="69">
        <f t="shared" si="9"/>
        <v>0</v>
      </c>
      <c r="AC22" s="69">
        <f t="shared" si="9"/>
        <v>0</v>
      </c>
      <c r="AD22" s="69">
        <f t="shared" si="9"/>
        <v>0</v>
      </c>
      <c r="AE22" s="69">
        <f t="shared" si="9"/>
        <v>0</v>
      </c>
      <c r="AF22" s="69">
        <f t="shared" si="9"/>
        <v>0</v>
      </c>
      <c r="AG22" s="69">
        <f t="shared" si="9"/>
        <v>0</v>
      </c>
      <c r="AH22" s="69">
        <f t="shared" si="9"/>
        <v>0</v>
      </c>
      <c r="AI22" s="69">
        <f t="shared" si="9"/>
        <v>0</v>
      </c>
      <c r="AJ22" s="69">
        <f t="shared" si="9"/>
        <v>0</v>
      </c>
      <c r="AK22" s="69">
        <f t="shared" si="9"/>
        <v>0</v>
      </c>
      <c r="AL22" s="69">
        <f t="shared" si="9"/>
        <v>0</v>
      </c>
      <c r="AM22" s="69">
        <f t="shared" si="9"/>
        <v>0</v>
      </c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Y22" s="76" t="s">
        <v>111</v>
      </c>
      <c r="FZ22" s="75">
        <f t="shared" si="0"/>
        <v>21</v>
      </c>
      <c r="GA22" s="75"/>
      <c r="GB22" s="75"/>
      <c r="GC22" s="75"/>
      <c r="GD22" s="75"/>
      <c r="GE22" s="75"/>
      <c r="GF22" s="75"/>
      <c r="GG22" s="75"/>
      <c r="GH22" s="75"/>
      <c r="GI22" s="75"/>
      <c r="GJ22" s="75">
        <f t="shared" si="1"/>
        <v>21</v>
      </c>
      <c r="GK22" s="75">
        <f t="shared" si="2"/>
        <v>0</v>
      </c>
      <c r="GL22" s="75"/>
      <c r="GM22" s="75"/>
      <c r="GN22" s="75"/>
      <c r="GO22" s="75">
        <v>1</v>
      </c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</row>
    <row r="23" spans="1:212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FY23" s="76" t="s">
        <v>112</v>
      </c>
      <c r="FZ23" s="75">
        <f t="shared" si="0"/>
        <v>22</v>
      </c>
      <c r="GA23" s="75"/>
      <c r="GB23" s="75"/>
      <c r="GC23" s="75"/>
      <c r="GD23" s="75"/>
      <c r="GE23" s="75"/>
      <c r="GF23" s="75"/>
      <c r="GG23" s="75"/>
      <c r="GH23" s="75"/>
      <c r="GI23" s="75"/>
      <c r="GJ23" s="75">
        <f t="shared" si="1"/>
        <v>22</v>
      </c>
      <c r="GK23" s="75">
        <f t="shared" si="2"/>
        <v>0</v>
      </c>
      <c r="GL23" s="75"/>
      <c r="GM23" s="75"/>
      <c r="GN23" s="75"/>
      <c r="GO23" s="75"/>
      <c r="GP23" s="75">
        <v>1</v>
      </c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</row>
    <row r="24" spans="1:212" ht="15">
      <c r="A24" s="54"/>
      <c r="B24" s="54"/>
      <c r="C24" s="54"/>
      <c r="D24" s="54"/>
      <c r="E24" s="54"/>
      <c r="F24" s="81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FY24" s="76" t="s">
        <v>113</v>
      </c>
      <c r="FZ24" s="75">
        <f t="shared" si="0"/>
        <v>23</v>
      </c>
      <c r="GA24" s="75"/>
      <c r="GB24" s="75"/>
      <c r="GC24" s="75"/>
      <c r="GD24" s="75"/>
      <c r="GE24" s="75"/>
      <c r="GF24" s="75"/>
      <c r="GG24" s="75"/>
      <c r="GH24" s="75"/>
      <c r="GI24" s="75"/>
      <c r="GJ24" s="75">
        <f t="shared" si="1"/>
        <v>23</v>
      </c>
      <c r="GK24" s="75">
        <f t="shared" si="2"/>
        <v>0</v>
      </c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</row>
    <row r="25" spans="1:212" ht="15">
      <c r="A25" s="54"/>
      <c r="C25" s="54"/>
      <c r="D25" s="74">
        <f>+D17</f>
        <v>0</v>
      </c>
      <c r="E25" s="74" t="str">
        <f aca="true" t="shared" si="10" ref="E25:AM25">+E17</f>
        <v>A1</v>
      </c>
      <c r="F25" s="74" t="str">
        <f t="shared" si="10"/>
        <v>A2</v>
      </c>
      <c r="G25" s="74" t="str">
        <f t="shared" si="10"/>
        <v>A3</v>
      </c>
      <c r="H25" s="74" t="str">
        <f t="shared" si="10"/>
        <v>A4</v>
      </c>
      <c r="I25" s="74" t="str">
        <f t="shared" si="10"/>
        <v>A5</v>
      </c>
      <c r="J25" s="74" t="str">
        <f t="shared" si="10"/>
        <v>A6</v>
      </c>
      <c r="K25" s="74" t="str">
        <f t="shared" si="10"/>
        <v>A7</v>
      </c>
      <c r="L25" s="74" t="str">
        <f t="shared" si="10"/>
        <v>A8</v>
      </c>
      <c r="M25" s="74" t="str">
        <f t="shared" si="10"/>
        <v>A9</v>
      </c>
      <c r="N25" s="74" t="str">
        <f t="shared" si="10"/>
        <v>A10</v>
      </c>
      <c r="O25" s="74" t="str">
        <f t="shared" si="10"/>
        <v>A11</v>
      </c>
      <c r="P25" s="74" t="str">
        <f t="shared" si="10"/>
        <v>A12</v>
      </c>
      <c r="Q25" s="74" t="str">
        <f t="shared" si="10"/>
        <v>A13</v>
      </c>
      <c r="R25" s="74" t="str">
        <f t="shared" si="10"/>
        <v>A14</v>
      </c>
      <c r="S25" s="74" t="str">
        <f t="shared" si="10"/>
        <v>A15</v>
      </c>
      <c r="T25" s="74" t="str">
        <f t="shared" si="10"/>
        <v>A16</v>
      </c>
      <c r="U25" s="74" t="str">
        <f t="shared" si="10"/>
        <v>A17</v>
      </c>
      <c r="V25" s="74" t="str">
        <f t="shared" si="10"/>
        <v>A18</v>
      </c>
      <c r="W25" s="74" t="str">
        <f t="shared" si="10"/>
        <v>A19</v>
      </c>
      <c r="X25" s="74" t="str">
        <f t="shared" si="10"/>
        <v>A20</v>
      </c>
      <c r="Y25" s="74" t="str">
        <f t="shared" si="10"/>
        <v>A21</v>
      </c>
      <c r="Z25" s="74" t="str">
        <f t="shared" si="10"/>
        <v>A22</v>
      </c>
      <c r="AA25" s="74" t="str">
        <f t="shared" si="10"/>
        <v>A23</v>
      </c>
      <c r="AB25" s="74" t="str">
        <f t="shared" si="10"/>
        <v>A24</v>
      </c>
      <c r="AC25" s="74" t="str">
        <f t="shared" si="10"/>
        <v>A25</v>
      </c>
      <c r="AD25" s="74" t="str">
        <f t="shared" si="10"/>
        <v>A26</v>
      </c>
      <c r="AE25" s="74" t="str">
        <f t="shared" si="10"/>
        <v>A27</v>
      </c>
      <c r="AF25" s="74" t="str">
        <f t="shared" si="10"/>
        <v>A28</v>
      </c>
      <c r="AG25" s="74" t="str">
        <f t="shared" si="10"/>
        <v>A29</v>
      </c>
      <c r="AH25" s="74" t="str">
        <f t="shared" si="10"/>
        <v>A30</v>
      </c>
      <c r="AI25" s="74" t="str">
        <f t="shared" si="10"/>
        <v>A31</v>
      </c>
      <c r="AJ25" s="74" t="str">
        <f t="shared" si="10"/>
        <v>A32</v>
      </c>
      <c r="AK25" s="74" t="str">
        <f t="shared" si="10"/>
        <v>A33</v>
      </c>
      <c r="AL25" s="74" t="str">
        <f t="shared" si="10"/>
        <v>A34</v>
      </c>
      <c r="AM25" s="74" t="str">
        <f t="shared" si="10"/>
        <v>A35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FY25" s="76" t="s">
        <v>114</v>
      </c>
      <c r="FZ25" s="75">
        <f t="shared" si="0"/>
        <v>24</v>
      </c>
      <c r="GA25" s="75"/>
      <c r="GB25" s="75"/>
      <c r="GC25" s="75"/>
      <c r="GD25" s="75"/>
      <c r="GE25" s="75"/>
      <c r="GF25" s="75"/>
      <c r="GG25" s="75"/>
      <c r="GH25" s="75"/>
      <c r="GI25" s="75"/>
      <c r="GJ25" s="75">
        <f t="shared" si="1"/>
        <v>24</v>
      </c>
      <c r="GK25" s="75">
        <f t="shared" si="2"/>
        <v>0</v>
      </c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</row>
    <row r="26" spans="1:212" ht="15">
      <c r="A26" s="54" t="s">
        <v>131</v>
      </c>
      <c r="B26" s="71" t="s">
        <v>132</v>
      </c>
      <c r="C26" s="54"/>
      <c r="D26" s="69">
        <f aca="true" t="shared" si="11" ref="D26:I26">+D22-D28</f>
        <v>0</v>
      </c>
      <c r="E26" s="69">
        <f t="shared" si="11"/>
        <v>61550</v>
      </c>
      <c r="F26" s="69">
        <f>+F22-F28</f>
        <v>61550</v>
      </c>
      <c r="G26" s="69">
        <f t="shared" si="11"/>
        <v>52039.78910185421</v>
      </c>
      <c r="H26" s="69">
        <f t="shared" si="11"/>
        <v>43760.57820370842</v>
      </c>
      <c r="I26" s="69">
        <f t="shared" si="11"/>
        <v>35315.78308759971</v>
      </c>
      <c r="J26" s="69">
        <f>+J22-SUM($I$28:J28)</f>
        <v>25805.572189453924</v>
      </c>
      <c r="K26" s="69">
        <f>+K22-SUM($I$28:K28)</f>
        <v>16295.36129130813</v>
      </c>
      <c r="L26" s="69">
        <f>+L22-SUM($I$28:L28)</f>
        <v>6785.1503931623365</v>
      </c>
      <c r="M26" s="69">
        <f>+M22-SUM($I$28:M28)</f>
        <v>-2725.060504983455</v>
      </c>
      <c r="N26" s="69">
        <f>+N22-SUM($I$28:N28)</f>
        <v>-2725.060504983353</v>
      </c>
      <c r="O26" s="69">
        <f>+O22-SUM($I$28:O28)</f>
        <v>-2725.060504983353</v>
      </c>
      <c r="P26" s="69">
        <f>+P22-SUM($I$28:P28)</f>
        <v>-2725.060504983353</v>
      </c>
      <c r="Q26" s="69">
        <f>+Q22-SUM($I$28:Q28)</f>
        <v>-2725.060504983353</v>
      </c>
      <c r="R26" s="69">
        <f>+R22-SUM($I$28:R28)</f>
        <v>-2725.060504983353</v>
      </c>
      <c r="S26" s="69">
        <f>+S22-SUM($I$28:S28)</f>
        <v>-2725.060504983353</v>
      </c>
      <c r="T26" s="69">
        <f>+T22-SUM($I$28:T28)</f>
        <v>-2725.060504983353</v>
      </c>
      <c r="U26" s="69">
        <f>+U22-SUM($I$28:U28)</f>
        <v>-2725.060504983353</v>
      </c>
      <c r="V26" s="69">
        <f>+V22-SUM($I$28:V28)</f>
        <v>-2725.060504983353</v>
      </c>
      <c r="W26" s="69">
        <f>+W22-SUM($I$28:W28)</f>
        <v>-2725.060504983353</v>
      </c>
      <c r="X26" s="69">
        <f>+X22-SUM($I$28:X28)</f>
        <v>-2725.060504983353</v>
      </c>
      <c r="Y26" s="69">
        <f>+Y22-SUM($I$28:Y28)</f>
        <v>-2725.060504983353</v>
      </c>
      <c r="Z26" s="69">
        <f>+Z22-SUM($I$28:Z28)</f>
        <v>-2725.060504983353</v>
      </c>
      <c r="AA26" s="69">
        <f>+AA22-SUM($I$28:AA28)</f>
        <v>-2725.060504983353</v>
      </c>
      <c r="AB26" s="69">
        <f>+AB22-SUM($I$28:AB28)</f>
        <v>-2725.060504983353</v>
      </c>
      <c r="AC26" s="69">
        <f>+AC22-SUM($I$28:AC28)</f>
        <v>-2725.060504983353</v>
      </c>
      <c r="AD26" s="69">
        <f>+AD22-SUM($I$28:AD28)</f>
        <v>-2725.060504983353</v>
      </c>
      <c r="AE26" s="69">
        <f>+AE22-SUM($I$28:AE28)</f>
        <v>-2725.060504983353</v>
      </c>
      <c r="AF26" s="69">
        <f>+AF22-SUM($I$28:AF28)</f>
        <v>-2725.060504983353</v>
      </c>
      <c r="AG26" s="69">
        <f>+AG22-SUM($I$28:AG28)</f>
        <v>-2725.060504983353</v>
      </c>
      <c r="AH26" s="69">
        <f>+AH22-SUM($I$28:AH28)</f>
        <v>-2725.060504983353</v>
      </c>
      <c r="AI26" s="69">
        <f>+AI22-SUM($I$28:AI28)</f>
        <v>-2725.060504983353</v>
      </c>
      <c r="AJ26" s="69">
        <f>+AJ22-SUM($I$28:AJ28)</f>
        <v>-2725.060504983353</v>
      </c>
      <c r="AK26" s="69">
        <f>+AK22-SUM($I$28:AK28)</f>
        <v>-2725.060504983353</v>
      </c>
      <c r="AL26" s="69">
        <f>+AL22-SUM($I$28:AL28)</f>
        <v>-2725.060504983353</v>
      </c>
      <c r="AM26" s="69">
        <f>+AM22-SUM($I$28:AM28)</f>
        <v>-2725.060504983353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FY26" s="76" t="s">
        <v>115</v>
      </c>
      <c r="FZ26" s="75">
        <f t="shared" si="0"/>
        <v>25</v>
      </c>
      <c r="GA26" s="75"/>
      <c r="GB26" s="75"/>
      <c r="GC26" s="75"/>
      <c r="GD26" s="75"/>
      <c r="GE26" s="75"/>
      <c r="GF26" s="75"/>
      <c r="GG26" s="75"/>
      <c r="GH26" s="75"/>
      <c r="GI26" s="75"/>
      <c r="GJ26" s="75">
        <f t="shared" si="1"/>
        <v>25</v>
      </c>
      <c r="GK26" s="75">
        <f t="shared" si="2"/>
        <v>1</v>
      </c>
      <c r="GL26" s="75"/>
      <c r="GM26" s="75">
        <v>1</v>
      </c>
      <c r="GN26" s="75">
        <v>1</v>
      </c>
      <c r="GO26" s="75">
        <v>1</v>
      </c>
      <c r="GP26" s="75">
        <v>1</v>
      </c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</row>
    <row r="27" spans="1:212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FY27" s="76" t="s">
        <v>116</v>
      </c>
      <c r="FZ27" s="75">
        <f t="shared" si="0"/>
        <v>26</v>
      </c>
      <c r="GA27" s="75"/>
      <c r="GB27" s="75"/>
      <c r="GC27" s="75"/>
      <c r="GD27" s="75"/>
      <c r="GE27" s="75"/>
      <c r="GF27" s="75"/>
      <c r="GG27" s="75"/>
      <c r="GH27" s="75"/>
      <c r="GI27" s="75"/>
      <c r="GJ27" s="75">
        <f t="shared" si="1"/>
        <v>26</v>
      </c>
      <c r="GK27" s="75">
        <f t="shared" si="2"/>
        <v>0</v>
      </c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</row>
    <row r="28" spans="1:212" ht="15">
      <c r="A28" s="54" t="s">
        <v>133</v>
      </c>
      <c r="B28" s="71" t="s">
        <v>134</v>
      </c>
      <c r="C28" s="54"/>
      <c r="D28" s="69">
        <f>+D21</f>
        <v>0</v>
      </c>
      <c r="E28" s="69">
        <f aca="true" t="shared" si="12" ref="E28:AM28">+E21</f>
        <v>0</v>
      </c>
      <c r="F28" s="69">
        <f t="shared" si="12"/>
        <v>0</v>
      </c>
      <c r="G28" s="69">
        <f t="shared" si="12"/>
        <v>1231.0000000000011</v>
      </c>
      <c r="H28" s="69">
        <f t="shared" si="12"/>
        <v>1065.4157820370851</v>
      </c>
      <c r="I28" s="69">
        <f t="shared" si="12"/>
        <v>896.5198797149109</v>
      </c>
      <c r="J28" s="69">
        <f t="shared" si="12"/>
        <v>724.2460593462931</v>
      </c>
      <c r="K28" s="69">
        <f t="shared" si="12"/>
        <v>548.526762570303</v>
      </c>
      <c r="L28" s="69">
        <f t="shared" si="12"/>
        <v>369.2930798587931</v>
      </c>
      <c r="M28" s="69">
        <f t="shared" si="12"/>
        <v>186.4747234930529</v>
      </c>
      <c r="N28" s="69">
        <f t="shared" si="12"/>
        <v>0</v>
      </c>
      <c r="O28" s="69">
        <f t="shared" si="12"/>
        <v>0</v>
      </c>
      <c r="P28" s="69">
        <f t="shared" si="12"/>
        <v>0</v>
      </c>
      <c r="Q28" s="69">
        <f t="shared" si="12"/>
        <v>0</v>
      </c>
      <c r="R28" s="69">
        <f t="shared" si="12"/>
        <v>0</v>
      </c>
      <c r="S28" s="69">
        <f t="shared" si="12"/>
        <v>0</v>
      </c>
      <c r="T28" s="69">
        <f t="shared" si="12"/>
        <v>0</v>
      </c>
      <c r="U28" s="69">
        <f t="shared" si="12"/>
        <v>0</v>
      </c>
      <c r="V28" s="69">
        <f t="shared" si="12"/>
        <v>0</v>
      </c>
      <c r="W28" s="69">
        <f t="shared" si="12"/>
        <v>0</v>
      </c>
      <c r="X28" s="69">
        <f t="shared" si="12"/>
        <v>0</v>
      </c>
      <c r="Y28" s="69">
        <f t="shared" si="12"/>
        <v>0</v>
      </c>
      <c r="Z28" s="69">
        <f t="shared" si="12"/>
        <v>0</v>
      </c>
      <c r="AA28" s="69">
        <f t="shared" si="12"/>
        <v>0</v>
      </c>
      <c r="AB28" s="69">
        <f t="shared" si="12"/>
        <v>0</v>
      </c>
      <c r="AC28" s="69">
        <f t="shared" si="12"/>
        <v>0</v>
      </c>
      <c r="AD28" s="69">
        <f t="shared" si="12"/>
        <v>0</v>
      </c>
      <c r="AE28" s="69">
        <f t="shared" si="12"/>
        <v>0</v>
      </c>
      <c r="AF28" s="69">
        <f t="shared" si="12"/>
        <v>0</v>
      </c>
      <c r="AG28" s="69">
        <f t="shared" si="12"/>
        <v>0</v>
      </c>
      <c r="AH28" s="69">
        <f t="shared" si="12"/>
        <v>0</v>
      </c>
      <c r="AI28" s="69">
        <f t="shared" si="12"/>
        <v>0</v>
      </c>
      <c r="AJ28" s="69">
        <f t="shared" si="12"/>
        <v>0</v>
      </c>
      <c r="AK28" s="69">
        <f t="shared" si="12"/>
        <v>0</v>
      </c>
      <c r="AL28" s="69">
        <f t="shared" si="12"/>
        <v>0</v>
      </c>
      <c r="AM28" s="69">
        <f t="shared" si="12"/>
        <v>0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FY28" s="76" t="s">
        <v>117</v>
      </c>
      <c r="FZ28" s="75">
        <f t="shared" si="0"/>
        <v>27</v>
      </c>
      <c r="GA28" s="75"/>
      <c r="GB28" s="75"/>
      <c r="GC28" s="75"/>
      <c r="GD28" s="75"/>
      <c r="GE28" s="75"/>
      <c r="GF28" s="75"/>
      <c r="GG28" s="75"/>
      <c r="GH28" s="75"/>
      <c r="GI28" s="75"/>
      <c r="GJ28" s="75">
        <f t="shared" si="1"/>
        <v>27</v>
      </c>
      <c r="GK28" s="75">
        <f t="shared" si="2"/>
        <v>0</v>
      </c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</row>
    <row r="29" spans="1:212" ht="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FY29" s="76" t="s">
        <v>118</v>
      </c>
      <c r="FZ29" s="75">
        <f t="shared" si="0"/>
        <v>28</v>
      </c>
      <c r="GA29" s="75"/>
      <c r="GB29" s="75"/>
      <c r="GC29" s="75"/>
      <c r="GD29" s="75"/>
      <c r="GE29" s="75"/>
      <c r="GF29" s="75"/>
      <c r="GG29" s="75"/>
      <c r="GH29" s="75"/>
      <c r="GI29" s="75"/>
      <c r="GJ29" s="75">
        <f t="shared" si="1"/>
        <v>28</v>
      </c>
      <c r="GK29" s="75">
        <f t="shared" si="2"/>
        <v>0</v>
      </c>
      <c r="GL29" s="75"/>
      <c r="GM29" s="75"/>
      <c r="GN29" s="75"/>
      <c r="GO29" s="75"/>
      <c r="GP29" s="75">
        <v>1</v>
      </c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</row>
    <row r="30" spans="1:212" ht="15">
      <c r="A30" s="54"/>
      <c r="B30" s="54"/>
      <c r="C30" s="54"/>
      <c r="D30" s="54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FY30" s="76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</row>
    <row r="31" spans="1:212" ht="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FY31" s="76" t="s">
        <v>120</v>
      </c>
      <c r="FZ31" s="75">
        <f t="shared" si="0"/>
        <v>1</v>
      </c>
      <c r="GA31" s="75"/>
      <c r="GB31" s="75"/>
      <c r="GC31" s="75"/>
      <c r="GD31" s="75"/>
      <c r="GE31" s="75"/>
      <c r="GF31" s="75"/>
      <c r="GG31" s="75"/>
      <c r="GH31" s="75"/>
      <c r="GI31" s="75"/>
      <c r="GJ31" s="75">
        <f t="shared" si="1"/>
        <v>1</v>
      </c>
      <c r="GK31" s="75">
        <f t="shared" si="2"/>
        <v>0</v>
      </c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</row>
    <row r="32" spans="1:212" ht="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FY32" s="76" t="s">
        <v>121</v>
      </c>
      <c r="FZ32" s="75">
        <f t="shared" si="0"/>
        <v>2</v>
      </c>
      <c r="GA32" s="75"/>
      <c r="GB32" s="75"/>
      <c r="GC32" s="75"/>
      <c r="GD32" s="75"/>
      <c r="GE32" s="75"/>
      <c r="GF32" s="75"/>
      <c r="GG32" s="75"/>
      <c r="GH32" s="75"/>
      <c r="GI32" s="75"/>
      <c r="GJ32" s="75">
        <f t="shared" si="1"/>
        <v>2</v>
      </c>
      <c r="GK32" s="75">
        <f t="shared" si="2"/>
        <v>0</v>
      </c>
      <c r="GL32" s="75"/>
      <c r="GM32" s="75"/>
      <c r="GN32" s="75">
        <v>1</v>
      </c>
      <c r="GO32" s="75"/>
      <c r="GP32" s="75">
        <v>1</v>
      </c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</row>
    <row r="33" spans="1:212" ht="15">
      <c r="A33" s="54"/>
      <c r="B33" s="54" t="s">
        <v>34</v>
      </c>
      <c r="C33" s="54"/>
      <c r="D33" s="54"/>
      <c r="E33" s="82">
        <f>+Input!D141</f>
        <v>61550</v>
      </c>
      <c r="F33" s="82"/>
      <c r="G33" s="82"/>
      <c r="H33" s="82"/>
      <c r="I33" s="82"/>
      <c r="J33" s="82"/>
      <c r="K33" s="82"/>
      <c r="L33" s="82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FY33" s="76" t="s">
        <v>122</v>
      </c>
      <c r="FZ33" s="75">
        <f t="shared" si="0"/>
        <v>3</v>
      </c>
      <c r="GA33" s="75"/>
      <c r="GB33" s="75"/>
      <c r="GC33" s="75"/>
      <c r="GD33" s="75"/>
      <c r="GE33" s="75"/>
      <c r="GF33" s="75"/>
      <c r="GG33" s="75"/>
      <c r="GH33" s="75"/>
      <c r="GI33" s="75"/>
      <c r="GJ33" s="75">
        <f t="shared" si="1"/>
        <v>3</v>
      </c>
      <c r="GK33" s="75">
        <f t="shared" si="2"/>
        <v>0</v>
      </c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</row>
    <row r="34" spans="1:212" ht="15">
      <c r="A34" s="54"/>
      <c r="B34" s="54" t="s">
        <v>37</v>
      </c>
      <c r="C34" s="54"/>
      <c r="D34" s="54"/>
      <c r="E34" s="82">
        <f>+IF(E22-E21-E19&lt;0,E22-E21-E19,0)</f>
        <v>0</v>
      </c>
      <c r="F34" s="82">
        <f>+IF(F22-F21-E22&lt;0,-(F22-F21-E22),0)</f>
        <v>0</v>
      </c>
      <c r="G34" s="82">
        <f aca="true" t="shared" si="13" ref="G34:L34">+IF(G22-G21-F22&lt;0,-(G22-G21-F22),0)</f>
        <v>9510.210898145793</v>
      </c>
      <c r="H34" s="82">
        <f t="shared" si="13"/>
        <v>9510.210898145786</v>
      </c>
      <c r="I34" s="82">
        <f t="shared" si="13"/>
        <v>9510.210898145793</v>
      </c>
      <c r="J34" s="82">
        <f t="shared" si="13"/>
        <v>9510.21089814579</v>
      </c>
      <c r="K34" s="82">
        <f t="shared" si="13"/>
        <v>9510.21089814579</v>
      </c>
      <c r="L34" s="82">
        <f t="shared" si="13"/>
        <v>9510.210898145795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FY34" s="76" t="s">
        <v>123</v>
      </c>
      <c r="FZ34" s="75">
        <f t="shared" si="0"/>
        <v>4</v>
      </c>
      <c r="GA34" s="75"/>
      <c r="GB34" s="75"/>
      <c r="GC34" s="75"/>
      <c r="GD34" s="75"/>
      <c r="GE34" s="75"/>
      <c r="GF34" s="75"/>
      <c r="GG34" s="75"/>
      <c r="GH34" s="75"/>
      <c r="GI34" s="75"/>
      <c r="GJ34" s="75">
        <f t="shared" si="1"/>
        <v>4</v>
      </c>
      <c r="GK34" s="75">
        <f t="shared" si="2"/>
        <v>0</v>
      </c>
      <c r="GL34" s="75"/>
      <c r="GM34" s="75"/>
      <c r="GN34" s="75"/>
      <c r="GO34" s="75">
        <v>1</v>
      </c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</row>
    <row r="35" spans="1:212" ht="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FY35" s="76" t="s">
        <v>124</v>
      </c>
      <c r="FZ35" s="75">
        <f t="shared" si="0"/>
        <v>5</v>
      </c>
      <c r="GA35" s="75"/>
      <c r="GB35" s="75"/>
      <c r="GC35" s="75"/>
      <c r="GD35" s="75"/>
      <c r="GE35" s="75"/>
      <c r="GF35" s="75"/>
      <c r="GG35" s="75"/>
      <c r="GH35" s="75"/>
      <c r="GI35" s="75"/>
      <c r="GJ35" s="75">
        <f t="shared" si="1"/>
        <v>5</v>
      </c>
      <c r="GK35" s="75">
        <f t="shared" si="2"/>
        <v>0</v>
      </c>
      <c r="GL35" s="75"/>
      <c r="GM35" s="75"/>
      <c r="GN35" s="75"/>
      <c r="GO35" s="75"/>
      <c r="GP35" s="75">
        <v>1</v>
      </c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</row>
    <row r="36" spans="1:212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FY36" s="76" t="s">
        <v>125</v>
      </c>
      <c r="FZ36" s="75">
        <f t="shared" si="0"/>
        <v>6</v>
      </c>
      <c r="GA36" s="75"/>
      <c r="GB36" s="75"/>
      <c r="GC36" s="75"/>
      <c r="GD36" s="75"/>
      <c r="GE36" s="75"/>
      <c r="GF36" s="75"/>
      <c r="GG36" s="75"/>
      <c r="GH36" s="75"/>
      <c r="GI36" s="75"/>
      <c r="GJ36" s="75">
        <f t="shared" si="1"/>
        <v>6</v>
      </c>
      <c r="GK36" s="75">
        <f t="shared" si="2"/>
        <v>0</v>
      </c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</row>
    <row r="37" spans="1:212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FY37" s="76" t="s">
        <v>138</v>
      </c>
      <c r="FZ37" s="75">
        <f t="shared" si="0"/>
        <v>7</v>
      </c>
      <c r="GA37" s="75"/>
      <c r="GB37" s="75"/>
      <c r="GC37" s="75"/>
      <c r="GD37" s="75"/>
      <c r="GE37" s="75"/>
      <c r="GF37" s="75"/>
      <c r="GG37" s="75"/>
      <c r="GH37" s="75"/>
      <c r="GI37" s="75"/>
      <c r="GJ37" s="75">
        <f t="shared" si="1"/>
        <v>7</v>
      </c>
      <c r="GK37" s="75">
        <f t="shared" si="2"/>
        <v>0</v>
      </c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</row>
    <row r="38" spans="1:212" ht="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FY38" s="76" t="s">
        <v>139</v>
      </c>
      <c r="FZ38" s="75">
        <f t="shared" si="0"/>
        <v>8</v>
      </c>
      <c r="GA38" s="75"/>
      <c r="GB38" s="75"/>
      <c r="GC38" s="75"/>
      <c r="GD38" s="75"/>
      <c r="GE38" s="75"/>
      <c r="GF38" s="75"/>
      <c r="GG38" s="75"/>
      <c r="GH38" s="75"/>
      <c r="GI38" s="75"/>
      <c r="GJ38" s="75">
        <f t="shared" si="1"/>
        <v>8</v>
      </c>
      <c r="GK38" s="75">
        <f t="shared" si="2"/>
        <v>1</v>
      </c>
      <c r="GL38" s="75"/>
      <c r="GM38" s="75">
        <v>1</v>
      </c>
      <c r="GN38" s="75">
        <v>1</v>
      </c>
      <c r="GO38" s="75">
        <v>1</v>
      </c>
      <c r="GP38" s="75">
        <v>1</v>
      </c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</row>
    <row r="39" spans="1:212" ht="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FY39" s="76" t="s">
        <v>140</v>
      </c>
      <c r="FZ39" s="75">
        <f t="shared" si="0"/>
        <v>9</v>
      </c>
      <c r="GA39" s="75"/>
      <c r="GB39" s="75"/>
      <c r="GC39" s="75"/>
      <c r="GD39" s="75"/>
      <c r="GE39" s="75"/>
      <c r="GF39" s="75"/>
      <c r="GG39" s="75"/>
      <c r="GH39" s="75"/>
      <c r="GI39" s="75"/>
      <c r="GJ39" s="75">
        <f t="shared" si="1"/>
        <v>9</v>
      </c>
      <c r="GK39" s="75">
        <f t="shared" si="2"/>
        <v>0</v>
      </c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</row>
    <row r="40" spans="1:212" ht="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FY40" s="76" t="s">
        <v>141</v>
      </c>
      <c r="FZ40" s="75">
        <f t="shared" si="0"/>
        <v>10</v>
      </c>
      <c r="GA40" s="75"/>
      <c r="GB40" s="75"/>
      <c r="GC40" s="75"/>
      <c r="GD40" s="75"/>
      <c r="GE40" s="75"/>
      <c r="GF40" s="75"/>
      <c r="GG40" s="75"/>
      <c r="GH40" s="75"/>
      <c r="GI40" s="75"/>
      <c r="GJ40" s="75">
        <f t="shared" si="1"/>
        <v>10</v>
      </c>
      <c r="GK40" s="75">
        <f t="shared" si="2"/>
        <v>0</v>
      </c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</row>
    <row r="41" spans="1:212" ht="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FY41" s="76" t="s">
        <v>142</v>
      </c>
      <c r="FZ41" s="75">
        <f t="shared" si="0"/>
        <v>11</v>
      </c>
      <c r="GA41" s="75"/>
      <c r="GB41" s="75"/>
      <c r="GC41" s="75"/>
      <c r="GD41" s="75"/>
      <c r="GE41" s="75"/>
      <c r="GF41" s="75"/>
      <c r="GG41" s="75"/>
      <c r="GH41" s="75"/>
      <c r="GI41" s="75"/>
      <c r="GJ41" s="75">
        <f t="shared" si="1"/>
        <v>11</v>
      </c>
      <c r="GK41" s="75">
        <f t="shared" si="2"/>
        <v>0</v>
      </c>
      <c r="GL41" s="75"/>
      <c r="GM41" s="75"/>
      <c r="GN41" s="75"/>
      <c r="GO41" s="75"/>
      <c r="GP41" s="75">
        <v>1</v>
      </c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</row>
    <row r="42" spans="1:212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FY42" s="76" t="s">
        <v>143</v>
      </c>
      <c r="FZ42" s="75">
        <f t="shared" si="0"/>
        <v>12</v>
      </c>
      <c r="GA42" s="75"/>
      <c r="GB42" s="75"/>
      <c r="GC42" s="75"/>
      <c r="GD42" s="75"/>
      <c r="GE42" s="75"/>
      <c r="GF42" s="75"/>
      <c r="GG42" s="75"/>
      <c r="GH42" s="75"/>
      <c r="GI42" s="75"/>
      <c r="GJ42" s="75">
        <f t="shared" si="1"/>
        <v>12</v>
      </c>
      <c r="GK42" s="75">
        <f t="shared" si="2"/>
        <v>0</v>
      </c>
      <c r="GL42" s="75"/>
      <c r="GM42" s="75"/>
      <c r="GN42" s="75"/>
      <c r="GO42" s="75">
        <v>1</v>
      </c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</row>
    <row r="43" spans="1:212" ht="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FY43" s="76" t="s">
        <v>144</v>
      </c>
      <c r="FZ43" s="75">
        <f t="shared" si="0"/>
        <v>13</v>
      </c>
      <c r="GA43" s="75"/>
      <c r="GB43" s="75"/>
      <c r="GC43" s="75"/>
      <c r="GD43" s="75"/>
      <c r="GE43" s="75"/>
      <c r="GF43" s="75"/>
      <c r="GG43" s="75"/>
      <c r="GH43" s="75"/>
      <c r="GI43" s="75"/>
      <c r="GJ43" s="75">
        <f t="shared" si="1"/>
        <v>13</v>
      </c>
      <c r="GK43" s="75">
        <f t="shared" si="2"/>
        <v>0</v>
      </c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</row>
    <row r="44" spans="1:212" ht="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FY44" s="76" t="s">
        <v>145</v>
      </c>
      <c r="FZ44" s="75">
        <f t="shared" si="0"/>
        <v>14</v>
      </c>
      <c r="GA44" s="75"/>
      <c r="GB44" s="75"/>
      <c r="GC44" s="75"/>
      <c r="GD44" s="75"/>
      <c r="GE44" s="75"/>
      <c r="GF44" s="75"/>
      <c r="GG44" s="75"/>
      <c r="GH44" s="75"/>
      <c r="GI44" s="75"/>
      <c r="GJ44" s="75">
        <f t="shared" si="1"/>
        <v>14</v>
      </c>
      <c r="GK44" s="75">
        <f t="shared" si="2"/>
        <v>0</v>
      </c>
      <c r="GL44" s="75"/>
      <c r="GM44" s="75"/>
      <c r="GN44" s="75">
        <v>1</v>
      </c>
      <c r="GO44" s="75"/>
      <c r="GP44" s="75">
        <v>1</v>
      </c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</row>
    <row r="45" spans="1:212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FY45" s="76" t="s">
        <v>146</v>
      </c>
      <c r="FZ45" s="75">
        <f t="shared" si="0"/>
        <v>15</v>
      </c>
      <c r="GA45" s="75"/>
      <c r="GB45" s="75"/>
      <c r="GC45" s="75"/>
      <c r="GD45" s="75"/>
      <c r="GE45" s="75"/>
      <c r="GF45" s="75"/>
      <c r="GG45" s="75"/>
      <c r="GH45" s="75"/>
      <c r="GI45" s="75"/>
      <c r="GJ45" s="75">
        <f t="shared" si="1"/>
        <v>15</v>
      </c>
      <c r="GK45" s="75">
        <f t="shared" si="2"/>
        <v>0</v>
      </c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</row>
    <row r="46" spans="1:212" ht="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FY46" s="76" t="s">
        <v>147</v>
      </c>
      <c r="FZ46" s="75">
        <f t="shared" si="0"/>
        <v>16</v>
      </c>
      <c r="GA46" s="75"/>
      <c r="GB46" s="75"/>
      <c r="GC46" s="75"/>
      <c r="GD46" s="75"/>
      <c r="GE46" s="75"/>
      <c r="GF46" s="75"/>
      <c r="GG46" s="75"/>
      <c r="GH46" s="75"/>
      <c r="GI46" s="75"/>
      <c r="GJ46" s="75">
        <f t="shared" si="1"/>
        <v>16</v>
      </c>
      <c r="GK46" s="75">
        <f t="shared" si="2"/>
        <v>0</v>
      </c>
      <c r="GL46" s="75"/>
      <c r="GM46" s="75"/>
      <c r="GN46" s="75"/>
      <c r="GO46" s="75">
        <v>1</v>
      </c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</row>
    <row r="47" spans="1:212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FY47" s="76" t="s">
        <v>148</v>
      </c>
      <c r="FZ47" s="75">
        <f t="shared" si="0"/>
        <v>17</v>
      </c>
      <c r="GA47" s="75"/>
      <c r="GB47" s="75"/>
      <c r="GC47" s="75"/>
      <c r="GD47" s="75"/>
      <c r="GE47" s="75"/>
      <c r="GF47" s="75"/>
      <c r="GG47" s="75"/>
      <c r="GH47" s="75"/>
      <c r="GI47" s="75"/>
      <c r="GJ47" s="75">
        <f t="shared" si="1"/>
        <v>17</v>
      </c>
      <c r="GK47" s="75">
        <f t="shared" si="2"/>
        <v>0</v>
      </c>
      <c r="GL47" s="75"/>
      <c r="GM47" s="75"/>
      <c r="GN47" s="75"/>
      <c r="GO47" s="75"/>
      <c r="GP47" s="75">
        <v>1</v>
      </c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</row>
    <row r="48" spans="1:212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FY48" s="76" t="s">
        <v>149</v>
      </c>
      <c r="FZ48" s="75">
        <f t="shared" si="0"/>
        <v>18</v>
      </c>
      <c r="GA48" s="75"/>
      <c r="GB48" s="75"/>
      <c r="GC48" s="75"/>
      <c r="GD48" s="75"/>
      <c r="GE48" s="75"/>
      <c r="GF48" s="75"/>
      <c r="GG48" s="75"/>
      <c r="GH48" s="75"/>
      <c r="GI48" s="75"/>
      <c r="GJ48" s="75">
        <f t="shared" si="1"/>
        <v>18</v>
      </c>
      <c r="GK48" s="75">
        <f t="shared" si="2"/>
        <v>0</v>
      </c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</row>
    <row r="49" spans="1:212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FY49" s="76" t="s">
        <v>150</v>
      </c>
      <c r="FZ49" s="75">
        <f t="shared" si="0"/>
        <v>19</v>
      </c>
      <c r="GA49" s="75"/>
      <c r="GB49" s="75"/>
      <c r="GC49" s="75"/>
      <c r="GD49" s="75"/>
      <c r="GE49" s="75"/>
      <c r="GF49" s="75"/>
      <c r="GG49" s="75"/>
      <c r="GH49" s="75"/>
      <c r="GI49" s="75"/>
      <c r="GJ49" s="75">
        <f t="shared" si="1"/>
        <v>19</v>
      </c>
      <c r="GK49" s="75">
        <f t="shared" si="2"/>
        <v>0</v>
      </c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</row>
    <row r="50" spans="1:212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FY50" s="76" t="s">
        <v>151</v>
      </c>
      <c r="FZ50" s="75">
        <f t="shared" si="0"/>
        <v>20</v>
      </c>
      <c r="GA50" s="75"/>
      <c r="GB50" s="75"/>
      <c r="GC50" s="75"/>
      <c r="GD50" s="75"/>
      <c r="GE50" s="75"/>
      <c r="GF50" s="75"/>
      <c r="GG50" s="75"/>
      <c r="GH50" s="75"/>
      <c r="GI50" s="75"/>
      <c r="GJ50" s="75">
        <f t="shared" si="1"/>
        <v>20</v>
      </c>
      <c r="GK50" s="75">
        <f t="shared" si="2"/>
        <v>1</v>
      </c>
      <c r="GL50" s="75"/>
      <c r="GM50" s="75">
        <v>1</v>
      </c>
      <c r="GN50" s="75">
        <v>1</v>
      </c>
      <c r="GO50" s="75">
        <v>1</v>
      </c>
      <c r="GP50" s="75">
        <v>1</v>
      </c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</row>
    <row r="51" spans="1:212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FY51" s="76" t="s">
        <v>152</v>
      </c>
      <c r="FZ51" s="75">
        <f t="shared" si="0"/>
        <v>21</v>
      </c>
      <c r="GA51" s="75"/>
      <c r="GB51" s="75"/>
      <c r="GC51" s="75"/>
      <c r="GD51" s="75"/>
      <c r="GE51" s="75"/>
      <c r="GF51" s="75"/>
      <c r="GG51" s="75"/>
      <c r="GH51" s="75"/>
      <c r="GI51" s="75"/>
      <c r="GJ51" s="75">
        <f t="shared" si="1"/>
        <v>21</v>
      </c>
      <c r="GK51" s="75">
        <f t="shared" si="2"/>
        <v>0</v>
      </c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</row>
    <row r="52" spans="1:212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FY52" s="76" t="s">
        <v>153</v>
      </c>
      <c r="FZ52" s="75">
        <f t="shared" si="0"/>
        <v>22</v>
      </c>
      <c r="GA52" s="75"/>
      <c r="GB52" s="75"/>
      <c r="GC52" s="75"/>
      <c r="GD52" s="75"/>
      <c r="GE52" s="75"/>
      <c r="GF52" s="75"/>
      <c r="GG52" s="75"/>
      <c r="GH52" s="75"/>
      <c r="GI52" s="75"/>
      <c r="GJ52" s="75">
        <f t="shared" si="1"/>
        <v>22</v>
      </c>
      <c r="GK52" s="75">
        <f t="shared" si="2"/>
        <v>0</v>
      </c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</row>
    <row r="53" spans="1:212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FY53" s="76" t="s">
        <v>154</v>
      </c>
      <c r="FZ53" s="75">
        <f t="shared" si="0"/>
        <v>23</v>
      </c>
      <c r="GA53" s="75"/>
      <c r="GB53" s="75"/>
      <c r="GC53" s="75"/>
      <c r="GD53" s="75"/>
      <c r="GE53" s="75"/>
      <c r="GF53" s="75"/>
      <c r="GG53" s="75"/>
      <c r="GH53" s="75"/>
      <c r="GI53" s="75"/>
      <c r="GJ53" s="75">
        <f t="shared" si="1"/>
        <v>23</v>
      </c>
      <c r="GK53" s="75">
        <f t="shared" si="2"/>
        <v>0</v>
      </c>
      <c r="GL53" s="75"/>
      <c r="GM53" s="75"/>
      <c r="GN53" s="75"/>
      <c r="GO53" s="75"/>
      <c r="GP53" s="75">
        <v>1</v>
      </c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</row>
    <row r="54" spans="1:212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FY54" s="76" t="s">
        <v>155</v>
      </c>
      <c r="FZ54" s="75">
        <f t="shared" si="0"/>
        <v>24</v>
      </c>
      <c r="GA54" s="75"/>
      <c r="GB54" s="75"/>
      <c r="GC54" s="75"/>
      <c r="GD54" s="75"/>
      <c r="GE54" s="75"/>
      <c r="GF54" s="75"/>
      <c r="GG54" s="75"/>
      <c r="GH54" s="75"/>
      <c r="GI54" s="75"/>
      <c r="GJ54" s="75">
        <f t="shared" si="1"/>
        <v>24</v>
      </c>
      <c r="GK54" s="75">
        <f t="shared" si="2"/>
        <v>0</v>
      </c>
      <c r="GL54" s="75"/>
      <c r="GM54" s="75"/>
      <c r="GN54" s="75"/>
      <c r="GO54" s="75">
        <v>1</v>
      </c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</row>
    <row r="55" spans="1:212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FY55" s="76" t="s">
        <v>156</v>
      </c>
      <c r="FZ55" s="75">
        <f t="shared" si="0"/>
        <v>25</v>
      </c>
      <c r="GA55" s="75"/>
      <c r="GB55" s="75"/>
      <c r="GC55" s="75"/>
      <c r="GD55" s="75"/>
      <c r="GE55" s="75"/>
      <c r="GF55" s="75"/>
      <c r="GG55" s="75"/>
      <c r="GH55" s="75"/>
      <c r="GI55" s="75"/>
      <c r="GJ55" s="75">
        <f t="shared" si="1"/>
        <v>25</v>
      </c>
      <c r="GK55" s="75">
        <f t="shared" si="2"/>
        <v>0</v>
      </c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</row>
    <row r="56" spans="1:212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FY56" s="76" t="s">
        <v>157</v>
      </c>
      <c r="FZ56" s="75">
        <f t="shared" si="0"/>
        <v>26</v>
      </c>
      <c r="GA56" s="75"/>
      <c r="GB56" s="75"/>
      <c r="GC56" s="75"/>
      <c r="GD56" s="75"/>
      <c r="GE56" s="75"/>
      <c r="GF56" s="75"/>
      <c r="GG56" s="75"/>
      <c r="GH56" s="75"/>
      <c r="GI56" s="75"/>
      <c r="GJ56" s="75">
        <f t="shared" si="1"/>
        <v>26</v>
      </c>
      <c r="GK56" s="75">
        <f t="shared" si="2"/>
        <v>0</v>
      </c>
      <c r="GL56" s="75"/>
      <c r="GM56" s="75"/>
      <c r="GN56" s="75">
        <v>1</v>
      </c>
      <c r="GO56" s="75"/>
      <c r="GP56" s="75">
        <v>1</v>
      </c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</row>
    <row r="57" spans="1:212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FY57" s="76" t="s">
        <v>158</v>
      </c>
      <c r="FZ57" s="75">
        <f t="shared" si="0"/>
        <v>27</v>
      </c>
      <c r="GA57" s="75"/>
      <c r="GB57" s="75"/>
      <c r="GC57" s="75"/>
      <c r="GD57" s="75"/>
      <c r="GE57" s="75"/>
      <c r="GF57" s="75"/>
      <c r="GG57" s="75"/>
      <c r="GH57" s="75"/>
      <c r="GI57" s="75"/>
      <c r="GJ57" s="75">
        <f t="shared" si="1"/>
        <v>27</v>
      </c>
      <c r="GK57" s="75">
        <f t="shared" si="2"/>
        <v>0</v>
      </c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</row>
    <row r="58" spans="1:212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FY58" s="76" t="s">
        <v>159</v>
      </c>
      <c r="FZ58" s="75">
        <f t="shared" si="0"/>
        <v>28</v>
      </c>
      <c r="GA58" s="75"/>
      <c r="GB58" s="75"/>
      <c r="GC58" s="75"/>
      <c r="GD58" s="75"/>
      <c r="GE58" s="75"/>
      <c r="GF58" s="75"/>
      <c r="GG58" s="75"/>
      <c r="GH58" s="75"/>
      <c r="GI58" s="75"/>
      <c r="GJ58" s="75">
        <f t="shared" si="1"/>
        <v>28</v>
      </c>
      <c r="GK58" s="75">
        <f t="shared" si="2"/>
        <v>0</v>
      </c>
      <c r="GL58" s="75"/>
      <c r="GM58" s="75"/>
      <c r="GN58" s="75"/>
      <c r="GO58" s="75">
        <v>1</v>
      </c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</row>
    <row r="59" spans="1:212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FY59" s="76" t="s">
        <v>160</v>
      </c>
      <c r="FZ59" s="75">
        <f t="shared" si="0"/>
        <v>29</v>
      </c>
      <c r="GA59" s="75"/>
      <c r="GB59" s="75"/>
      <c r="GC59" s="75"/>
      <c r="GD59" s="75"/>
      <c r="GE59" s="75"/>
      <c r="GF59" s="75"/>
      <c r="GG59" s="75"/>
      <c r="GH59" s="75"/>
      <c r="GI59" s="75"/>
      <c r="GJ59" s="75">
        <f t="shared" si="1"/>
        <v>29</v>
      </c>
      <c r="GK59" s="75">
        <f t="shared" si="2"/>
        <v>0</v>
      </c>
      <c r="GL59" s="75"/>
      <c r="GM59" s="75"/>
      <c r="GN59" s="75"/>
      <c r="GO59" s="75"/>
      <c r="GP59" s="75">
        <v>1</v>
      </c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</row>
    <row r="60" spans="1:212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FY60" s="76" t="s">
        <v>161</v>
      </c>
      <c r="FZ60" s="75">
        <f t="shared" si="0"/>
        <v>30</v>
      </c>
      <c r="GA60" s="75"/>
      <c r="GB60" s="75"/>
      <c r="GC60" s="75"/>
      <c r="GD60" s="75"/>
      <c r="GE60" s="75"/>
      <c r="GF60" s="75"/>
      <c r="GG60" s="75"/>
      <c r="GH60" s="75"/>
      <c r="GI60" s="75"/>
      <c r="GJ60" s="75">
        <f t="shared" si="1"/>
        <v>30</v>
      </c>
      <c r="GK60" s="75">
        <f t="shared" si="2"/>
        <v>0</v>
      </c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</row>
    <row r="61" spans="1:212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FY61" s="76" t="s">
        <v>162</v>
      </c>
      <c r="FZ61" s="75">
        <f t="shared" si="0"/>
        <v>31</v>
      </c>
      <c r="GA61" s="75"/>
      <c r="GB61" s="75"/>
      <c r="GC61" s="75"/>
      <c r="GD61" s="75"/>
      <c r="GE61" s="75"/>
      <c r="GF61" s="75"/>
      <c r="GG61" s="75"/>
      <c r="GH61" s="75"/>
      <c r="GI61" s="75"/>
      <c r="GJ61" s="75">
        <f t="shared" si="1"/>
        <v>31</v>
      </c>
      <c r="GK61" s="75">
        <f t="shared" si="2"/>
        <v>0</v>
      </c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</row>
    <row r="62" spans="1:212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FY62" s="76" t="s">
        <v>163</v>
      </c>
      <c r="FZ62" s="75">
        <f t="shared" si="0"/>
        <v>32</v>
      </c>
      <c r="GA62" s="75"/>
      <c r="GB62" s="75"/>
      <c r="GC62" s="75"/>
      <c r="GD62" s="75"/>
      <c r="GE62" s="75"/>
      <c r="GF62" s="75"/>
      <c r="GG62" s="75"/>
      <c r="GH62" s="75"/>
      <c r="GI62" s="75"/>
      <c r="GJ62" s="75">
        <f t="shared" si="1"/>
        <v>32</v>
      </c>
      <c r="GK62" s="75">
        <f t="shared" si="2"/>
        <v>1</v>
      </c>
      <c r="GL62" s="75"/>
      <c r="GM62" s="75">
        <v>1</v>
      </c>
      <c r="GN62" s="75">
        <v>1</v>
      </c>
      <c r="GO62" s="75">
        <v>1</v>
      </c>
      <c r="GP62" s="75">
        <v>1</v>
      </c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</row>
    <row r="63" spans="1:212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FY63" s="76" t="s">
        <v>164</v>
      </c>
      <c r="FZ63" s="75">
        <f t="shared" si="0"/>
        <v>33</v>
      </c>
      <c r="GA63" s="75"/>
      <c r="GB63" s="75"/>
      <c r="GC63" s="75"/>
      <c r="GD63" s="75"/>
      <c r="GE63" s="75"/>
      <c r="GF63" s="75"/>
      <c r="GG63" s="75"/>
      <c r="GH63" s="75"/>
      <c r="GI63" s="75"/>
      <c r="GJ63" s="75">
        <f t="shared" si="1"/>
        <v>33</v>
      </c>
      <c r="GK63" s="75">
        <f t="shared" si="2"/>
        <v>0</v>
      </c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</row>
    <row r="64" spans="1:212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FY64" s="76" t="s">
        <v>165</v>
      </c>
      <c r="FZ64" s="75">
        <f t="shared" si="0"/>
        <v>34</v>
      </c>
      <c r="GA64" s="75"/>
      <c r="GB64" s="75"/>
      <c r="GC64" s="75"/>
      <c r="GD64" s="75"/>
      <c r="GE64" s="75"/>
      <c r="GF64" s="75"/>
      <c r="GG64" s="75"/>
      <c r="GH64" s="75"/>
      <c r="GI64" s="75"/>
      <c r="GJ64" s="75">
        <f t="shared" si="1"/>
        <v>34</v>
      </c>
      <c r="GK64" s="75">
        <f t="shared" si="2"/>
        <v>0</v>
      </c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</row>
    <row r="65" spans="1:212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FY65" s="76" t="s">
        <v>166</v>
      </c>
      <c r="FZ65" s="75">
        <f t="shared" si="0"/>
        <v>35</v>
      </c>
      <c r="GA65" s="75"/>
      <c r="GB65" s="75"/>
      <c r="GC65" s="75"/>
      <c r="GD65" s="75"/>
      <c r="GE65" s="75"/>
      <c r="GF65" s="75"/>
      <c r="GG65" s="75"/>
      <c r="GH65" s="75"/>
      <c r="GI65" s="75"/>
      <c r="GJ65" s="75">
        <f t="shared" si="1"/>
        <v>35</v>
      </c>
      <c r="GK65" s="75">
        <f t="shared" si="2"/>
        <v>0</v>
      </c>
      <c r="GL65" s="75"/>
      <c r="GM65" s="75"/>
      <c r="GN65" s="75"/>
      <c r="GO65" s="75"/>
      <c r="GP65" s="75">
        <v>1</v>
      </c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</row>
    <row r="66" spans="1:212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FY66" s="76" t="s">
        <v>167</v>
      </c>
      <c r="FZ66" s="75">
        <f t="shared" si="0"/>
        <v>36</v>
      </c>
      <c r="GA66" s="75"/>
      <c r="GB66" s="75"/>
      <c r="GC66" s="75"/>
      <c r="GD66" s="75"/>
      <c r="GE66" s="75"/>
      <c r="GF66" s="75"/>
      <c r="GG66" s="75"/>
      <c r="GH66" s="75"/>
      <c r="GI66" s="75"/>
      <c r="GJ66" s="75">
        <f t="shared" si="1"/>
        <v>36</v>
      </c>
      <c r="GK66" s="75">
        <f t="shared" si="2"/>
        <v>0</v>
      </c>
      <c r="GL66" s="75"/>
      <c r="GM66" s="75"/>
      <c r="GN66" s="75"/>
      <c r="GO66" s="75">
        <v>1</v>
      </c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</row>
    <row r="67" spans="1:212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FY67" s="76" t="s">
        <v>168</v>
      </c>
      <c r="FZ67" s="75">
        <f t="shared" si="0"/>
        <v>37</v>
      </c>
      <c r="GA67" s="75"/>
      <c r="GB67" s="75"/>
      <c r="GC67" s="75"/>
      <c r="GD67" s="75"/>
      <c r="GE67" s="75"/>
      <c r="GF67" s="75"/>
      <c r="GG67" s="75"/>
      <c r="GH67" s="75"/>
      <c r="GI67" s="75"/>
      <c r="GJ67" s="75">
        <f t="shared" si="1"/>
        <v>37</v>
      </c>
      <c r="GK67" s="75">
        <f t="shared" si="2"/>
        <v>0</v>
      </c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</row>
    <row r="68" spans="1:212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FY68" s="76" t="s">
        <v>169</v>
      </c>
      <c r="FZ68" s="75">
        <f aca="true" t="shared" si="14" ref="FZ68:FZ121">1+FZ67</f>
        <v>38</v>
      </c>
      <c r="GA68" s="75"/>
      <c r="GB68" s="75"/>
      <c r="GC68" s="75"/>
      <c r="GD68" s="75"/>
      <c r="GE68" s="75"/>
      <c r="GF68" s="75"/>
      <c r="GG68" s="75"/>
      <c r="GH68" s="75"/>
      <c r="GI68" s="75"/>
      <c r="GJ68" s="75">
        <f aca="true" t="shared" si="15" ref="GJ68:GJ131">+GJ67+1</f>
        <v>38</v>
      </c>
      <c r="GK68" s="75">
        <f t="shared" si="2"/>
        <v>0</v>
      </c>
      <c r="GL68" s="75"/>
      <c r="GM68" s="75"/>
      <c r="GN68" s="75">
        <v>1</v>
      </c>
      <c r="GO68" s="75"/>
      <c r="GP68" s="75">
        <v>1</v>
      </c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</row>
    <row r="69" spans="1:212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FY69" s="76" t="s">
        <v>170</v>
      </c>
      <c r="FZ69" s="75">
        <f t="shared" si="14"/>
        <v>39</v>
      </c>
      <c r="GA69" s="75"/>
      <c r="GB69" s="75"/>
      <c r="GC69" s="75"/>
      <c r="GD69" s="75"/>
      <c r="GE69" s="75"/>
      <c r="GF69" s="75"/>
      <c r="GG69" s="75"/>
      <c r="GH69" s="75"/>
      <c r="GI69" s="75"/>
      <c r="GJ69" s="75">
        <f t="shared" si="15"/>
        <v>39</v>
      </c>
      <c r="GK69" s="75">
        <f aca="true" t="shared" si="16" ref="GK69:GK132">+IF($C$8=$GM$1,GM69,IF($C$8=$GN$1,GN69,IF($C$8=$GO$1,GO69,IF($C$8=$GP$1,GP69,0))))</f>
        <v>0</v>
      </c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</row>
    <row r="70" spans="1:212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FY70" s="76" t="s">
        <v>171</v>
      </c>
      <c r="FZ70" s="75">
        <f t="shared" si="14"/>
        <v>40</v>
      </c>
      <c r="GA70" s="75"/>
      <c r="GB70" s="75"/>
      <c r="GC70" s="75"/>
      <c r="GD70" s="75"/>
      <c r="GE70" s="75"/>
      <c r="GF70" s="75"/>
      <c r="GG70" s="75"/>
      <c r="GH70" s="75"/>
      <c r="GI70" s="75"/>
      <c r="GJ70" s="75">
        <f t="shared" si="15"/>
        <v>40</v>
      </c>
      <c r="GK70" s="75">
        <f t="shared" si="16"/>
        <v>0</v>
      </c>
      <c r="GL70" s="75"/>
      <c r="GM70" s="75"/>
      <c r="GN70" s="75"/>
      <c r="GO70" s="75">
        <v>1</v>
      </c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</row>
    <row r="71" spans="1:212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FY71" s="76" t="s">
        <v>172</v>
      </c>
      <c r="FZ71" s="75">
        <f t="shared" si="14"/>
        <v>41</v>
      </c>
      <c r="GA71" s="75"/>
      <c r="GB71" s="75"/>
      <c r="GC71" s="75"/>
      <c r="GD71" s="75"/>
      <c r="GE71" s="75"/>
      <c r="GF71" s="75"/>
      <c r="GG71" s="75"/>
      <c r="GH71" s="75"/>
      <c r="GI71" s="75"/>
      <c r="GJ71" s="75">
        <f t="shared" si="15"/>
        <v>41</v>
      </c>
      <c r="GK71" s="75">
        <f t="shared" si="16"/>
        <v>0</v>
      </c>
      <c r="GL71" s="75"/>
      <c r="GM71" s="75"/>
      <c r="GN71" s="75"/>
      <c r="GO71" s="75"/>
      <c r="GP71" s="75">
        <v>1</v>
      </c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</row>
    <row r="72" spans="1:212" ht="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FY72" s="76" t="s">
        <v>173</v>
      </c>
      <c r="FZ72" s="75">
        <f t="shared" si="14"/>
        <v>42</v>
      </c>
      <c r="GA72" s="75"/>
      <c r="GB72" s="75"/>
      <c r="GC72" s="75"/>
      <c r="GD72" s="75"/>
      <c r="GE72" s="75"/>
      <c r="GF72" s="75"/>
      <c r="GG72" s="75"/>
      <c r="GH72" s="75"/>
      <c r="GI72" s="75"/>
      <c r="GJ72" s="75">
        <f t="shared" si="15"/>
        <v>42</v>
      </c>
      <c r="GK72" s="75">
        <f t="shared" si="16"/>
        <v>0</v>
      </c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</row>
    <row r="73" spans="1:212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FY73" s="76" t="s">
        <v>174</v>
      </c>
      <c r="FZ73" s="75">
        <f t="shared" si="14"/>
        <v>43</v>
      </c>
      <c r="GA73" s="75"/>
      <c r="GB73" s="75"/>
      <c r="GC73" s="75"/>
      <c r="GD73" s="75"/>
      <c r="GE73" s="75"/>
      <c r="GF73" s="75"/>
      <c r="GG73" s="75"/>
      <c r="GH73" s="75"/>
      <c r="GI73" s="75"/>
      <c r="GJ73" s="75">
        <f t="shared" si="15"/>
        <v>43</v>
      </c>
      <c r="GK73" s="75">
        <f t="shared" si="16"/>
        <v>0</v>
      </c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</row>
    <row r="74" spans="1:212" ht="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FY74" s="76" t="s">
        <v>175</v>
      </c>
      <c r="FZ74" s="75">
        <f t="shared" si="14"/>
        <v>44</v>
      </c>
      <c r="GA74" s="75"/>
      <c r="GB74" s="75"/>
      <c r="GC74" s="75"/>
      <c r="GD74" s="75"/>
      <c r="GE74" s="75"/>
      <c r="GF74" s="75"/>
      <c r="GG74" s="75"/>
      <c r="GH74" s="75"/>
      <c r="GI74" s="75"/>
      <c r="GJ74" s="75">
        <f t="shared" si="15"/>
        <v>44</v>
      </c>
      <c r="GK74" s="75">
        <f t="shared" si="16"/>
        <v>1</v>
      </c>
      <c r="GL74" s="75"/>
      <c r="GM74" s="75">
        <v>1</v>
      </c>
      <c r="GN74" s="75">
        <v>1</v>
      </c>
      <c r="GO74" s="75">
        <v>1</v>
      </c>
      <c r="GP74" s="75">
        <v>1</v>
      </c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</row>
    <row r="75" spans="1:212" ht="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FY75" s="76" t="s">
        <v>176</v>
      </c>
      <c r="FZ75" s="75">
        <f t="shared" si="14"/>
        <v>45</v>
      </c>
      <c r="GA75" s="75"/>
      <c r="GB75" s="75"/>
      <c r="GC75" s="75"/>
      <c r="GD75" s="75"/>
      <c r="GE75" s="75"/>
      <c r="GF75" s="75"/>
      <c r="GG75" s="75"/>
      <c r="GH75" s="75"/>
      <c r="GI75" s="75"/>
      <c r="GJ75" s="75">
        <f t="shared" si="15"/>
        <v>45</v>
      </c>
      <c r="GK75" s="75">
        <f t="shared" si="16"/>
        <v>0</v>
      </c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</row>
    <row r="76" spans="1:212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FY76" s="76" t="s">
        <v>177</v>
      </c>
      <c r="FZ76" s="75">
        <f t="shared" si="14"/>
        <v>46</v>
      </c>
      <c r="GA76" s="75"/>
      <c r="GB76" s="75"/>
      <c r="GC76" s="75"/>
      <c r="GD76" s="75"/>
      <c r="GE76" s="75"/>
      <c r="GF76" s="75"/>
      <c r="GG76" s="75"/>
      <c r="GH76" s="75"/>
      <c r="GI76" s="75"/>
      <c r="GJ76" s="75">
        <f t="shared" si="15"/>
        <v>46</v>
      </c>
      <c r="GK76" s="75">
        <f t="shared" si="16"/>
        <v>0</v>
      </c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</row>
    <row r="77" spans="1:212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FY77" s="76" t="s">
        <v>178</v>
      </c>
      <c r="FZ77" s="75">
        <f t="shared" si="14"/>
        <v>47</v>
      </c>
      <c r="GA77" s="75"/>
      <c r="GB77" s="75"/>
      <c r="GC77" s="75"/>
      <c r="GD77" s="75"/>
      <c r="GE77" s="75"/>
      <c r="GF77" s="75"/>
      <c r="GG77" s="75"/>
      <c r="GH77" s="75"/>
      <c r="GI77" s="75"/>
      <c r="GJ77" s="75">
        <f t="shared" si="15"/>
        <v>47</v>
      </c>
      <c r="GK77" s="75">
        <f t="shared" si="16"/>
        <v>0</v>
      </c>
      <c r="GL77" s="75"/>
      <c r="GM77" s="75"/>
      <c r="GN77" s="75"/>
      <c r="GO77" s="75"/>
      <c r="GP77" s="75">
        <v>1</v>
      </c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</row>
    <row r="78" spans="1:212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FY78" s="76" t="s">
        <v>179</v>
      </c>
      <c r="FZ78" s="75">
        <f t="shared" si="14"/>
        <v>48</v>
      </c>
      <c r="GA78" s="75"/>
      <c r="GB78" s="75"/>
      <c r="GC78" s="75"/>
      <c r="GD78" s="75"/>
      <c r="GE78" s="75"/>
      <c r="GF78" s="75"/>
      <c r="GG78" s="75"/>
      <c r="GH78" s="75"/>
      <c r="GI78" s="75"/>
      <c r="GJ78" s="75">
        <f t="shared" si="15"/>
        <v>48</v>
      </c>
      <c r="GK78" s="75">
        <f t="shared" si="16"/>
        <v>0</v>
      </c>
      <c r="GL78" s="75"/>
      <c r="GM78" s="75"/>
      <c r="GN78" s="75"/>
      <c r="GO78" s="75">
        <v>1</v>
      </c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</row>
    <row r="79" spans="1:212" ht="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FY79" s="76" t="s">
        <v>180</v>
      </c>
      <c r="FZ79" s="75">
        <f t="shared" si="14"/>
        <v>49</v>
      </c>
      <c r="GA79" s="75"/>
      <c r="GB79" s="75"/>
      <c r="GC79" s="75"/>
      <c r="GD79" s="75"/>
      <c r="GE79" s="75"/>
      <c r="GF79" s="75"/>
      <c r="GG79" s="75"/>
      <c r="GH79" s="75"/>
      <c r="GI79" s="75"/>
      <c r="GJ79" s="75">
        <f t="shared" si="15"/>
        <v>49</v>
      </c>
      <c r="GK79" s="75">
        <f t="shared" si="16"/>
        <v>0</v>
      </c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</row>
    <row r="80" spans="1:212" ht="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FY80" s="76" t="s">
        <v>181</v>
      </c>
      <c r="FZ80" s="75">
        <f t="shared" si="14"/>
        <v>50</v>
      </c>
      <c r="GA80" s="75"/>
      <c r="GB80" s="75"/>
      <c r="GC80" s="75"/>
      <c r="GD80" s="75"/>
      <c r="GE80" s="75"/>
      <c r="GF80" s="75"/>
      <c r="GG80" s="75"/>
      <c r="GH80" s="75"/>
      <c r="GI80" s="75"/>
      <c r="GJ80" s="75">
        <f t="shared" si="15"/>
        <v>50</v>
      </c>
      <c r="GK80" s="75">
        <f t="shared" si="16"/>
        <v>0</v>
      </c>
      <c r="GL80" s="75"/>
      <c r="GM80" s="75"/>
      <c r="GN80" s="75">
        <v>1</v>
      </c>
      <c r="GO80" s="75"/>
      <c r="GP80" s="75">
        <v>1</v>
      </c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</row>
    <row r="81" spans="1:212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FY81" s="76" t="s">
        <v>182</v>
      </c>
      <c r="FZ81" s="75">
        <f t="shared" si="14"/>
        <v>51</v>
      </c>
      <c r="GA81" s="75"/>
      <c r="GB81" s="75"/>
      <c r="GC81" s="75"/>
      <c r="GD81" s="75"/>
      <c r="GE81" s="75"/>
      <c r="GF81" s="75"/>
      <c r="GG81" s="75"/>
      <c r="GH81" s="75"/>
      <c r="GI81" s="75"/>
      <c r="GJ81" s="75">
        <f t="shared" si="15"/>
        <v>51</v>
      </c>
      <c r="GK81" s="75">
        <f t="shared" si="16"/>
        <v>0</v>
      </c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</row>
    <row r="82" spans="1:212" ht="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FY82" s="76" t="s">
        <v>183</v>
      </c>
      <c r="FZ82" s="75">
        <f t="shared" si="14"/>
        <v>52</v>
      </c>
      <c r="GA82" s="75"/>
      <c r="GB82" s="75"/>
      <c r="GC82" s="75"/>
      <c r="GD82" s="75"/>
      <c r="GE82" s="75"/>
      <c r="GF82" s="75"/>
      <c r="GG82" s="75"/>
      <c r="GH82" s="75"/>
      <c r="GI82" s="75"/>
      <c r="GJ82" s="75">
        <f t="shared" si="15"/>
        <v>52</v>
      </c>
      <c r="GK82" s="75">
        <f t="shared" si="16"/>
        <v>0</v>
      </c>
      <c r="GL82" s="75"/>
      <c r="GM82" s="75"/>
      <c r="GN82" s="75"/>
      <c r="GO82" s="75">
        <v>1</v>
      </c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</row>
    <row r="83" spans="1:212" ht="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FY83" s="76" t="s">
        <v>184</v>
      </c>
      <c r="FZ83" s="75">
        <f t="shared" si="14"/>
        <v>53</v>
      </c>
      <c r="GA83" s="75"/>
      <c r="GB83" s="75"/>
      <c r="GC83" s="75"/>
      <c r="GD83" s="75"/>
      <c r="GE83" s="75"/>
      <c r="GF83" s="75"/>
      <c r="GG83" s="75"/>
      <c r="GH83" s="75"/>
      <c r="GI83" s="75"/>
      <c r="GJ83" s="75">
        <f t="shared" si="15"/>
        <v>53</v>
      </c>
      <c r="GK83" s="75">
        <f t="shared" si="16"/>
        <v>0</v>
      </c>
      <c r="GL83" s="75"/>
      <c r="GM83" s="75"/>
      <c r="GN83" s="75"/>
      <c r="GO83" s="75"/>
      <c r="GP83" s="75">
        <v>1</v>
      </c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</row>
    <row r="84" spans="1:212" ht="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FY84" s="76" t="s">
        <v>185</v>
      </c>
      <c r="FZ84" s="75">
        <f t="shared" si="14"/>
        <v>54</v>
      </c>
      <c r="GA84" s="75"/>
      <c r="GB84" s="75"/>
      <c r="GC84" s="75"/>
      <c r="GD84" s="75"/>
      <c r="GE84" s="75"/>
      <c r="GF84" s="75"/>
      <c r="GG84" s="75"/>
      <c r="GH84" s="75"/>
      <c r="GI84" s="75"/>
      <c r="GJ84" s="75">
        <f t="shared" si="15"/>
        <v>54</v>
      </c>
      <c r="GK84" s="75">
        <f t="shared" si="16"/>
        <v>0</v>
      </c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</row>
    <row r="85" spans="1:212" ht="1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FY85" s="76" t="s">
        <v>186</v>
      </c>
      <c r="FZ85" s="75">
        <f t="shared" si="14"/>
        <v>55</v>
      </c>
      <c r="GA85" s="75"/>
      <c r="GB85" s="75"/>
      <c r="GC85" s="75"/>
      <c r="GD85" s="75"/>
      <c r="GE85" s="75"/>
      <c r="GF85" s="75"/>
      <c r="GG85" s="75"/>
      <c r="GH85" s="75"/>
      <c r="GI85" s="75"/>
      <c r="GJ85" s="75">
        <f t="shared" si="15"/>
        <v>55</v>
      </c>
      <c r="GK85" s="75">
        <f t="shared" si="16"/>
        <v>0</v>
      </c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</row>
    <row r="86" spans="1:212" ht="1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FY86" s="76" t="s">
        <v>187</v>
      </c>
      <c r="FZ86" s="75">
        <f t="shared" si="14"/>
        <v>56</v>
      </c>
      <c r="GA86" s="75"/>
      <c r="GB86" s="75"/>
      <c r="GC86" s="75"/>
      <c r="GD86" s="75"/>
      <c r="GE86" s="75"/>
      <c r="GF86" s="75"/>
      <c r="GG86" s="75"/>
      <c r="GH86" s="75"/>
      <c r="GI86" s="75"/>
      <c r="GJ86" s="75">
        <f t="shared" si="15"/>
        <v>56</v>
      </c>
      <c r="GK86" s="75">
        <f t="shared" si="16"/>
        <v>1</v>
      </c>
      <c r="GL86" s="75"/>
      <c r="GM86" s="75">
        <v>1</v>
      </c>
      <c r="GN86" s="75">
        <v>1</v>
      </c>
      <c r="GO86" s="75">
        <v>1</v>
      </c>
      <c r="GP86" s="75">
        <v>1</v>
      </c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</row>
    <row r="87" spans="1:212" ht="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FY87" s="76" t="s">
        <v>188</v>
      </c>
      <c r="FZ87" s="75">
        <f t="shared" si="14"/>
        <v>57</v>
      </c>
      <c r="GA87" s="75"/>
      <c r="GB87" s="75"/>
      <c r="GC87" s="75"/>
      <c r="GD87" s="75"/>
      <c r="GE87" s="75"/>
      <c r="GF87" s="75"/>
      <c r="GG87" s="75"/>
      <c r="GH87" s="75"/>
      <c r="GI87" s="75"/>
      <c r="GJ87" s="75">
        <f t="shared" si="15"/>
        <v>57</v>
      </c>
      <c r="GK87" s="75">
        <f t="shared" si="16"/>
        <v>0</v>
      </c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</row>
    <row r="88" spans="1:212" ht="1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FY88" s="76" t="s">
        <v>189</v>
      </c>
      <c r="FZ88" s="75">
        <f t="shared" si="14"/>
        <v>58</v>
      </c>
      <c r="GA88" s="75"/>
      <c r="GB88" s="75"/>
      <c r="GC88" s="75"/>
      <c r="GD88" s="75"/>
      <c r="GE88" s="75"/>
      <c r="GF88" s="75"/>
      <c r="GG88" s="75"/>
      <c r="GH88" s="75"/>
      <c r="GI88" s="75"/>
      <c r="GJ88" s="75">
        <f t="shared" si="15"/>
        <v>58</v>
      </c>
      <c r="GK88" s="75">
        <f t="shared" si="16"/>
        <v>0</v>
      </c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</row>
    <row r="89" spans="1:212" ht="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FY89" s="76" t="s">
        <v>190</v>
      </c>
      <c r="FZ89" s="75">
        <f t="shared" si="14"/>
        <v>59</v>
      </c>
      <c r="GA89" s="75"/>
      <c r="GB89" s="75"/>
      <c r="GC89" s="75"/>
      <c r="GD89" s="75"/>
      <c r="GE89" s="75"/>
      <c r="GF89" s="75"/>
      <c r="GG89" s="75"/>
      <c r="GH89" s="75"/>
      <c r="GI89" s="75"/>
      <c r="GJ89" s="75">
        <f t="shared" si="15"/>
        <v>59</v>
      </c>
      <c r="GK89" s="75">
        <f t="shared" si="16"/>
        <v>0</v>
      </c>
      <c r="GL89" s="75"/>
      <c r="GM89" s="75"/>
      <c r="GN89" s="75"/>
      <c r="GO89" s="75"/>
      <c r="GP89" s="75">
        <v>1</v>
      </c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</row>
    <row r="90" spans="1:212" ht="1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FY90" s="76" t="s">
        <v>191</v>
      </c>
      <c r="FZ90" s="75">
        <f t="shared" si="14"/>
        <v>60</v>
      </c>
      <c r="GA90" s="75"/>
      <c r="GB90" s="75"/>
      <c r="GC90" s="75"/>
      <c r="GD90" s="75"/>
      <c r="GE90" s="75"/>
      <c r="GF90" s="75"/>
      <c r="GG90" s="75"/>
      <c r="GH90" s="75"/>
      <c r="GI90" s="75"/>
      <c r="GJ90" s="75">
        <f t="shared" si="15"/>
        <v>60</v>
      </c>
      <c r="GK90" s="75">
        <f t="shared" si="16"/>
        <v>0</v>
      </c>
      <c r="GL90" s="75"/>
      <c r="GM90" s="75"/>
      <c r="GN90" s="75"/>
      <c r="GO90" s="75">
        <v>1</v>
      </c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</row>
    <row r="91" spans="1:212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FY91" s="76" t="s">
        <v>192</v>
      </c>
      <c r="FZ91" s="75">
        <f t="shared" si="14"/>
        <v>61</v>
      </c>
      <c r="GA91" s="75"/>
      <c r="GB91" s="75"/>
      <c r="GC91" s="75"/>
      <c r="GD91" s="75"/>
      <c r="GE91" s="75"/>
      <c r="GF91" s="75"/>
      <c r="GG91" s="75"/>
      <c r="GH91" s="75"/>
      <c r="GI91" s="75"/>
      <c r="GJ91" s="75">
        <f t="shared" si="15"/>
        <v>61</v>
      </c>
      <c r="GK91" s="75">
        <f t="shared" si="16"/>
        <v>0</v>
      </c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</row>
    <row r="92" spans="1:212" ht="1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FY92" s="76" t="s">
        <v>193</v>
      </c>
      <c r="FZ92" s="75">
        <f t="shared" si="14"/>
        <v>62</v>
      </c>
      <c r="GA92" s="75"/>
      <c r="GB92" s="75"/>
      <c r="GC92" s="75"/>
      <c r="GD92" s="75"/>
      <c r="GE92" s="75"/>
      <c r="GF92" s="75"/>
      <c r="GG92" s="75"/>
      <c r="GH92" s="75"/>
      <c r="GI92" s="75"/>
      <c r="GJ92" s="75">
        <f t="shared" si="15"/>
        <v>62</v>
      </c>
      <c r="GK92" s="75">
        <f t="shared" si="16"/>
        <v>0</v>
      </c>
      <c r="GL92" s="75"/>
      <c r="GM92" s="75"/>
      <c r="GN92" s="75">
        <v>1</v>
      </c>
      <c r="GO92" s="75"/>
      <c r="GP92" s="75">
        <v>1</v>
      </c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</row>
    <row r="93" spans="1:212" ht="1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FY93" s="76" t="s">
        <v>194</v>
      </c>
      <c r="FZ93" s="75">
        <f t="shared" si="14"/>
        <v>63</v>
      </c>
      <c r="GA93" s="75"/>
      <c r="GB93" s="75"/>
      <c r="GC93" s="75"/>
      <c r="GD93" s="75"/>
      <c r="GE93" s="75"/>
      <c r="GF93" s="75"/>
      <c r="GG93" s="75"/>
      <c r="GH93" s="75"/>
      <c r="GI93" s="75"/>
      <c r="GJ93" s="75">
        <f t="shared" si="15"/>
        <v>63</v>
      </c>
      <c r="GK93" s="75">
        <f t="shared" si="16"/>
        <v>0</v>
      </c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</row>
    <row r="94" spans="1:212" ht="1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FY94" s="76" t="s">
        <v>195</v>
      </c>
      <c r="FZ94" s="75">
        <f t="shared" si="14"/>
        <v>64</v>
      </c>
      <c r="GA94" s="75"/>
      <c r="GB94" s="75"/>
      <c r="GC94" s="75"/>
      <c r="GD94" s="75"/>
      <c r="GE94" s="75"/>
      <c r="GF94" s="75"/>
      <c r="GG94" s="75"/>
      <c r="GH94" s="75"/>
      <c r="GI94" s="75"/>
      <c r="GJ94" s="75">
        <f t="shared" si="15"/>
        <v>64</v>
      </c>
      <c r="GK94" s="75">
        <f t="shared" si="16"/>
        <v>0</v>
      </c>
      <c r="GL94" s="75"/>
      <c r="GM94" s="75"/>
      <c r="GN94" s="75"/>
      <c r="GO94" s="75">
        <v>1</v>
      </c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</row>
    <row r="95" spans="1:212" ht="1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FY95" s="76" t="s">
        <v>196</v>
      </c>
      <c r="FZ95" s="75">
        <f t="shared" si="14"/>
        <v>65</v>
      </c>
      <c r="GA95" s="75"/>
      <c r="GB95" s="75"/>
      <c r="GC95" s="75"/>
      <c r="GD95" s="75"/>
      <c r="GE95" s="75"/>
      <c r="GF95" s="75"/>
      <c r="GG95" s="75"/>
      <c r="GH95" s="75"/>
      <c r="GI95" s="75"/>
      <c r="GJ95" s="75">
        <f t="shared" si="15"/>
        <v>65</v>
      </c>
      <c r="GK95" s="75">
        <f t="shared" si="16"/>
        <v>0</v>
      </c>
      <c r="GL95" s="75"/>
      <c r="GM95" s="75"/>
      <c r="GN95" s="75"/>
      <c r="GO95" s="75"/>
      <c r="GP95" s="75">
        <v>1</v>
      </c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</row>
    <row r="96" spans="1:212" ht="1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FY96" s="76" t="s">
        <v>197</v>
      </c>
      <c r="FZ96" s="75">
        <f t="shared" si="14"/>
        <v>66</v>
      </c>
      <c r="GA96" s="75"/>
      <c r="GB96" s="75"/>
      <c r="GC96" s="75"/>
      <c r="GD96" s="75"/>
      <c r="GE96" s="75"/>
      <c r="GF96" s="75"/>
      <c r="GG96" s="75"/>
      <c r="GH96" s="75"/>
      <c r="GI96" s="75"/>
      <c r="GJ96" s="75">
        <f t="shared" si="15"/>
        <v>66</v>
      </c>
      <c r="GK96" s="75">
        <f t="shared" si="16"/>
        <v>0</v>
      </c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</row>
    <row r="97" spans="1:212" ht="1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FY97" s="76" t="s">
        <v>198</v>
      </c>
      <c r="FZ97" s="75">
        <f t="shared" si="14"/>
        <v>67</v>
      </c>
      <c r="GA97" s="75"/>
      <c r="GB97" s="75"/>
      <c r="GC97" s="75"/>
      <c r="GD97" s="75"/>
      <c r="GE97" s="75"/>
      <c r="GF97" s="75"/>
      <c r="GG97" s="75"/>
      <c r="GH97" s="75"/>
      <c r="GI97" s="75"/>
      <c r="GJ97" s="75">
        <f t="shared" si="15"/>
        <v>67</v>
      </c>
      <c r="GK97" s="75">
        <f t="shared" si="16"/>
        <v>0</v>
      </c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</row>
    <row r="98" spans="1:212" ht="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FY98" s="76" t="s">
        <v>199</v>
      </c>
      <c r="FZ98" s="75">
        <f t="shared" si="14"/>
        <v>68</v>
      </c>
      <c r="GA98" s="75"/>
      <c r="GB98" s="75"/>
      <c r="GC98" s="75"/>
      <c r="GD98" s="75"/>
      <c r="GE98" s="75"/>
      <c r="GF98" s="75"/>
      <c r="GG98" s="75"/>
      <c r="GH98" s="75"/>
      <c r="GI98" s="75"/>
      <c r="GJ98" s="75">
        <f t="shared" si="15"/>
        <v>68</v>
      </c>
      <c r="GK98" s="75">
        <f t="shared" si="16"/>
        <v>1</v>
      </c>
      <c r="GL98" s="75"/>
      <c r="GM98" s="75">
        <v>1</v>
      </c>
      <c r="GN98" s="75">
        <v>1</v>
      </c>
      <c r="GO98" s="75">
        <v>1</v>
      </c>
      <c r="GP98" s="75">
        <v>1</v>
      </c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</row>
    <row r="99" spans="1:212" ht="1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FY99" s="76" t="s">
        <v>200</v>
      </c>
      <c r="FZ99" s="75">
        <f t="shared" si="14"/>
        <v>69</v>
      </c>
      <c r="GA99" s="75"/>
      <c r="GB99" s="75"/>
      <c r="GC99" s="75"/>
      <c r="GD99" s="75"/>
      <c r="GE99" s="75"/>
      <c r="GF99" s="75"/>
      <c r="GG99" s="75"/>
      <c r="GH99" s="75"/>
      <c r="GI99" s="75"/>
      <c r="GJ99" s="75">
        <f t="shared" si="15"/>
        <v>69</v>
      </c>
      <c r="GK99" s="75">
        <f t="shared" si="16"/>
        <v>0</v>
      </c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</row>
    <row r="100" spans="1:212" ht="1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FY100" s="76" t="s">
        <v>201</v>
      </c>
      <c r="FZ100" s="75">
        <f t="shared" si="14"/>
        <v>70</v>
      </c>
      <c r="GA100" s="75"/>
      <c r="GB100" s="75"/>
      <c r="GC100" s="75"/>
      <c r="GD100" s="75"/>
      <c r="GE100" s="75"/>
      <c r="GF100" s="75"/>
      <c r="GG100" s="75"/>
      <c r="GH100" s="75"/>
      <c r="GI100" s="75"/>
      <c r="GJ100" s="75">
        <f t="shared" si="15"/>
        <v>70</v>
      </c>
      <c r="GK100" s="75">
        <f t="shared" si="16"/>
        <v>0</v>
      </c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</row>
    <row r="101" spans="1:212" ht="1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FY101" s="76" t="s">
        <v>202</v>
      </c>
      <c r="FZ101" s="75">
        <f t="shared" si="14"/>
        <v>71</v>
      </c>
      <c r="GA101" s="75"/>
      <c r="GB101" s="75"/>
      <c r="GC101" s="75"/>
      <c r="GD101" s="75"/>
      <c r="GE101" s="75"/>
      <c r="GF101" s="75"/>
      <c r="GG101" s="75"/>
      <c r="GH101" s="75"/>
      <c r="GI101" s="75"/>
      <c r="GJ101" s="75">
        <f t="shared" si="15"/>
        <v>71</v>
      </c>
      <c r="GK101" s="75">
        <f t="shared" si="16"/>
        <v>0</v>
      </c>
      <c r="GL101" s="75"/>
      <c r="GM101" s="75"/>
      <c r="GN101" s="75"/>
      <c r="GO101" s="75"/>
      <c r="GP101" s="75">
        <v>1</v>
      </c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</row>
    <row r="102" spans="1:212" ht="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FY102" s="76" t="s">
        <v>203</v>
      </c>
      <c r="FZ102" s="75">
        <f t="shared" si="14"/>
        <v>72</v>
      </c>
      <c r="GA102" s="75"/>
      <c r="GB102" s="75"/>
      <c r="GC102" s="75"/>
      <c r="GD102" s="75"/>
      <c r="GE102" s="75"/>
      <c r="GF102" s="75"/>
      <c r="GG102" s="75"/>
      <c r="GH102" s="75"/>
      <c r="GI102" s="75"/>
      <c r="GJ102" s="75">
        <f t="shared" si="15"/>
        <v>72</v>
      </c>
      <c r="GK102" s="75">
        <f t="shared" si="16"/>
        <v>0</v>
      </c>
      <c r="GL102" s="75"/>
      <c r="GM102" s="75"/>
      <c r="GN102" s="75"/>
      <c r="GO102" s="75">
        <v>1</v>
      </c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</row>
    <row r="103" spans="1:212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FY103" s="76" t="s">
        <v>204</v>
      </c>
      <c r="FZ103" s="75">
        <f t="shared" si="14"/>
        <v>73</v>
      </c>
      <c r="GA103" s="75"/>
      <c r="GB103" s="75"/>
      <c r="GC103" s="75"/>
      <c r="GD103" s="75"/>
      <c r="GE103" s="75"/>
      <c r="GF103" s="75"/>
      <c r="GG103" s="75"/>
      <c r="GH103" s="75"/>
      <c r="GI103" s="75"/>
      <c r="GJ103" s="75">
        <f t="shared" si="15"/>
        <v>73</v>
      </c>
      <c r="GK103" s="75">
        <f t="shared" si="16"/>
        <v>0</v>
      </c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</row>
    <row r="104" spans="1:212" ht="1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FY104" s="76" t="s">
        <v>205</v>
      </c>
      <c r="FZ104" s="75">
        <f t="shared" si="14"/>
        <v>74</v>
      </c>
      <c r="GA104" s="75"/>
      <c r="GB104" s="75"/>
      <c r="GC104" s="75"/>
      <c r="GD104" s="75"/>
      <c r="GE104" s="75"/>
      <c r="GF104" s="75"/>
      <c r="GG104" s="75"/>
      <c r="GH104" s="75"/>
      <c r="GI104" s="75"/>
      <c r="GJ104" s="75">
        <f t="shared" si="15"/>
        <v>74</v>
      </c>
      <c r="GK104" s="75">
        <f t="shared" si="16"/>
        <v>0</v>
      </c>
      <c r="GL104" s="75"/>
      <c r="GM104" s="75"/>
      <c r="GN104" s="75">
        <v>1</v>
      </c>
      <c r="GO104" s="75"/>
      <c r="GP104" s="75">
        <v>1</v>
      </c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</row>
    <row r="105" spans="1:212" ht="1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FY105" s="76" t="s">
        <v>206</v>
      </c>
      <c r="FZ105" s="75">
        <f t="shared" si="14"/>
        <v>75</v>
      </c>
      <c r="GA105" s="75"/>
      <c r="GB105" s="75"/>
      <c r="GC105" s="75"/>
      <c r="GD105" s="75"/>
      <c r="GE105" s="75"/>
      <c r="GF105" s="75"/>
      <c r="GG105" s="75"/>
      <c r="GH105" s="75"/>
      <c r="GI105" s="75"/>
      <c r="GJ105" s="75">
        <f t="shared" si="15"/>
        <v>75</v>
      </c>
      <c r="GK105" s="75">
        <f t="shared" si="16"/>
        <v>0</v>
      </c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</row>
    <row r="106" spans="1:212" ht="1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FY106" s="76" t="s">
        <v>207</v>
      </c>
      <c r="FZ106" s="75">
        <f t="shared" si="14"/>
        <v>76</v>
      </c>
      <c r="GA106" s="75"/>
      <c r="GB106" s="75"/>
      <c r="GC106" s="75"/>
      <c r="GD106" s="75"/>
      <c r="GE106" s="75"/>
      <c r="GF106" s="75"/>
      <c r="GG106" s="75"/>
      <c r="GH106" s="75"/>
      <c r="GI106" s="75"/>
      <c r="GJ106" s="75">
        <f t="shared" si="15"/>
        <v>76</v>
      </c>
      <c r="GK106" s="75">
        <f t="shared" si="16"/>
        <v>0</v>
      </c>
      <c r="GL106" s="75"/>
      <c r="GM106" s="75"/>
      <c r="GN106" s="75"/>
      <c r="GO106" s="75">
        <v>1</v>
      </c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</row>
    <row r="107" spans="1:212" ht="1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FY107" s="76" t="s">
        <v>208</v>
      </c>
      <c r="FZ107" s="75">
        <f t="shared" si="14"/>
        <v>77</v>
      </c>
      <c r="GA107" s="75"/>
      <c r="GB107" s="75"/>
      <c r="GC107" s="75"/>
      <c r="GD107" s="75"/>
      <c r="GE107" s="75"/>
      <c r="GF107" s="75"/>
      <c r="GG107" s="75"/>
      <c r="GH107" s="75"/>
      <c r="GI107" s="75"/>
      <c r="GJ107" s="75">
        <f t="shared" si="15"/>
        <v>77</v>
      </c>
      <c r="GK107" s="75">
        <f t="shared" si="16"/>
        <v>0</v>
      </c>
      <c r="GL107" s="75"/>
      <c r="GM107" s="75"/>
      <c r="GN107" s="75"/>
      <c r="GO107" s="75"/>
      <c r="GP107" s="75">
        <v>1</v>
      </c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</row>
    <row r="108" spans="1:212" ht="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FY108" s="76" t="s">
        <v>209</v>
      </c>
      <c r="FZ108" s="75">
        <f t="shared" si="14"/>
        <v>78</v>
      </c>
      <c r="GA108" s="75"/>
      <c r="GB108" s="75"/>
      <c r="GC108" s="75"/>
      <c r="GD108" s="75"/>
      <c r="GE108" s="75"/>
      <c r="GF108" s="75"/>
      <c r="GG108" s="75"/>
      <c r="GH108" s="75"/>
      <c r="GI108" s="75"/>
      <c r="GJ108" s="75">
        <f t="shared" si="15"/>
        <v>78</v>
      </c>
      <c r="GK108" s="75">
        <f t="shared" si="16"/>
        <v>0</v>
      </c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</row>
    <row r="109" spans="1:212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FY109" s="76" t="s">
        <v>210</v>
      </c>
      <c r="FZ109" s="75">
        <f t="shared" si="14"/>
        <v>79</v>
      </c>
      <c r="GA109" s="75"/>
      <c r="GB109" s="75"/>
      <c r="GC109" s="75"/>
      <c r="GD109" s="75"/>
      <c r="GE109" s="75"/>
      <c r="GF109" s="75"/>
      <c r="GG109" s="75"/>
      <c r="GH109" s="75"/>
      <c r="GI109" s="75"/>
      <c r="GJ109" s="75">
        <f t="shared" si="15"/>
        <v>79</v>
      </c>
      <c r="GK109" s="75">
        <f t="shared" si="16"/>
        <v>0</v>
      </c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</row>
    <row r="110" spans="1:212" ht="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FY110" s="76" t="s">
        <v>211</v>
      </c>
      <c r="FZ110" s="75">
        <f t="shared" si="14"/>
        <v>80</v>
      </c>
      <c r="GA110" s="75"/>
      <c r="GB110" s="75"/>
      <c r="GC110" s="75"/>
      <c r="GD110" s="75"/>
      <c r="GE110" s="75"/>
      <c r="GF110" s="75"/>
      <c r="GG110" s="75"/>
      <c r="GH110" s="75"/>
      <c r="GI110" s="75"/>
      <c r="GJ110" s="75">
        <f t="shared" si="15"/>
        <v>80</v>
      </c>
      <c r="GK110" s="75">
        <f t="shared" si="16"/>
        <v>1</v>
      </c>
      <c r="GL110" s="75"/>
      <c r="GM110" s="75">
        <v>1</v>
      </c>
      <c r="GN110" s="75">
        <v>1</v>
      </c>
      <c r="GO110" s="75">
        <v>1</v>
      </c>
      <c r="GP110" s="75">
        <v>1</v>
      </c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</row>
    <row r="111" spans="1:212" ht="1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FY111" s="76" t="s">
        <v>212</v>
      </c>
      <c r="FZ111" s="75">
        <f t="shared" si="14"/>
        <v>81</v>
      </c>
      <c r="GA111" s="75"/>
      <c r="GB111" s="75"/>
      <c r="GC111" s="75"/>
      <c r="GD111" s="75"/>
      <c r="GE111" s="75"/>
      <c r="GF111" s="75"/>
      <c r="GG111" s="75"/>
      <c r="GH111" s="75"/>
      <c r="GI111" s="75"/>
      <c r="GJ111" s="75">
        <f t="shared" si="15"/>
        <v>81</v>
      </c>
      <c r="GK111" s="75">
        <f t="shared" si="16"/>
        <v>0</v>
      </c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</row>
    <row r="112" spans="1:212" ht="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FY112" s="76" t="s">
        <v>213</v>
      </c>
      <c r="FZ112" s="75">
        <f t="shared" si="14"/>
        <v>82</v>
      </c>
      <c r="GA112" s="75"/>
      <c r="GB112" s="75"/>
      <c r="GC112" s="75"/>
      <c r="GD112" s="75"/>
      <c r="GE112" s="75"/>
      <c r="GF112" s="75"/>
      <c r="GG112" s="75"/>
      <c r="GH112" s="75"/>
      <c r="GI112" s="75"/>
      <c r="GJ112" s="75">
        <f t="shared" si="15"/>
        <v>82</v>
      </c>
      <c r="GK112" s="75">
        <f t="shared" si="16"/>
        <v>0</v>
      </c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</row>
    <row r="113" spans="1:212" ht="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FY113" s="76" t="s">
        <v>214</v>
      </c>
      <c r="FZ113" s="75">
        <f t="shared" si="14"/>
        <v>83</v>
      </c>
      <c r="GA113" s="75"/>
      <c r="GB113" s="75"/>
      <c r="GC113" s="75"/>
      <c r="GD113" s="75"/>
      <c r="GE113" s="75"/>
      <c r="GF113" s="75"/>
      <c r="GG113" s="75"/>
      <c r="GH113" s="75"/>
      <c r="GI113" s="75"/>
      <c r="GJ113" s="75">
        <f t="shared" si="15"/>
        <v>83</v>
      </c>
      <c r="GK113" s="75">
        <f t="shared" si="16"/>
        <v>0</v>
      </c>
      <c r="GL113" s="75"/>
      <c r="GM113" s="75"/>
      <c r="GN113" s="75"/>
      <c r="GO113" s="75"/>
      <c r="GP113" s="75">
        <v>1</v>
      </c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</row>
    <row r="114" spans="1:212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FY114" s="76" t="s">
        <v>215</v>
      </c>
      <c r="FZ114" s="75">
        <f t="shared" si="14"/>
        <v>84</v>
      </c>
      <c r="GA114" s="75"/>
      <c r="GB114" s="75"/>
      <c r="GC114" s="75"/>
      <c r="GD114" s="75"/>
      <c r="GE114" s="75"/>
      <c r="GF114" s="75"/>
      <c r="GG114" s="75"/>
      <c r="GH114" s="75"/>
      <c r="GI114" s="75"/>
      <c r="GJ114" s="75">
        <f t="shared" si="15"/>
        <v>84</v>
      </c>
      <c r="GK114" s="75">
        <f t="shared" si="16"/>
        <v>0</v>
      </c>
      <c r="GL114" s="75"/>
      <c r="GM114" s="75"/>
      <c r="GN114" s="75"/>
      <c r="GO114" s="75">
        <v>1</v>
      </c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</row>
    <row r="115" spans="1:212" ht="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FY115" s="76" t="s">
        <v>216</v>
      </c>
      <c r="FZ115" s="75">
        <f t="shared" si="14"/>
        <v>85</v>
      </c>
      <c r="GA115" s="75"/>
      <c r="GB115" s="75"/>
      <c r="GC115" s="75"/>
      <c r="GD115" s="75"/>
      <c r="GE115" s="75"/>
      <c r="GF115" s="75"/>
      <c r="GG115" s="75"/>
      <c r="GH115" s="75"/>
      <c r="GI115" s="75"/>
      <c r="GJ115" s="75">
        <f t="shared" si="15"/>
        <v>85</v>
      </c>
      <c r="GK115" s="75">
        <f t="shared" si="16"/>
        <v>0</v>
      </c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</row>
    <row r="116" spans="1:212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FY116" s="76" t="s">
        <v>217</v>
      </c>
      <c r="FZ116" s="75">
        <f t="shared" si="14"/>
        <v>86</v>
      </c>
      <c r="GA116" s="75"/>
      <c r="GB116" s="75"/>
      <c r="GC116" s="75"/>
      <c r="GD116" s="75"/>
      <c r="GE116" s="75"/>
      <c r="GF116" s="75"/>
      <c r="GG116" s="75"/>
      <c r="GH116" s="75"/>
      <c r="GI116" s="75"/>
      <c r="GJ116" s="75">
        <f t="shared" si="15"/>
        <v>86</v>
      </c>
      <c r="GK116" s="75">
        <f t="shared" si="16"/>
        <v>0</v>
      </c>
      <c r="GL116" s="75"/>
      <c r="GM116" s="75"/>
      <c r="GN116" s="75">
        <v>1</v>
      </c>
      <c r="GO116" s="75"/>
      <c r="GP116" s="75">
        <v>1</v>
      </c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</row>
    <row r="117" spans="1:212" ht="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FY117" s="76" t="s">
        <v>218</v>
      </c>
      <c r="FZ117" s="75">
        <f t="shared" si="14"/>
        <v>87</v>
      </c>
      <c r="GA117" s="75"/>
      <c r="GB117" s="75"/>
      <c r="GC117" s="75"/>
      <c r="GD117" s="75"/>
      <c r="GE117" s="75"/>
      <c r="GF117" s="75"/>
      <c r="GG117" s="75"/>
      <c r="GH117" s="75"/>
      <c r="GI117" s="75"/>
      <c r="GJ117" s="75">
        <f t="shared" si="15"/>
        <v>87</v>
      </c>
      <c r="GK117" s="75">
        <f t="shared" si="16"/>
        <v>0</v>
      </c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</row>
    <row r="118" spans="1:212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FY118" s="76" t="s">
        <v>219</v>
      </c>
      <c r="FZ118" s="75">
        <f t="shared" si="14"/>
        <v>88</v>
      </c>
      <c r="GA118" s="75"/>
      <c r="GB118" s="75"/>
      <c r="GC118" s="75"/>
      <c r="GD118" s="75"/>
      <c r="GE118" s="75"/>
      <c r="GF118" s="75"/>
      <c r="GG118" s="75"/>
      <c r="GH118" s="75"/>
      <c r="GI118" s="75"/>
      <c r="GJ118" s="75">
        <f t="shared" si="15"/>
        <v>88</v>
      </c>
      <c r="GK118" s="75">
        <f t="shared" si="16"/>
        <v>0</v>
      </c>
      <c r="GL118" s="75"/>
      <c r="GM118" s="75"/>
      <c r="GN118" s="75"/>
      <c r="GO118" s="75">
        <v>1</v>
      </c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</row>
    <row r="119" spans="1:212" ht="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FY119" s="76" t="s">
        <v>220</v>
      </c>
      <c r="FZ119" s="75">
        <f t="shared" si="14"/>
        <v>89</v>
      </c>
      <c r="GA119" s="75"/>
      <c r="GB119" s="75"/>
      <c r="GC119" s="75"/>
      <c r="GD119" s="75"/>
      <c r="GE119" s="75"/>
      <c r="GF119" s="75"/>
      <c r="GG119" s="75"/>
      <c r="GH119" s="75"/>
      <c r="GI119" s="75"/>
      <c r="GJ119" s="75">
        <f t="shared" si="15"/>
        <v>89</v>
      </c>
      <c r="GK119" s="75">
        <f t="shared" si="16"/>
        <v>0</v>
      </c>
      <c r="GL119" s="75"/>
      <c r="GM119" s="75"/>
      <c r="GN119" s="75"/>
      <c r="GO119" s="75"/>
      <c r="GP119" s="75">
        <v>1</v>
      </c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</row>
    <row r="120" spans="1:212" ht="1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FY120" s="76" t="s">
        <v>221</v>
      </c>
      <c r="FZ120" s="75">
        <f t="shared" si="14"/>
        <v>90</v>
      </c>
      <c r="GA120" s="75"/>
      <c r="GB120" s="75"/>
      <c r="GC120" s="75"/>
      <c r="GD120" s="75"/>
      <c r="GE120" s="75"/>
      <c r="GF120" s="75"/>
      <c r="GG120" s="75"/>
      <c r="GH120" s="75"/>
      <c r="GI120" s="75"/>
      <c r="GJ120" s="75">
        <f t="shared" si="15"/>
        <v>90</v>
      </c>
      <c r="GK120" s="75">
        <f t="shared" si="16"/>
        <v>0</v>
      </c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</row>
    <row r="121" spans="1:212" ht="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FY121" s="76" t="s">
        <v>222</v>
      </c>
      <c r="FZ121" s="75">
        <f t="shared" si="14"/>
        <v>91</v>
      </c>
      <c r="GA121" s="75"/>
      <c r="GB121" s="75"/>
      <c r="GC121" s="75"/>
      <c r="GD121" s="75"/>
      <c r="GE121" s="75"/>
      <c r="GF121" s="75"/>
      <c r="GG121" s="75"/>
      <c r="GH121" s="75"/>
      <c r="GI121" s="75"/>
      <c r="GJ121" s="75">
        <f t="shared" si="15"/>
        <v>91</v>
      </c>
      <c r="GK121" s="75">
        <f t="shared" si="16"/>
        <v>0</v>
      </c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</row>
    <row r="122" spans="1:212" ht="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FY122" s="76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>
        <f t="shared" si="15"/>
        <v>92</v>
      </c>
      <c r="GK122" s="75">
        <f t="shared" si="16"/>
        <v>1</v>
      </c>
      <c r="GL122" s="75"/>
      <c r="GM122" s="75">
        <v>1</v>
      </c>
      <c r="GN122" s="75">
        <v>1</v>
      </c>
      <c r="GO122" s="75">
        <v>1</v>
      </c>
      <c r="GP122" s="75">
        <v>1</v>
      </c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</row>
    <row r="123" spans="1:212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FY123" s="76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>
        <f t="shared" si="15"/>
        <v>93</v>
      </c>
      <c r="GK123" s="75">
        <f t="shared" si="16"/>
        <v>0</v>
      </c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</row>
    <row r="124" spans="1:212" ht="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FY124" s="76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>
        <f t="shared" si="15"/>
        <v>94</v>
      </c>
      <c r="GK124" s="75">
        <f t="shared" si="16"/>
        <v>0</v>
      </c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</row>
    <row r="125" spans="1:212" ht="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FY125" s="76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>
        <f t="shared" si="15"/>
        <v>95</v>
      </c>
      <c r="GK125" s="75">
        <f t="shared" si="16"/>
        <v>0</v>
      </c>
      <c r="GL125" s="75"/>
      <c r="GM125" s="75"/>
      <c r="GN125" s="75"/>
      <c r="GO125" s="75"/>
      <c r="GP125" s="75">
        <v>1</v>
      </c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</row>
    <row r="126" spans="1:212" ht="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FY126" s="76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>
        <f t="shared" si="15"/>
        <v>96</v>
      </c>
      <c r="GK126" s="75">
        <f t="shared" si="16"/>
        <v>0</v>
      </c>
      <c r="GL126" s="75"/>
      <c r="GM126" s="75"/>
      <c r="GN126" s="75"/>
      <c r="GO126" s="75">
        <v>1</v>
      </c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</row>
    <row r="127" spans="1:212" ht="1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FY127" s="76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>
        <f t="shared" si="15"/>
        <v>97</v>
      </c>
      <c r="GK127" s="75">
        <f t="shared" si="16"/>
        <v>0</v>
      </c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</row>
    <row r="128" spans="1:212" ht="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FY128" s="76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>
        <f t="shared" si="15"/>
        <v>98</v>
      </c>
      <c r="GK128" s="75">
        <f t="shared" si="16"/>
        <v>0</v>
      </c>
      <c r="GL128" s="75"/>
      <c r="GM128" s="75"/>
      <c r="GN128" s="75">
        <v>1</v>
      </c>
      <c r="GO128" s="75"/>
      <c r="GP128" s="75">
        <v>1</v>
      </c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</row>
    <row r="129" spans="1:212" ht="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FY129" s="76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>
        <f t="shared" si="15"/>
        <v>99</v>
      </c>
      <c r="GK129" s="75">
        <f t="shared" si="16"/>
        <v>0</v>
      </c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</row>
    <row r="130" spans="1:212" ht="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FY130" s="76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>
        <f t="shared" si="15"/>
        <v>100</v>
      </c>
      <c r="GK130" s="75">
        <f t="shared" si="16"/>
        <v>0</v>
      </c>
      <c r="GL130" s="75"/>
      <c r="GM130" s="75"/>
      <c r="GN130" s="75"/>
      <c r="GO130" s="75">
        <v>1</v>
      </c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</row>
    <row r="131" spans="1:212" ht="1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FY131" s="76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>
        <f t="shared" si="15"/>
        <v>101</v>
      </c>
      <c r="GK131" s="75">
        <f t="shared" si="16"/>
        <v>0</v>
      </c>
      <c r="GL131" s="75"/>
      <c r="GM131" s="75"/>
      <c r="GN131" s="75"/>
      <c r="GO131" s="75"/>
      <c r="GP131" s="75">
        <v>1</v>
      </c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</row>
    <row r="132" spans="1:212" ht="1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FY132" s="76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>
        <f aca="true" t="shared" si="17" ref="GJ132:GJ173">+GJ131+1</f>
        <v>102</v>
      </c>
      <c r="GK132" s="75">
        <f t="shared" si="16"/>
        <v>0</v>
      </c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</row>
    <row r="133" spans="1:212" ht="1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FY133" s="76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>
        <f t="shared" si="17"/>
        <v>103</v>
      </c>
      <c r="GK133" s="75">
        <f aca="true" t="shared" si="18" ref="GK133:GK173">+IF($C$8=$GM$1,GM133,IF($C$8=$GN$1,GN133,IF($C$8=$GO$1,GO133,IF($C$8=$GP$1,GP133,0))))</f>
        <v>0</v>
      </c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</row>
    <row r="134" spans="1:212" ht="1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FY134" s="76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>
        <f t="shared" si="17"/>
        <v>104</v>
      </c>
      <c r="GK134" s="75">
        <f t="shared" si="18"/>
        <v>1</v>
      </c>
      <c r="GL134" s="75"/>
      <c r="GM134" s="75">
        <v>1</v>
      </c>
      <c r="GN134" s="75">
        <v>1</v>
      </c>
      <c r="GO134" s="75">
        <v>1</v>
      </c>
      <c r="GP134" s="75">
        <v>1</v>
      </c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</row>
    <row r="135" spans="1:212" ht="1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FY135" s="76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>
        <f t="shared" si="17"/>
        <v>105</v>
      </c>
      <c r="GK135" s="75">
        <f t="shared" si="18"/>
        <v>0</v>
      </c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</row>
    <row r="136" spans="1:212" ht="1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FY136" s="76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>
        <f t="shared" si="17"/>
        <v>106</v>
      </c>
      <c r="GK136" s="75">
        <f t="shared" si="18"/>
        <v>0</v>
      </c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</row>
    <row r="137" spans="1:212" ht="1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FY137" s="76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>
        <f t="shared" si="17"/>
        <v>107</v>
      </c>
      <c r="GK137" s="75">
        <f t="shared" si="18"/>
        <v>0</v>
      </c>
      <c r="GL137" s="75"/>
      <c r="GM137" s="75"/>
      <c r="GN137" s="75"/>
      <c r="GO137" s="75"/>
      <c r="GP137" s="75">
        <v>1</v>
      </c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</row>
    <row r="138" spans="1:212" ht="1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FY138" s="76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>
        <f t="shared" si="17"/>
        <v>108</v>
      </c>
      <c r="GK138" s="75">
        <f t="shared" si="18"/>
        <v>0</v>
      </c>
      <c r="GL138" s="75"/>
      <c r="GM138" s="75"/>
      <c r="GN138" s="75"/>
      <c r="GO138" s="75">
        <v>1</v>
      </c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</row>
    <row r="139" spans="1:212" ht="1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FY139" s="76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>
        <f t="shared" si="17"/>
        <v>109</v>
      </c>
      <c r="GK139" s="75">
        <f t="shared" si="18"/>
        <v>0</v>
      </c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</row>
    <row r="140" spans="1:212" ht="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FY140" s="76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>
        <f t="shared" si="17"/>
        <v>110</v>
      </c>
      <c r="GK140" s="75">
        <f t="shared" si="18"/>
        <v>0</v>
      </c>
      <c r="GL140" s="75"/>
      <c r="GM140" s="75"/>
      <c r="GN140" s="75">
        <v>1</v>
      </c>
      <c r="GO140" s="75"/>
      <c r="GP140" s="75">
        <v>1</v>
      </c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</row>
    <row r="141" spans="1:212" ht="1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FY141" s="76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>
        <f t="shared" si="17"/>
        <v>111</v>
      </c>
      <c r="GK141" s="75">
        <f t="shared" si="18"/>
        <v>0</v>
      </c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</row>
    <row r="142" spans="1:212" ht="1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FY142" s="76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>
        <f t="shared" si="17"/>
        <v>112</v>
      </c>
      <c r="GK142" s="75">
        <f t="shared" si="18"/>
        <v>0</v>
      </c>
      <c r="GL142" s="75"/>
      <c r="GM142" s="75"/>
      <c r="GN142" s="75"/>
      <c r="GO142" s="75">
        <v>1</v>
      </c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</row>
    <row r="143" spans="1:212" ht="1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FY143" s="76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>
        <f t="shared" si="17"/>
        <v>113</v>
      </c>
      <c r="GK143" s="75">
        <f t="shared" si="18"/>
        <v>0</v>
      </c>
      <c r="GL143" s="75"/>
      <c r="GM143" s="75"/>
      <c r="GN143" s="75"/>
      <c r="GO143" s="75"/>
      <c r="GP143" s="75">
        <v>1</v>
      </c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</row>
    <row r="144" spans="1:212" ht="1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FY144" s="76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>
        <f t="shared" si="17"/>
        <v>114</v>
      </c>
      <c r="GK144" s="75">
        <f t="shared" si="18"/>
        <v>0</v>
      </c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</row>
    <row r="145" spans="1:212" ht="1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FY145" s="76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>
        <f t="shared" si="17"/>
        <v>115</v>
      </c>
      <c r="GK145" s="75">
        <f t="shared" si="18"/>
        <v>0</v>
      </c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</row>
    <row r="146" spans="1:212" ht="1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FY146" s="76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>
        <f t="shared" si="17"/>
        <v>116</v>
      </c>
      <c r="GK146" s="75">
        <f t="shared" si="18"/>
        <v>1</v>
      </c>
      <c r="GL146" s="75"/>
      <c r="GM146" s="75">
        <v>1</v>
      </c>
      <c r="GN146" s="75">
        <v>1</v>
      </c>
      <c r="GO146" s="75">
        <v>1</v>
      </c>
      <c r="GP146" s="75">
        <v>1</v>
      </c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</row>
    <row r="147" spans="1:212" ht="1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FY147" s="76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>
        <f t="shared" si="17"/>
        <v>117</v>
      </c>
      <c r="GK147" s="75">
        <f t="shared" si="18"/>
        <v>0</v>
      </c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</row>
    <row r="148" spans="1:212" ht="1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FY148" s="76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>
        <f t="shared" si="17"/>
        <v>118</v>
      </c>
      <c r="GK148" s="75">
        <f t="shared" si="18"/>
        <v>0</v>
      </c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</row>
    <row r="149" spans="1:212" ht="1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FY149" s="76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>
        <f t="shared" si="17"/>
        <v>119</v>
      </c>
      <c r="GK149" s="75">
        <f t="shared" si="18"/>
        <v>0</v>
      </c>
      <c r="GL149" s="75"/>
      <c r="GM149" s="75"/>
      <c r="GN149" s="75"/>
      <c r="GO149" s="75"/>
      <c r="GP149" s="75">
        <v>1</v>
      </c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</row>
    <row r="150" spans="1:212" ht="1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FY150" s="76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>
        <f t="shared" si="17"/>
        <v>120</v>
      </c>
      <c r="GK150" s="75">
        <f t="shared" si="18"/>
        <v>0</v>
      </c>
      <c r="GL150" s="75"/>
      <c r="GM150" s="75"/>
      <c r="GN150" s="75"/>
      <c r="GO150" s="75">
        <v>1</v>
      </c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</row>
    <row r="151" spans="1:212" ht="1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FY151" s="76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>
        <f t="shared" si="17"/>
        <v>121</v>
      </c>
      <c r="GK151" s="75">
        <f t="shared" si="18"/>
        <v>0</v>
      </c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</row>
    <row r="152" spans="1:212" ht="1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FY152" s="76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>
        <f t="shared" si="17"/>
        <v>122</v>
      </c>
      <c r="GK152" s="75">
        <f t="shared" si="18"/>
        <v>0</v>
      </c>
      <c r="GL152" s="75"/>
      <c r="GM152" s="75"/>
      <c r="GN152" s="75">
        <v>1</v>
      </c>
      <c r="GO152" s="75"/>
      <c r="GP152" s="75">
        <v>1</v>
      </c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</row>
    <row r="153" spans="1:212" ht="1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FY153" s="76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>
        <f t="shared" si="17"/>
        <v>123</v>
      </c>
      <c r="GK153" s="75">
        <f t="shared" si="18"/>
        <v>0</v>
      </c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</row>
    <row r="154" spans="1:212" ht="1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FY154" s="76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>
        <f t="shared" si="17"/>
        <v>124</v>
      </c>
      <c r="GK154" s="75">
        <f t="shared" si="18"/>
        <v>0</v>
      </c>
      <c r="GL154" s="75"/>
      <c r="GM154" s="75"/>
      <c r="GN154" s="75"/>
      <c r="GO154" s="75">
        <v>1</v>
      </c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</row>
    <row r="155" spans="1:212" ht="1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FY155" s="76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>
        <f t="shared" si="17"/>
        <v>125</v>
      </c>
      <c r="GK155" s="75">
        <f t="shared" si="18"/>
        <v>0</v>
      </c>
      <c r="GL155" s="75"/>
      <c r="GM155" s="75"/>
      <c r="GN155" s="75"/>
      <c r="GO155" s="75"/>
      <c r="GP155" s="75">
        <v>1</v>
      </c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</row>
    <row r="156" spans="1:212" ht="1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FY156" s="76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>
        <f t="shared" si="17"/>
        <v>126</v>
      </c>
      <c r="GK156" s="75">
        <f t="shared" si="18"/>
        <v>0</v>
      </c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</row>
    <row r="157" spans="1:212" ht="1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FY157" s="76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>
        <f t="shared" si="17"/>
        <v>127</v>
      </c>
      <c r="GK157" s="75">
        <f t="shared" si="18"/>
        <v>0</v>
      </c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</row>
    <row r="158" spans="1:212" ht="1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FY158" s="76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>
        <f t="shared" si="17"/>
        <v>128</v>
      </c>
      <c r="GK158" s="75">
        <f t="shared" si="18"/>
        <v>1</v>
      </c>
      <c r="GL158" s="75"/>
      <c r="GM158" s="75">
        <v>1</v>
      </c>
      <c r="GN158" s="75">
        <v>1</v>
      </c>
      <c r="GO158" s="75">
        <v>1</v>
      </c>
      <c r="GP158" s="75">
        <v>1</v>
      </c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</row>
    <row r="159" spans="1:212" ht="1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FY159" s="76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>
        <f t="shared" si="17"/>
        <v>129</v>
      </c>
      <c r="GK159" s="75">
        <f t="shared" si="18"/>
        <v>0</v>
      </c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</row>
    <row r="160" spans="1:212" ht="1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FY160" s="76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>
        <f t="shared" si="17"/>
        <v>130</v>
      </c>
      <c r="GK160" s="75">
        <f t="shared" si="18"/>
        <v>0</v>
      </c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</row>
    <row r="161" spans="1:212" ht="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FY161" s="76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>
        <f t="shared" si="17"/>
        <v>131</v>
      </c>
      <c r="GK161" s="75">
        <f t="shared" si="18"/>
        <v>0</v>
      </c>
      <c r="GL161" s="75"/>
      <c r="GM161" s="75"/>
      <c r="GN161" s="75"/>
      <c r="GO161" s="75"/>
      <c r="GP161" s="75">
        <v>1</v>
      </c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</row>
    <row r="162" spans="1:212" ht="1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FY162" s="76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>
        <f t="shared" si="17"/>
        <v>132</v>
      </c>
      <c r="GK162" s="75">
        <f t="shared" si="18"/>
        <v>0</v>
      </c>
      <c r="GL162" s="75"/>
      <c r="GM162" s="75"/>
      <c r="GN162" s="75"/>
      <c r="GO162" s="75">
        <v>1</v>
      </c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</row>
    <row r="163" spans="1:212" ht="1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FY163" s="76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>
        <f t="shared" si="17"/>
        <v>133</v>
      </c>
      <c r="GK163" s="75">
        <f t="shared" si="18"/>
        <v>0</v>
      </c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</row>
    <row r="164" spans="1:212" ht="1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FY164" s="76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>
        <f t="shared" si="17"/>
        <v>134</v>
      </c>
      <c r="GK164" s="75">
        <f t="shared" si="18"/>
        <v>0</v>
      </c>
      <c r="GL164" s="75"/>
      <c r="GM164" s="75"/>
      <c r="GN164" s="75">
        <v>1</v>
      </c>
      <c r="GO164" s="75"/>
      <c r="GP164" s="75">
        <v>1</v>
      </c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</row>
    <row r="165" spans="1:212" ht="1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FY165" s="76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>
        <f t="shared" si="17"/>
        <v>135</v>
      </c>
      <c r="GK165" s="75">
        <f t="shared" si="18"/>
        <v>0</v>
      </c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</row>
    <row r="166" spans="1:212" ht="1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FY166" s="76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>
        <f t="shared" si="17"/>
        <v>136</v>
      </c>
      <c r="GK166" s="75">
        <f t="shared" si="18"/>
        <v>0</v>
      </c>
      <c r="GL166" s="75"/>
      <c r="GM166" s="75"/>
      <c r="GN166" s="75"/>
      <c r="GO166" s="75">
        <v>1</v>
      </c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</row>
    <row r="167" spans="1:212" ht="1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FY167" s="76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>
        <f t="shared" si="17"/>
        <v>137</v>
      </c>
      <c r="GK167" s="75">
        <f t="shared" si="18"/>
        <v>0</v>
      </c>
      <c r="GL167" s="75"/>
      <c r="GM167" s="75"/>
      <c r="GN167" s="75"/>
      <c r="GO167" s="75"/>
      <c r="GP167" s="75">
        <v>1</v>
      </c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</row>
    <row r="168" spans="1:212" ht="1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FY168" s="76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>
        <f t="shared" si="17"/>
        <v>138</v>
      </c>
      <c r="GK168" s="75">
        <f t="shared" si="18"/>
        <v>0</v>
      </c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</row>
    <row r="169" spans="1:212" ht="1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FY169" s="76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>
        <f t="shared" si="17"/>
        <v>139</v>
      </c>
      <c r="GK169" s="75">
        <f t="shared" si="18"/>
        <v>0</v>
      </c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</row>
    <row r="170" spans="1:212" ht="1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FY170" s="76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>
        <f t="shared" si="17"/>
        <v>140</v>
      </c>
      <c r="GK170" s="75">
        <f t="shared" si="18"/>
        <v>1</v>
      </c>
      <c r="GL170" s="75"/>
      <c r="GM170" s="75">
        <v>1</v>
      </c>
      <c r="GN170" s="75">
        <v>1</v>
      </c>
      <c r="GO170" s="75">
        <v>1</v>
      </c>
      <c r="GP170" s="75">
        <v>1</v>
      </c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</row>
    <row r="171" spans="1:212" ht="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FY171" s="76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>
        <f t="shared" si="17"/>
        <v>141</v>
      </c>
      <c r="GK171" s="75">
        <f t="shared" si="18"/>
        <v>0</v>
      </c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</row>
    <row r="172" spans="1:212" ht="1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FY172" s="76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>
        <f t="shared" si="17"/>
        <v>142</v>
      </c>
      <c r="GK172" s="75">
        <f t="shared" si="18"/>
        <v>0</v>
      </c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</row>
    <row r="173" spans="1:212" ht="1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FY173" s="76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>
        <f t="shared" si="17"/>
        <v>143</v>
      </c>
      <c r="GK173" s="75">
        <f t="shared" si="18"/>
        <v>0</v>
      </c>
      <c r="GL173" s="75"/>
      <c r="GM173" s="75"/>
      <c r="GN173" s="75"/>
      <c r="GO173" s="75"/>
      <c r="GP173" s="75">
        <v>1</v>
      </c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</row>
    <row r="174" spans="1:212" ht="1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FY174" s="76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>
        <v>1</v>
      </c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</row>
    <row r="175" spans="1:212" ht="1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FY175" s="76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</row>
    <row r="176" spans="1:212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FY176" s="76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>
        <v>1</v>
      </c>
      <c r="GO176" s="75"/>
      <c r="GP176" s="75">
        <v>1</v>
      </c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</row>
    <row r="177" spans="1:212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FY177" s="76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</row>
    <row r="178" spans="1:212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FY178" s="76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>
        <v>1</v>
      </c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</row>
    <row r="179" spans="1:212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FY179" s="76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>
        <v>1</v>
      </c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</row>
    <row r="180" spans="1:212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FY180" s="76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</row>
    <row r="181" spans="1:212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FY181" s="76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</row>
    <row r="182" spans="1:212" ht="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FY182" s="76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>
        <v>1</v>
      </c>
      <c r="GN182" s="75">
        <v>1</v>
      </c>
      <c r="GO182" s="75">
        <v>1</v>
      </c>
      <c r="GP182" s="75">
        <v>1</v>
      </c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</row>
    <row r="183" spans="1:212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FY183" s="76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>
        <v>1</v>
      </c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</row>
    <row r="184" spans="1:212" ht="1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FY184" s="76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>
        <v>1</v>
      </c>
      <c r="GN184" s="75">
        <v>1</v>
      </c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</row>
    <row r="185" spans="1:212" ht="1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FY185" s="76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>
        <v>1</v>
      </c>
      <c r="GN185" s="75"/>
      <c r="GO185" s="75">
        <v>1</v>
      </c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</row>
    <row r="186" spans="1:212" ht="1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FY186" s="76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>
        <v>1</v>
      </c>
      <c r="GN186" s="75">
        <v>1</v>
      </c>
      <c r="GO186" s="75"/>
      <c r="GP186" s="75">
        <v>1</v>
      </c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</row>
    <row r="187" spans="1:212" ht="1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FY187" s="76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>
        <v>1</v>
      </c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</row>
    <row r="188" spans="1:212" ht="1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FY188" s="76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>
        <v>1</v>
      </c>
      <c r="GN188" s="75">
        <v>1</v>
      </c>
      <c r="GO188" s="75">
        <v>1</v>
      </c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</row>
    <row r="189" spans="1:212" ht="1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FY189" s="76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>
        <v>1</v>
      </c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</row>
    <row r="190" spans="1:212" ht="1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FY190" s="76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>
        <v>1</v>
      </c>
      <c r="GN190" s="75">
        <v>1</v>
      </c>
      <c r="GO190" s="75"/>
      <c r="GP190" s="75">
        <v>1</v>
      </c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</row>
    <row r="191" spans="1:212" ht="1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FY191" s="76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>
        <v>1</v>
      </c>
      <c r="GN191" s="75"/>
      <c r="GO191" s="75">
        <v>1</v>
      </c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</row>
    <row r="192" spans="1:212" ht="1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FY192" s="76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>
        <v>1</v>
      </c>
      <c r="GN192" s="75">
        <v>1</v>
      </c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</row>
    <row r="193" spans="1:212" ht="1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FY193" s="76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>
        <v>1</v>
      </c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</row>
    <row r="194" spans="1:212" ht="1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FY194" s="76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>
        <v>1</v>
      </c>
      <c r="GN194" s="75">
        <v>1</v>
      </c>
      <c r="GO194" s="75">
        <v>1</v>
      </c>
      <c r="GP194" s="75">
        <v>1</v>
      </c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</row>
    <row r="195" spans="1:212" ht="1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FY195" s="76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>
        <v>1</v>
      </c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</row>
    <row r="196" spans="1:212" ht="1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FY196" s="76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>
        <v>1</v>
      </c>
      <c r="GN196" s="75">
        <v>1</v>
      </c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</row>
    <row r="197" spans="1:212" ht="1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FY197" s="76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>
        <v>1</v>
      </c>
      <c r="GN197" s="75"/>
      <c r="GO197" s="75">
        <v>1</v>
      </c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</row>
    <row r="198" spans="1:212" ht="1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FY198" s="76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>
        <v>1</v>
      </c>
      <c r="GN198" s="75">
        <v>1</v>
      </c>
      <c r="GO198" s="75"/>
      <c r="GP198" s="75">
        <v>1</v>
      </c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</row>
    <row r="199" spans="1:212" ht="1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FY199" s="76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>
        <v>1</v>
      </c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</row>
    <row r="200" spans="1:212" ht="1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FY200" s="76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>
        <v>1</v>
      </c>
      <c r="GN200" s="75">
        <v>1</v>
      </c>
      <c r="GO200" s="75">
        <v>1</v>
      </c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</row>
    <row r="201" spans="1:212" ht="1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FY201" s="76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>
        <v>1</v>
      </c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</row>
    <row r="202" spans="1:212" ht="1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FY202" s="76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>
        <v>1</v>
      </c>
      <c r="GN202" s="75">
        <v>1</v>
      </c>
      <c r="GO202" s="75"/>
      <c r="GP202" s="75">
        <v>1</v>
      </c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</row>
    <row r="203" spans="1:212" ht="1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FY203" s="76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>
        <v>1</v>
      </c>
      <c r="GN203" s="75"/>
      <c r="GO203" s="75">
        <v>1</v>
      </c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</row>
    <row r="204" spans="1:212" ht="1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FY204" s="76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>
        <v>1</v>
      </c>
      <c r="GN204" s="75">
        <v>1</v>
      </c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</row>
    <row r="205" spans="1:212" ht="1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FY205" s="76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>
        <v>1</v>
      </c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</row>
    <row r="206" spans="1:212" ht="1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FY206" s="76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>
        <v>1</v>
      </c>
      <c r="GN206" s="75">
        <v>1</v>
      </c>
      <c r="GO206" s="75">
        <v>1</v>
      </c>
      <c r="GP206" s="75">
        <v>1</v>
      </c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</row>
    <row r="207" spans="1:212" ht="1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FY207" s="76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>
        <v>1</v>
      </c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</row>
    <row r="208" spans="1:212" ht="1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FY208" s="76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>
        <v>1</v>
      </c>
      <c r="GN208" s="75">
        <v>1</v>
      </c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</row>
    <row r="209" spans="1:212" ht="1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FY209" s="76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>
        <v>1</v>
      </c>
      <c r="GN209" s="75"/>
      <c r="GO209" s="75">
        <v>1</v>
      </c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</row>
    <row r="210" spans="1:212" ht="1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FY210" s="76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>
        <v>1</v>
      </c>
      <c r="GN210" s="75">
        <v>1</v>
      </c>
      <c r="GO210" s="75"/>
      <c r="GP210" s="75">
        <v>1</v>
      </c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</row>
    <row r="211" spans="1:212" ht="1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FY211" s="76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5"/>
      <c r="GK211" s="75"/>
      <c r="GL211" s="75"/>
      <c r="GM211" s="75">
        <v>1</v>
      </c>
      <c r="GN211" s="75"/>
      <c r="GO211" s="75"/>
      <c r="GP211" s="75"/>
      <c r="GQ211" s="75"/>
      <c r="GR211" s="75"/>
      <c r="GS211" s="75"/>
      <c r="GT211" s="75"/>
      <c r="GU211" s="75"/>
      <c r="GV211" s="75"/>
      <c r="GW211" s="75"/>
      <c r="GX211" s="75"/>
      <c r="GY211" s="75"/>
      <c r="GZ211" s="75"/>
      <c r="HA211" s="75"/>
      <c r="HB211" s="75"/>
      <c r="HC211" s="75"/>
      <c r="HD211" s="75"/>
    </row>
    <row r="212" spans="1:212" ht="1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FY212" s="76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>
        <v>1</v>
      </c>
      <c r="GN212" s="75">
        <v>1</v>
      </c>
      <c r="GO212" s="75">
        <v>1</v>
      </c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</row>
    <row r="213" spans="1:212" ht="1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FY213" s="76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5"/>
      <c r="GK213" s="75"/>
      <c r="GL213" s="75"/>
      <c r="GM213" s="75">
        <v>1</v>
      </c>
      <c r="GN213" s="75"/>
      <c r="GO213" s="75"/>
      <c r="GP213" s="75"/>
      <c r="GQ213" s="75"/>
      <c r="GR213" s="75"/>
      <c r="GS213" s="75"/>
      <c r="GT213" s="75"/>
      <c r="GU213" s="75"/>
      <c r="GV213" s="75"/>
      <c r="GW213" s="75"/>
      <c r="GX213" s="75"/>
      <c r="GY213" s="75"/>
      <c r="GZ213" s="75"/>
      <c r="HA213" s="75"/>
      <c r="HB213" s="75"/>
      <c r="HC213" s="75"/>
      <c r="HD213" s="75"/>
    </row>
    <row r="214" spans="1:212" ht="1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FY214" s="76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5"/>
      <c r="GK214" s="75"/>
      <c r="GL214" s="75"/>
      <c r="GM214" s="75">
        <v>1</v>
      </c>
      <c r="GN214" s="75">
        <v>1</v>
      </c>
      <c r="GO214" s="75"/>
      <c r="GP214" s="75">
        <v>1</v>
      </c>
      <c r="GQ214" s="75"/>
      <c r="GR214" s="75"/>
      <c r="GS214" s="75"/>
      <c r="GT214" s="75"/>
      <c r="GU214" s="75"/>
      <c r="GV214" s="75"/>
      <c r="GW214" s="75"/>
      <c r="GX214" s="75"/>
      <c r="GY214" s="75"/>
      <c r="GZ214" s="75"/>
      <c r="HA214" s="75"/>
      <c r="HB214" s="75"/>
      <c r="HC214" s="75"/>
      <c r="HD214" s="75"/>
    </row>
    <row r="215" spans="1:212" ht="1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FY215" s="76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>
        <v>1</v>
      </c>
      <c r="GN215" s="75"/>
      <c r="GO215" s="75">
        <v>1</v>
      </c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</row>
    <row r="216" spans="1:212" ht="1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FY216" s="76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>
        <v>1</v>
      </c>
      <c r="GN216" s="75">
        <v>1</v>
      </c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</row>
    <row r="217" spans="1:212" ht="1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FY217" s="76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5"/>
      <c r="GK217" s="75"/>
      <c r="GL217" s="75"/>
      <c r="GM217" s="75">
        <v>1</v>
      </c>
      <c r="GN217" s="75"/>
      <c r="GO217" s="75"/>
      <c r="GP217" s="75"/>
      <c r="GQ217" s="75"/>
      <c r="GR217" s="75"/>
      <c r="GS217" s="75"/>
      <c r="GT217" s="75"/>
      <c r="GU217" s="75"/>
      <c r="GV217" s="75"/>
      <c r="GW217" s="75"/>
      <c r="GX217" s="75"/>
      <c r="GY217" s="75"/>
      <c r="GZ217" s="75"/>
      <c r="HA217" s="75"/>
      <c r="HB217" s="75"/>
      <c r="HC217" s="75"/>
      <c r="HD217" s="75"/>
    </row>
    <row r="218" spans="1:212" ht="1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FY218" s="76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5"/>
      <c r="GK218" s="75"/>
      <c r="GL218" s="75"/>
      <c r="GM218" s="75">
        <v>1</v>
      </c>
      <c r="GN218" s="75">
        <v>1</v>
      </c>
      <c r="GO218" s="75">
        <v>1</v>
      </c>
      <c r="GP218" s="75">
        <v>1</v>
      </c>
      <c r="GQ218" s="75"/>
      <c r="GR218" s="75"/>
      <c r="GS218" s="75"/>
      <c r="GT218" s="75"/>
      <c r="GU218" s="75"/>
      <c r="GV218" s="75"/>
      <c r="GW218" s="75"/>
      <c r="GX218" s="75"/>
      <c r="GY218" s="75"/>
      <c r="GZ218" s="75"/>
      <c r="HA218" s="75"/>
      <c r="HB218" s="75"/>
      <c r="HC218" s="75"/>
      <c r="HD218" s="75"/>
    </row>
    <row r="219" spans="1:212" ht="1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FY219" s="76"/>
      <c r="FZ219" s="75"/>
      <c r="GA219" s="75"/>
      <c r="GB219" s="75"/>
      <c r="GC219" s="75"/>
      <c r="GD219" s="75"/>
      <c r="GE219" s="75"/>
      <c r="GF219" s="75"/>
      <c r="GG219" s="75"/>
      <c r="GH219" s="75"/>
      <c r="GI219" s="75"/>
      <c r="GJ219" s="75"/>
      <c r="GK219" s="75"/>
      <c r="GL219" s="75"/>
      <c r="GM219" s="75">
        <v>1</v>
      </c>
      <c r="GN219" s="75"/>
      <c r="GO219" s="75"/>
      <c r="GP219" s="75"/>
      <c r="GQ219" s="75"/>
      <c r="GR219" s="75"/>
      <c r="GS219" s="75"/>
      <c r="GT219" s="75"/>
      <c r="GU219" s="75"/>
      <c r="GV219" s="75"/>
      <c r="GW219" s="75"/>
      <c r="GX219" s="75"/>
      <c r="GY219" s="75"/>
      <c r="GZ219" s="75"/>
      <c r="HA219" s="75"/>
      <c r="HB219" s="75"/>
      <c r="HC219" s="75"/>
      <c r="HD219" s="75"/>
    </row>
    <row r="220" spans="1:212" ht="1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FY220" s="76"/>
      <c r="FZ220" s="75"/>
      <c r="GA220" s="75"/>
      <c r="GB220" s="75"/>
      <c r="GC220" s="75"/>
      <c r="GD220" s="75"/>
      <c r="GE220" s="75"/>
      <c r="GF220" s="75"/>
      <c r="GG220" s="75"/>
      <c r="GH220" s="75"/>
      <c r="GI220" s="75"/>
      <c r="GJ220" s="75"/>
      <c r="GK220" s="75"/>
      <c r="GL220" s="75"/>
      <c r="GM220" s="75">
        <v>1</v>
      </c>
      <c r="GN220" s="75">
        <v>1</v>
      </c>
      <c r="GO220" s="75"/>
      <c r="GP220" s="75"/>
      <c r="GQ220" s="75"/>
      <c r="GR220" s="75"/>
      <c r="GS220" s="75"/>
      <c r="GT220" s="75"/>
      <c r="GU220" s="75"/>
      <c r="GV220" s="75"/>
      <c r="GW220" s="75"/>
      <c r="GX220" s="75"/>
      <c r="GY220" s="75"/>
      <c r="GZ220" s="75"/>
      <c r="HA220" s="75"/>
      <c r="HB220" s="75"/>
      <c r="HC220" s="75"/>
      <c r="HD220" s="75"/>
    </row>
    <row r="221" spans="1:212" ht="1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FY221" s="76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5"/>
      <c r="GK221" s="75"/>
      <c r="GL221" s="75"/>
      <c r="GM221" s="75">
        <v>1</v>
      </c>
      <c r="GN221" s="75"/>
      <c r="GO221" s="75">
        <v>1</v>
      </c>
      <c r="GP221" s="75"/>
      <c r="GQ221" s="75"/>
      <c r="GR221" s="75"/>
      <c r="GS221" s="75"/>
      <c r="GT221" s="75"/>
      <c r="GU221" s="75"/>
      <c r="GV221" s="75"/>
      <c r="GW221" s="75"/>
      <c r="GX221" s="75"/>
      <c r="GY221" s="75"/>
      <c r="GZ221" s="75"/>
      <c r="HA221" s="75"/>
      <c r="HB221" s="75"/>
      <c r="HC221" s="75"/>
      <c r="HD221" s="75"/>
    </row>
    <row r="222" spans="1:212" ht="1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FY222" s="76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>
        <v>1</v>
      </c>
      <c r="GN222" s="75"/>
      <c r="GO222" s="75"/>
      <c r="GP222" s="75">
        <v>1</v>
      </c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</row>
    <row r="223" spans="1:212" ht="1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FY223" s="76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>
        <v>1</v>
      </c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</row>
    <row r="224" spans="1:212" ht="1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FY224" s="76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>
        <v>1</v>
      </c>
      <c r="GN224" s="75"/>
      <c r="GO224" s="75">
        <v>1</v>
      </c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</row>
    <row r="225" spans="1:212" ht="1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FY225" s="76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>
        <v>1</v>
      </c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</row>
    <row r="226" spans="1:212" ht="1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FY226" s="76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5"/>
      <c r="GK226" s="75"/>
      <c r="GL226" s="75"/>
      <c r="GM226" s="75">
        <v>1</v>
      </c>
      <c r="GN226" s="75"/>
      <c r="GO226" s="75"/>
      <c r="GP226" s="75">
        <v>1</v>
      </c>
      <c r="GQ226" s="75"/>
      <c r="GR226" s="75"/>
      <c r="GS226" s="75"/>
      <c r="GT226" s="75"/>
      <c r="GU226" s="75"/>
      <c r="GV226" s="75"/>
      <c r="GW226" s="75"/>
      <c r="GX226" s="75"/>
      <c r="GY226" s="75"/>
      <c r="GZ226" s="75"/>
      <c r="HA226" s="75"/>
      <c r="HB226" s="75"/>
      <c r="HC226" s="75"/>
      <c r="HD226" s="75"/>
    </row>
    <row r="227" spans="1:212" ht="1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FY227" s="76"/>
      <c r="FZ227" s="75"/>
      <c r="GA227" s="75"/>
      <c r="GB227" s="75"/>
      <c r="GC227" s="75"/>
      <c r="GD227" s="75"/>
      <c r="GE227" s="75"/>
      <c r="GF227" s="75"/>
      <c r="GG227" s="75"/>
      <c r="GH227" s="75"/>
      <c r="GI227" s="75"/>
      <c r="GJ227" s="75"/>
      <c r="GK227" s="75"/>
      <c r="GL227" s="75"/>
      <c r="GM227" s="75">
        <v>1</v>
      </c>
      <c r="GN227" s="75"/>
      <c r="GO227" s="75">
        <v>1</v>
      </c>
      <c r="GP227" s="75"/>
      <c r="GQ227" s="75"/>
      <c r="GR227" s="75"/>
      <c r="GS227" s="75"/>
      <c r="GT227" s="75"/>
      <c r="GU227" s="75"/>
      <c r="GV227" s="75"/>
      <c r="GW227" s="75"/>
      <c r="GX227" s="75"/>
      <c r="GY227" s="75"/>
      <c r="GZ227" s="75"/>
      <c r="HA227" s="75"/>
      <c r="HB227" s="75"/>
      <c r="HC227" s="75"/>
      <c r="HD227" s="75"/>
    </row>
    <row r="228" spans="1:212" ht="1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FY228" s="76"/>
      <c r="FZ228" s="75"/>
      <c r="GA228" s="75"/>
      <c r="GB228" s="75"/>
      <c r="GC228" s="75"/>
      <c r="GD228" s="75"/>
      <c r="GE228" s="75"/>
      <c r="GF228" s="75"/>
      <c r="GG228" s="75"/>
      <c r="GH228" s="75"/>
      <c r="GI228" s="75"/>
      <c r="GJ228" s="75"/>
      <c r="GK228" s="75"/>
      <c r="GL228" s="75"/>
      <c r="GM228" s="75">
        <v>1</v>
      </c>
      <c r="GN228" s="75"/>
      <c r="GO228" s="75"/>
      <c r="GP228" s="75"/>
      <c r="GQ228" s="75"/>
      <c r="GR228" s="75"/>
      <c r="GS228" s="75"/>
      <c r="GT228" s="75"/>
      <c r="GU228" s="75"/>
      <c r="GV228" s="75"/>
      <c r="GW228" s="75"/>
      <c r="GX228" s="75"/>
      <c r="GY228" s="75"/>
      <c r="GZ228" s="75"/>
      <c r="HA228" s="75"/>
      <c r="HB228" s="75"/>
      <c r="HC228" s="75"/>
      <c r="HD228" s="75"/>
    </row>
    <row r="229" spans="1:212" ht="1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FY229" s="76"/>
      <c r="FZ229" s="75"/>
      <c r="GA229" s="75"/>
      <c r="GB229" s="75"/>
      <c r="GC229" s="75"/>
      <c r="GD229" s="75"/>
      <c r="GE229" s="75"/>
      <c r="GF229" s="75"/>
      <c r="GG229" s="75"/>
      <c r="GH229" s="75"/>
      <c r="GI229" s="75"/>
      <c r="GJ229" s="75"/>
      <c r="GK229" s="75"/>
      <c r="GL229" s="75"/>
      <c r="GM229" s="75">
        <v>1</v>
      </c>
      <c r="GN229" s="75"/>
      <c r="GO229" s="75"/>
      <c r="GP229" s="75"/>
      <c r="GQ229" s="75"/>
      <c r="GR229" s="75"/>
      <c r="GS229" s="75"/>
      <c r="GT229" s="75"/>
      <c r="GU229" s="75"/>
      <c r="GV229" s="75"/>
      <c r="GW229" s="75"/>
      <c r="GX229" s="75"/>
      <c r="GY229" s="75"/>
      <c r="GZ229" s="75"/>
      <c r="HA229" s="75"/>
      <c r="HB229" s="75"/>
      <c r="HC229" s="75"/>
      <c r="HD229" s="75"/>
    </row>
    <row r="230" spans="1:212" ht="1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FY230" s="76"/>
      <c r="FZ230" s="75"/>
      <c r="GA230" s="75"/>
      <c r="GB230" s="75"/>
      <c r="GC230" s="75"/>
      <c r="GD230" s="75"/>
      <c r="GE230" s="75"/>
      <c r="GF230" s="75"/>
      <c r="GG230" s="75"/>
      <c r="GH230" s="75"/>
      <c r="GI230" s="75"/>
      <c r="GJ230" s="75"/>
      <c r="GK230" s="75"/>
      <c r="GL230" s="75"/>
      <c r="GM230" s="75"/>
      <c r="GN230" s="75"/>
      <c r="GO230" s="75"/>
      <c r="GP230" s="75"/>
      <c r="GQ230" s="75"/>
      <c r="GR230" s="75"/>
      <c r="GS230" s="75"/>
      <c r="GT230" s="75"/>
      <c r="GU230" s="75"/>
      <c r="GV230" s="75"/>
      <c r="GW230" s="75"/>
      <c r="GX230" s="75"/>
      <c r="GY230" s="75"/>
      <c r="GZ230" s="75"/>
      <c r="HA230" s="75"/>
      <c r="HB230" s="75"/>
      <c r="HC230" s="75"/>
      <c r="HD230" s="75"/>
    </row>
    <row r="231" spans="1:212" ht="1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FY231" s="76"/>
      <c r="FZ231" s="75"/>
      <c r="GA231" s="75"/>
      <c r="GB231" s="75"/>
      <c r="GC231" s="75"/>
      <c r="GD231" s="75"/>
      <c r="GE231" s="75"/>
      <c r="GF231" s="75"/>
      <c r="GG231" s="75"/>
      <c r="GH231" s="75"/>
      <c r="GI231" s="75"/>
      <c r="GJ231" s="75"/>
      <c r="GK231" s="75"/>
      <c r="GL231" s="75"/>
      <c r="GM231" s="75"/>
      <c r="GN231" s="75"/>
      <c r="GO231" s="75">
        <v>1</v>
      </c>
      <c r="GP231" s="75">
        <v>1</v>
      </c>
      <c r="GQ231" s="75"/>
      <c r="GR231" s="75"/>
      <c r="GS231" s="75"/>
      <c r="GT231" s="75"/>
      <c r="GU231" s="75"/>
      <c r="GV231" s="75"/>
      <c r="GW231" s="75"/>
      <c r="GX231" s="75"/>
      <c r="GY231" s="75"/>
      <c r="GZ231" s="75"/>
      <c r="HA231" s="75"/>
      <c r="HB231" s="75"/>
      <c r="HC231" s="75"/>
      <c r="HD231" s="75"/>
    </row>
    <row r="232" spans="1:212" ht="1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FY232" s="76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5"/>
      <c r="GK232" s="75"/>
      <c r="GL232" s="75"/>
      <c r="GM232" s="75"/>
      <c r="GN232" s="75"/>
      <c r="GO232" s="75"/>
      <c r="GP232" s="75"/>
      <c r="GQ232" s="75"/>
      <c r="GR232" s="75"/>
      <c r="GS232" s="75"/>
      <c r="GT232" s="75"/>
      <c r="GU232" s="75"/>
      <c r="GV232" s="75"/>
      <c r="GW232" s="75"/>
      <c r="GX232" s="75"/>
      <c r="GY232" s="75"/>
      <c r="GZ232" s="75"/>
      <c r="HA232" s="75"/>
      <c r="HB232" s="75"/>
      <c r="HC232" s="75"/>
      <c r="HD232" s="75"/>
    </row>
    <row r="233" spans="1:212" ht="1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FY233" s="76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5"/>
      <c r="GK233" s="75"/>
      <c r="GL233" s="75"/>
      <c r="GM233" s="75"/>
      <c r="GN233" s="75"/>
      <c r="GO233" s="75"/>
      <c r="GP233" s="75"/>
      <c r="GQ233" s="75"/>
      <c r="GR233" s="75"/>
      <c r="GS233" s="75"/>
      <c r="GT233" s="75"/>
      <c r="GU233" s="75"/>
      <c r="GV233" s="75"/>
      <c r="GW233" s="75"/>
      <c r="GX233" s="75"/>
      <c r="GY233" s="75"/>
      <c r="GZ233" s="75"/>
      <c r="HA233" s="75"/>
      <c r="HB233" s="75"/>
      <c r="HC233" s="75"/>
      <c r="HD233" s="75"/>
    </row>
    <row r="234" spans="1:212" ht="1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FY234" s="76"/>
      <c r="FZ234" s="75"/>
      <c r="GA234" s="75"/>
      <c r="GB234" s="75"/>
      <c r="GC234" s="75"/>
      <c r="GD234" s="75"/>
      <c r="GE234" s="75"/>
      <c r="GF234" s="75"/>
      <c r="GG234" s="75"/>
      <c r="GH234" s="75"/>
      <c r="GI234" s="75"/>
      <c r="GJ234" s="75"/>
      <c r="GK234" s="75"/>
      <c r="GL234" s="75"/>
      <c r="GM234" s="75"/>
      <c r="GN234" s="75"/>
      <c r="GO234" s="75"/>
      <c r="GP234" s="75"/>
      <c r="GQ234" s="75"/>
      <c r="GR234" s="75"/>
      <c r="GS234" s="75"/>
      <c r="GT234" s="75"/>
      <c r="GU234" s="75"/>
      <c r="GV234" s="75"/>
      <c r="GW234" s="75"/>
      <c r="GX234" s="75"/>
      <c r="GY234" s="75"/>
      <c r="GZ234" s="75"/>
      <c r="HA234" s="75"/>
      <c r="HB234" s="75"/>
      <c r="HC234" s="75"/>
      <c r="HD234" s="75"/>
    </row>
    <row r="235" spans="1:212" ht="1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FY235" s="76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5"/>
      <c r="GK235" s="75"/>
      <c r="GL235" s="75"/>
      <c r="GM235" s="75"/>
      <c r="GN235" s="75"/>
      <c r="GO235" s="75"/>
      <c r="GP235" s="75"/>
      <c r="GQ235" s="75"/>
      <c r="GR235" s="75"/>
      <c r="GS235" s="75"/>
      <c r="GT235" s="75"/>
      <c r="GU235" s="75"/>
      <c r="GV235" s="75"/>
      <c r="GW235" s="75"/>
      <c r="GX235" s="75"/>
      <c r="GY235" s="75"/>
      <c r="GZ235" s="75"/>
      <c r="HA235" s="75"/>
      <c r="HB235" s="75"/>
      <c r="HC235" s="75"/>
      <c r="HD235" s="75"/>
    </row>
    <row r="236" spans="1:212" ht="1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FY236" s="76"/>
      <c r="FZ236" s="75"/>
      <c r="GA236" s="75"/>
      <c r="GB236" s="75"/>
      <c r="GC236" s="75"/>
      <c r="GD236" s="75"/>
      <c r="GE236" s="75"/>
      <c r="GF236" s="75"/>
      <c r="GG236" s="75"/>
      <c r="GH236" s="75"/>
      <c r="GI236" s="75"/>
      <c r="GJ236" s="75"/>
      <c r="GK236" s="75"/>
      <c r="GL236" s="75"/>
      <c r="GM236" s="75"/>
      <c r="GN236" s="75"/>
      <c r="GO236" s="75"/>
      <c r="GP236" s="75"/>
      <c r="GQ236" s="75"/>
      <c r="GR236" s="75"/>
      <c r="GS236" s="75"/>
      <c r="GT236" s="75"/>
      <c r="GU236" s="75"/>
      <c r="GV236" s="75"/>
      <c r="GW236" s="75"/>
      <c r="GX236" s="75"/>
      <c r="GY236" s="75"/>
      <c r="GZ236" s="75"/>
      <c r="HA236" s="75"/>
      <c r="HB236" s="75"/>
      <c r="HC236" s="75"/>
      <c r="HD236" s="75"/>
    </row>
    <row r="237" spans="1:212" ht="1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FY237" s="76"/>
      <c r="FZ237" s="75"/>
      <c r="GA237" s="75"/>
      <c r="GB237" s="75"/>
      <c r="GC237" s="75"/>
      <c r="GD237" s="75"/>
      <c r="GE237" s="75"/>
      <c r="GF237" s="75"/>
      <c r="GG237" s="75"/>
      <c r="GH237" s="75"/>
      <c r="GI237" s="75"/>
      <c r="GJ237" s="75"/>
      <c r="GK237" s="75"/>
      <c r="GL237" s="75"/>
      <c r="GM237" s="75"/>
      <c r="GN237" s="75"/>
      <c r="GO237" s="75"/>
      <c r="GP237" s="75"/>
      <c r="GQ237" s="75"/>
      <c r="GR237" s="75"/>
      <c r="GS237" s="75"/>
      <c r="GT237" s="75"/>
      <c r="GU237" s="75"/>
      <c r="GV237" s="75"/>
      <c r="GW237" s="75"/>
      <c r="GX237" s="75"/>
      <c r="GY237" s="75"/>
      <c r="GZ237" s="75"/>
      <c r="HA237" s="75"/>
      <c r="HB237" s="75"/>
      <c r="HC237" s="75"/>
      <c r="HD237" s="75"/>
    </row>
    <row r="238" spans="1:212" ht="1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FY238" s="76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5"/>
      <c r="GK238" s="75"/>
      <c r="GL238" s="75"/>
      <c r="GM238" s="75"/>
      <c r="GN238" s="75"/>
      <c r="GO238" s="75"/>
      <c r="GP238" s="75"/>
      <c r="GQ238" s="75"/>
      <c r="GR238" s="75"/>
      <c r="GS238" s="75"/>
      <c r="GT238" s="75"/>
      <c r="GU238" s="75"/>
      <c r="GV238" s="75"/>
      <c r="GW238" s="75"/>
      <c r="GX238" s="75"/>
      <c r="GY238" s="75"/>
      <c r="GZ238" s="75"/>
      <c r="HA238" s="75"/>
      <c r="HB238" s="75"/>
      <c r="HC238" s="75"/>
      <c r="HD238" s="75"/>
    </row>
    <row r="239" spans="1:212" ht="1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FY239" s="76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5"/>
      <c r="GK239" s="75"/>
      <c r="GL239" s="75"/>
      <c r="GM239" s="75"/>
      <c r="GN239" s="75"/>
      <c r="GO239" s="75"/>
      <c r="GP239" s="75"/>
      <c r="GQ239" s="75"/>
      <c r="GR239" s="75"/>
      <c r="GS239" s="75"/>
      <c r="GT239" s="75"/>
      <c r="GU239" s="75"/>
      <c r="GV239" s="75"/>
      <c r="GW239" s="75"/>
      <c r="GX239" s="75"/>
      <c r="GY239" s="75"/>
      <c r="GZ239" s="75"/>
      <c r="HA239" s="75"/>
      <c r="HB239" s="75"/>
      <c r="HC239" s="75"/>
      <c r="HD239" s="75"/>
    </row>
    <row r="240" spans="1:212" ht="1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FY240" s="76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5"/>
      <c r="GK240" s="75"/>
      <c r="GL240" s="75"/>
      <c r="GM240" s="75"/>
      <c r="GN240" s="75"/>
      <c r="GO240" s="75"/>
      <c r="GP240" s="75"/>
      <c r="GQ240" s="75"/>
      <c r="GR240" s="75"/>
      <c r="GS240" s="75"/>
      <c r="GT240" s="75"/>
      <c r="GU240" s="75"/>
      <c r="GV240" s="75"/>
      <c r="GW240" s="75"/>
      <c r="GX240" s="75"/>
      <c r="GY240" s="75"/>
      <c r="GZ240" s="75"/>
      <c r="HA240" s="75"/>
      <c r="HB240" s="75"/>
      <c r="HC240" s="75"/>
      <c r="HD240" s="75"/>
    </row>
    <row r="241" spans="1:212" ht="1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FY241" s="76"/>
      <c r="FZ241" s="75"/>
      <c r="GA241" s="75"/>
      <c r="GB241" s="75"/>
      <c r="GC241" s="75"/>
      <c r="GD241" s="75"/>
      <c r="GE241" s="75"/>
      <c r="GF241" s="75"/>
      <c r="GG241" s="75"/>
      <c r="GH241" s="75"/>
      <c r="GI241" s="75"/>
      <c r="GJ241" s="75"/>
      <c r="GK241" s="75"/>
      <c r="GL241" s="75"/>
      <c r="GM241" s="75"/>
      <c r="GN241" s="75"/>
      <c r="GO241" s="75"/>
      <c r="GP241" s="75"/>
      <c r="GQ241" s="75"/>
      <c r="GR241" s="75"/>
      <c r="GS241" s="75"/>
      <c r="GT241" s="75"/>
      <c r="GU241" s="75"/>
      <c r="GV241" s="75"/>
      <c r="GW241" s="75"/>
      <c r="GX241" s="75"/>
      <c r="GY241" s="75"/>
      <c r="GZ241" s="75"/>
      <c r="HA241" s="75"/>
      <c r="HB241" s="75"/>
      <c r="HC241" s="75"/>
      <c r="HD241" s="75"/>
    </row>
    <row r="242" spans="1:212" ht="1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FY242" s="76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5"/>
      <c r="GK242" s="75"/>
      <c r="GL242" s="75"/>
      <c r="GM242" s="75"/>
      <c r="GN242" s="75"/>
      <c r="GO242" s="75"/>
      <c r="GP242" s="75"/>
      <c r="GQ242" s="75"/>
      <c r="GR242" s="75"/>
      <c r="GS242" s="75"/>
      <c r="GT242" s="75"/>
      <c r="GU242" s="75"/>
      <c r="GV242" s="75"/>
      <c r="GW242" s="75"/>
      <c r="GX242" s="75"/>
      <c r="GY242" s="75"/>
      <c r="GZ242" s="75"/>
      <c r="HA242" s="75"/>
      <c r="HB242" s="75"/>
      <c r="HC242" s="75"/>
      <c r="HD242" s="75"/>
    </row>
    <row r="243" spans="1:212" ht="1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FY243" s="76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5"/>
      <c r="GK243" s="75"/>
      <c r="GL243" s="75"/>
      <c r="GM243" s="75"/>
      <c r="GN243" s="75"/>
      <c r="GO243" s="75"/>
      <c r="GP243" s="75"/>
      <c r="GQ243" s="75"/>
      <c r="GR243" s="75"/>
      <c r="GS243" s="75"/>
      <c r="GT243" s="75"/>
      <c r="GU243" s="75"/>
      <c r="GV243" s="75"/>
      <c r="GW243" s="75"/>
      <c r="GX243" s="75"/>
      <c r="GY243" s="75"/>
      <c r="GZ243" s="75"/>
      <c r="HA243" s="75"/>
      <c r="HB243" s="75"/>
      <c r="HC243" s="75"/>
      <c r="HD243" s="75"/>
    </row>
    <row r="244" spans="1:212" ht="1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FY244" s="76"/>
      <c r="FZ244" s="75"/>
      <c r="GA244" s="75"/>
      <c r="GB244" s="75"/>
      <c r="GC244" s="75"/>
      <c r="GD244" s="75"/>
      <c r="GE244" s="75"/>
      <c r="GF244" s="75"/>
      <c r="GG244" s="75"/>
      <c r="GH244" s="75"/>
      <c r="GI244" s="75"/>
      <c r="GJ244" s="75"/>
      <c r="GK244" s="75"/>
      <c r="GL244" s="75"/>
      <c r="GM244" s="75"/>
      <c r="GN244" s="75"/>
      <c r="GO244" s="75"/>
      <c r="GP244" s="75"/>
      <c r="GQ244" s="75"/>
      <c r="GR244" s="75"/>
      <c r="GS244" s="75"/>
      <c r="GT244" s="75"/>
      <c r="GU244" s="75"/>
      <c r="GV244" s="75"/>
      <c r="GW244" s="75"/>
      <c r="GX244" s="75"/>
      <c r="GY244" s="75"/>
      <c r="GZ244" s="75"/>
      <c r="HA244" s="75"/>
      <c r="HB244" s="75"/>
      <c r="HC244" s="75"/>
      <c r="HD244" s="75"/>
    </row>
    <row r="245" spans="1:212" ht="1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FY245" s="76"/>
      <c r="FZ245" s="75"/>
      <c r="GA245" s="75"/>
      <c r="GB245" s="75"/>
      <c r="GC245" s="75"/>
      <c r="GD245" s="75"/>
      <c r="GE245" s="75"/>
      <c r="GF245" s="75"/>
      <c r="GG245" s="75"/>
      <c r="GH245" s="75"/>
      <c r="GI245" s="75"/>
      <c r="GJ245" s="75"/>
      <c r="GK245" s="75"/>
      <c r="GL245" s="75"/>
      <c r="GM245" s="75"/>
      <c r="GN245" s="75"/>
      <c r="GO245" s="75"/>
      <c r="GP245" s="75"/>
      <c r="GQ245" s="75"/>
      <c r="GR245" s="75"/>
      <c r="GS245" s="75"/>
      <c r="GT245" s="75"/>
      <c r="GU245" s="75"/>
      <c r="GV245" s="75"/>
      <c r="GW245" s="75"/>
      <c r="GX245" s="75"/>
      <c r="GY245" s="75"/>
      <c r="GZ245" s="75"/>
      <c r="HA245" s="75"/>
      <c r="HB245" s="75"/>
      <c r="HC245" s="75"/>
      <c r="HD245" s="75"/>
    </row>
    <row r="246" spans="1:212" ht="1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FY246" s="76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5"/>
      <c r="GK246" s="75"/>
      <c r="GL246" s="75"/>
      <c r="GM246" s="75"/>
      <c r="GN246" s="75"/>
      <c r="GO246" s="75"/>
      <c r="GP246" s="75"/>
      <c r="GQ246" s="75"/>
      <c r="GR246" s="75"/>
      <c r="GS246" s="75"/>
      <c r="GT246" s="75"/>
      <c r="GU246" s="75"/>
      <c r="GV246" s="75"/>
      <c r="GW246" s="75"/>
      <c r="GX246" s="75"/>
      <c r="GY246" s="75"/>
      <c r="GZ246" s="75"/>
      <c r="HA246" s="75"/>
      <c r="HB246" s="75"/>
      <c r="HC246" s="75"/>
      <c r="HD246" s="75"/>
    </row>
    <row r="247" spans="1:212" ht="1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FY247" s="76"/>
      <c r="FZ247" s="75"/>
      <c r="GA247" s="75"/>
      <c r="GB247" s="75"/>
      <c r="GC247" s="75"/>
      <c r="GD247" s="75"/>
      <c r="GE247" s="75"/>
      <c r="GF247" s="75"/>
      <c r="GG247" s="75"/>
      <c r="GH247" s="75"/>
      <c r="GI247" s="75"/>
      <c r="GJ247" s="75"/>
      <c r="GK247" s="75"/>
      <c r="GL247" s="75"/>
      <c r="GM247" s="75"/>
      <c r="GN247" s="75"/>
      <c r="GO247" s="75"/>
      <c r="GP247" s="75"/>
      <c r="GQ247" s="75"/>
      <c r="GR247" s="75"/>
      <c r="GS247" s="75"/>
      <c r="GT247" s="75"/>
      <c r="GU247" s="75"/>
      <c r="GV247" s="75"/>
      <c r="GW247" s="75"/>
      <c r="GX247" s="75"/>
      <c r="GY247" s="75"/>
      <c r="GZ247" s="75"/>
      <c r="HA247" s="75"/>
      <c r="HB247" s="75"/>
      <c r="HC247" s="75"/>
      <c r="HD247" s="75"/>
    </row>
    <row r="248" spans="1:212" ht="1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FY248" s="76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</row>
    <row r="249" spans="1:212" ht="1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FY249" s="76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5"/>
      <c r="GK249" s="75"/>
      <c r="GL249" s="75"/>
      <c r="GM249" s="75"/>
      <c r="GN249" s="75"/>
      <c r="GO249" s="75"/>
      <c r="GP249" s="75"/>
      <c r="GQ249" s="75"/>
      <c r="GR249" s="75"/>
      <c r="GS249" s="75"/>
      <c r="GT249" s="75"/>
      <c r="GU249" s="75"/>
      <c r="GV249" s="75"/>
      <c r="GW249" s="75"/>
      <c r="GX249" s="75"/>
      <c r="GY249" s="75"/>
      <c r="GZ249" s="75"/>
      <c r="HA249" s="75"/>
      <c r="HB249" s="75"/>
      <c r="HC249" s="75"/>
      <c r="HD249" s="75"/>
    </row>
    <row r="250" spans="1:212" ht="1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FY250" s="76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5"/>
      <c r="GK250" s="75"/>
      <c r="GL250" s="75"/>
      <c r="GM250" s="75"/>
      <c r="GN250" s="75"/>
      <c r="GO250" s="75"/>
      <c r="GP250" s="75"/>
      <c r="GQ250" s="75"/>
      <c r="GR250" s="75"/>
      <c r="GS250" s="75"/>
      <c r="GT250" s="75"/>
      <c r="GU250" s="75"/>
      <c r="GV250" s="75"/>
      <c r="GW250" s="75"/>
      <c r="GX250" s="75"/>
      <c r="GY250" s="75"/>
      <c r="GZ250" s="75"/>
      <c r="HA250" s="75"/>
      <c r="HB250" s="75"/>
      <c r="HC250" s="75"/>
      <c r="HD250" s="75"/>
    </row>
    <row r="251" spans="1:212" ht="1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FY251" s="76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</row>
    <row r="252" spans="1:212" ht="1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FY252" s="76"/>
      <c r="FZ252" s="75"/>
      <c r="GA252" s="75"/>
      <c r="GB252" s="75"/>
      <c r="GC252" s="75"/>
      <c r="GD252" s="75"/>
      <c r="GE252" s="75"/>
      <c r="GF252" s="75"/>
      <c r="GG252" s="75"/>
      <c r="GH252" s="75"/>
      <c r="GI252" s="75"/>
      <c r="GJ252" s="75"/>
      <c r="GK252" s="75"/>
      <c r="GL252" s="75"/>
      <c r="GM252" s="75"/>
      <c r="GN252" s="75"/>
      <c r="GO252" s="75"/>
      <c r="GP252" s="75"/>
      <c r="GQ252" s="75"/>
      <c r="GR252" s="75"/>
      <c r="GS252" s="75"/>
      <c r="GT252" s="75"/>
      <c r="GU252" s="75"/>
      <c r="GV252" s="75"/>
      <c r="GW252" s="75"/>
      <c r="GX252" s="75"/>
      <c r="GY252" s="75"/>
      <c r="GZ252" s="75"/>
      <c r="HA252" s="75"/>
      <c r="HB252" s="75"/>
      <c r="HC252" s="75"/>
      <c r="HD252" s="75"/>
    </row>
    <row r="253" spans="1:212" ht="1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FY253" s="76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5"/>
      <c r="GK253" s="75"/>
      <c r="GL253" s="75"/>
      <c r="GM253" s="75"/>
      <c r="GN253" s="75"/>
      <c r="GO253" s="75"/>
      <c r="GP253" s="75"/>
      <c r="GQ253" s="75"/>
      <c r="GR253" s="75"/>
      <c r="GS253" s="75"/>
      <c r="GT253" s="75"/>
      <c r="GU253" s="75"/>
      <c r="GV253" s="75"/>
      <c r="GW253" s="75"/>
      <c r="GX253" s="75"/>
      <c r="GY253" s="75"/>
      <c r="GZ253" s="75"/>
      <c r="HA253" s="75"/>
      <c r="HB253" s="75"/>
      <c r="HC253" s="75"/>
      <c r="HD253" s="75"/>
    </row>
    <row r="254" spans="1:212" ht="1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FY254" s="76"/>
      <c r="FZ254" s="75"/>
      <c r="GA254" s="75"/>
      <c r="GB254" s="75"/>
      <c r="GC254" s="75"/>
      <c r="GD254" s="75"/>
      <c r="GE254" s="75"/>
      <c r="GF254" s="75"/>
      <c r="GG254" s="75"/>
      <c r="GH254" s="75"/>
      <c r="GI254" s="75"/>
      <c r="GJ254" s="75"/>
      <c r="GK254" s="75"/>
      <c r="GL254" s="75"/>
      <c r="GM254" s="75"/>
      <c r="GN254" s="75"/>
      <c r="GO254" s="75"/>
      <c r="GP254" s="75"/>
      <c r="GQ254" s="75"/>
      <c r="GR254" s="75"/>
      <c r="GS254" s="75"/>
      <c r="GT254" s="75"/>
      <c r="GU254" s="75"/>
      <c r="GV254" s="75"/>
      <c r="GW254" s="75"/>
      <c r="GX254" s="75"/>
      <c r="GY254" s="75"/>
      <c r="GZ254" s="75"/>
      <c r="HA254" s="75"/>
      <c r="HB254" s="75"/>
      <c r="HC254" s="75"/>
      <c r="HD254" s="75"/>
    </row>
    <row r="255" spans="1:212" ht="1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FY255" s="76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5"/>
      <c r="GK255" s="75"/>
      <c r="GL255" s="75"/>
      <c r="GM255" s="75"/>
      <c r="GN255" s="75"/>
      <c r="GO255" s="75"/>
      <c r="GP255" s="75"/>
      <c r="GQ255" s="75"/>
      <c r="GR255" s="75"/>
      <c r="GS255" s="75"/>
      <c r="GT255" s="75"/>
      <c r="GU255" s="75"/>
      <c r="GV255" s="75"/>
      <c r="GW255" s="75"/>
      <c r="GX255" s="75"/>
      <c r="GY255" s="75"/>
      <c r="GZ255" s="75"/>
      <c r="HA255" s="75"/>
      <c r="HB255" s="75"/>
      <c r="HC255" s="75"/>
      <c r="HD255" s="75"/>
    </row>
    <row r="256" spans="1:212" ht="1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FY256" s="76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5"/>
      <c r="GK256" s="75"/>
      <c r="GL256" s="75"/>
      <c r="GM256" s="75"/>
      <c r="GN256" s="75"/>
      <c r="GO256" s="75"/>
      <c r="GP256" s="75"/>
      <c r="GQ256" s="75"/>
      <c r="GR256" s="75"/>
      <c r="GS256" s="75"/>
      <c r="GT256" s="75"/>
      <c r="GU256" s="75"/>
      <c r="GV256" s="75"/>
      <c r="GW256" s="75"/>
      <c r="GX256" s="75"/>
      <c r="GY256" s="75"/>
      <c r="GZ256" s="75"/>
      <c r="HA256" s="75"/>
      <c r="HB256" s="75"/>
      <c r="HC256" s="75"/>
      <c r="HD256" s="75"/>
    </row>
    <row r="257" spans="1:212" ht="1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FY257" s="76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5"/>
      <c r="GK257" s="75"/>
      <c r="GL257" s="75"/>
      <c r="GM257" s="75"/>
      <c r="GN257" s="75"/>
      <c r="GO257" s="75"/>
      <c r="GP257" s="75"/>
      <c r="GQ257" s="75"/>
      <c r="GR257" s="75"/>
      <c r="GS257" s="75"/>
      <c r="GT257" s="75"/>
      <c r="GU257" s="75"/>
      <c r="GV257" s="75"/>
      <c r="GW257" s="75"/>
      <c r="GX257" s="75"/>
      <c r="GY257" s="75"/>
      <c r="GZ257" s="75"/>
      <c r="HA257" s="75"/>
      <c r="HB257" s="75"/>
      <c r="HC257" s="75"/>
      <c r="HD257" s="75"/>
    </row>
    <row r="258" spans="1:212" ht="1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FY258" s="76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5"/>
      <c r="GK258" s="75"/>
      <c r="GL258" s="75"/>
      <c r="GM258" s="75"/>
      <c r="GN258" s="75"/>
      <c r="GO258" s="75"/>
      <c r="GP258" s="75"/>
      <c r="GQ258" s="75"/>
      <c r="GR258" s="75"/>
      <c r="GS258" s="75"/>
      <c r="GT258" s="75"/>
      <c r="GU258" s="75"/>
      <c r="GV258" s="75"/>
      <c r="GW258" s="75"/>
      <c r="GX258" s="75"/>
      <c r="GY258" s="75"/>
      <c r="GZ258" s="75"/>
      <c r="HA258" s="75"/>
      <c r="HB258" s="75"/>
      <c r="HC258" s="75"/>
      <c r="HD258" s="75"/>
    </row>
    <row r="259" spans="1:212" ht="1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FY259" s="76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5"/>
      <c r="GK259" s="75"/>
      <c r="GL259" s="75"/>
      <c r="GM259" s="75"/>
      <c r="GN259" s="75"/>
      <c r="GO259" s="75"/>
      <c r="GP259" s="75"/>
      <c r="GQ259" s="75"/>
      <c r="GR259" s="75"/>
      <c r="GS259" s="75"/>
      <c r="GT259" s="75"/>
      <c r="GU259" s="75"/>
      <c r="GV259" s="75"/>
      <c r="GW259" s="75"/>
      <c r="GX259" s="75"/>
      <c r="GY259" s="75"/>
      <c r="GZ259" s="75"/>
      <c r="HA259" s="75"/>
      <c r="HB259" s="75"/>
      <c r="HC259" s="75"/>
      <c r="HD259" s="75"/>
    </row>
    <row r="260" spans="1:212" ht="1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FY260" s="76"/>
      <c r="FZ260" s="75"/>
      <c r="GA260" s="75"/>
      <c r="GB260" s="75"/>
      <c r="GC260" s="75"/>
      <c r="GD260" s="75"/>
      <c r="GE260" s="75"/>
      <c r="GF260" s="75"/>
      <c r="GG260" s="75"/>
      <c r="GH260" s="75"/>
      <c r="GI260" s="75"/>
      <c r="GJ260" s="75"/>
      <c r="GK260" s="75"/>
      <c r="GL260" s="75"/>
      <c r="GM260" s="75"/>
      <c r="GN260" s="75"/>
      <c r="GO260" s="75"/>
      <c r="GP260" s="75"/>
      <c r="GQ260" s="75"/>
      <c r="GR260" s="75"/>
      <c r="GS260" s="75"/>
      <c r="GT260" s="75"/>
      <c r="GU260" s="75"/>
      <c r="GV260" s="75"/>
      <c r="GW260" s="75"/>
      <c r="GX260" s="75"/>
      <c r="GY260" s="75"/>
      <c r="GZ260" s="75"/>
      <c r="HA260" s="75"/>
      <c r="HB260" s="75"/>
      <c r="HC260" s="75"/>
      <c r="HD260" s="75"/>
    </row>
    <row r="261" spans="1:212" ht="1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FY261" s="76"/>
      <c r="FZ261" s="75"/>
      <c r="GA261" s="75"/>
      <c r="GB261" s="75"/>
      <c r="GC261" s="75"/>
      <c r="GD261" s="75"/>
      <c r="GE261" s="75"/>
      <c r="GF261" s="75"/>
      <c r="GG261" s="75"/>
      <c r="GH261" s="75"/>
      <c r="GI261" s="75"/>
      <c r="GJ261" s="75"/>
      <c r="GK261" s="75"/>
      <c r="GL261" s="75"/>
      <c r="GM261" s="75"/>
      <c r="GN261" s="75"/>
      <c r="GO261" s="75"/>
      <c r="GP261" s="75"/>
      <c r="GQ261" s="75"/>
      <c r="GR261" s="75"/>
      <c r="GS261" s="75"/>
      <c r="GT261" s="75"/>
      <c r="GU261" s="75"/>
      <c r="GV261" s="75"/>
      <c r="GW261" s="75"/>
      <c r="GX261" s="75"/>
      <c r="GY261" s="75"/>
      <c r="GZ261" s="75"/>
      <c r="HA261" s="75"/>
      <c r="HB261" s="75"/>
      <c r="HC261" s="75"/>
      <c r="HD261" s="75"/>
    </row>
    <row r="262" spans="1:212" ht="1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FY262" s="76"/>
      <c r="FZ262" s="75"/>
      <c r="GA262" s="75"/>
      <c r="GB262" s="75"/>
      <c r="GC262" s="75"/>
      <c r="GD262" s="75"/>
      <c r="GE262" s="75"/>
      <c r="GF262" s="75"/>
      <c r="GG262" s="75"/>
      <c r="GH262" s="75"/>
      <c r="GI262" s="75"/>
      <c r="GJ262" s="75"/>
      <c r="GK262" s="75"/>
      <c r="GL262" s="75"/>
      <c r="GM262" s="75"/>
      <c r="GN262" s="75"/>
      <c r="GO262" s="75"/>
      <c r="GP262" s="75"/>
      <c r="GQ262" s="75"/>
      <c r="GR262" s="75"/>
      <c r="GS262" s="75"/>
      <c r="GT262" s="75"/>
      <c r="GU262" s="75"/>
      <c r="GV262" s="75"/>
      <c r="GW262" s="75"/>
      <c r="GX262" s="75"/>
      <c r="GY262" s="75"/>
      <c r="GZ262" s="75"/>
      <c r="HA262" s="75"/>
      <c r="HB262" s="75"/>
      <c r="HC262" s="75"/>
      <c r="HD262" s="75"/>
    </row>
    <row r="263" spans="1:212" ht="1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FY263" s="76"/>
      <c r="FZ263" s="75"/>
      <c r="GA263" s="75"/>
      <c r="GB263" s="75"/>
      <c r="GC263" s="75"/>
      <c r="GD263" s="75"/>
      <c r="GE263" s="75"/>
      <c r="GF263" s="75"/>
      <c r="GG263" s="75"/>
      <c r="GH263" s="75"/>
      <c r="GI263" s="75"/>
      <c r="GJ263" s="75"/>
      <c r="GK263" s="75"/>
      <c r="GL263" s="75"/>
      <c r="GM263" s="75"/>
      <c r="GN263" s="75"/>
      <c r="GO263" s="75"/>
      <c r="GP263" s="75"/>
      <c r="GQ263" s="75"/>
      <c r="GR263" s="75"/>
      <c r="GS263" s="75"/>
      <c r="GT263" s="75"/>
      <c r="GU263" s="75"/>
      <c r="GV263" s="75"/>
      <c r="GW263" s="75"/>
      <c r="GX263" s="75"/>
      <c r="GY263" s="75"/>
      <c r="GZ263" s="75"/>
      <c r="HA263" s="75"/>
      <c r="HB263" s="75"/>
      <c r="HC263" s="75"/>
      <c r="HD263" s="75"/>
    </row>
    <row r="264" spans="1:212" ht="1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FY264" s="76"/>
      <c r="FZ264" s="75"/>
      <c r="GA264" s="75"/>
      <c r="GB264" s="75"/>
      <c r="GC264" s="75"/>
      <c r="GD264" s="75"/>
      <c r="GE264" s="75"/>
      <c r="GF264" s="75"/>
      <c r="GG264" s="75"/>
      <c r="GH264" s="75"/>
      <c r="GI264" s="75"/>
      <c r="GJ264" s="75"/>
      <c r="GK264" s="75"/>
      <c r="GL264" s="75"/>
      <c r="GM264" s="75"/>
      <c r="GN264" s="75"/>
      <c r="GO264" s="75"/>
      <c r="GP264" s="75"/>
      <c r="GQ264" s="75"/>
      <c r="GR264" s="75"/>
      <c r="GS264" s="75"/>
      <c r="GT264" s="75"/>
      <c r="GU264" s="75"/>
      <c r="GV264" s="75"/>
      <c r="GW264" s="75"/>
      <c r="GX264" s="75"/>
      <c r="GY264" s="75"/>
      <c r="GZ264" s="75"/>
      <c r="HA264" s="75"/>
      <c r="HB264" s="75"/>
      <c r="HC264" s="75"/>
      <c r="HD264" s="75"/>
    </row>
    <row r="265" spans="1:212" ht="1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FY265" s="76"/>
      <c r="FZ265" s="75"/>
      <c r="GA265" s="75"/>
      <c r="GB265" s="75"/>
      <c r="GC265" s="75"/>
      <c r="GD265" s="75"/>
      <c r="GE265" s="75"/>
      <c r="GF265" s="75"/>
      <c r="GG265" s="75"/>
      <c r="GH265" s="75"/>
      <c r="GI265" s="75"/>
      <c r="GJ265" s="75"/>
      <c r="GK265" s="75"/>
      <c r="GL265" s="75"/>
      <c r="GM265" s="75"/>
      <c r="GN265" s="75"/>
      <c r="GO265" s="75"/>
      <c r="GP265" s="75"/>
      <c r="GQ265" s="75"/>
      <c r="GR265" s="75"/>
      <c r="GS265" s="75"/>
      <c r="GT265" s="75"/>
      <c r="GU265" s="75"/>
      <c r="GV265" s="75"/>
      <c r="GW265" s="75"/>
      <c r="GX265" s="75"/>
      <c r="GY265" s="75"/>
      <c r="GZ265" s="75"/>
      <c r="HA265" s="75"/>
      <c r="HB265" s="75"/>
      <c r="HC265" s="75"/>
      <c r="HD265" s="75"/>
    </row>
    <row r="266" spans="1:212" ht="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FY266" s="76"/>
      <c r="FZ266" s="75"/>
      <c r="GA266" s="75"/>
      <c r="GB266" s="75"/>
      <c r="GC266" s="75"/>
      <c r="GD266" s="75"/>
      <c r="GE266" s="75"/>
      <c r="GF266" s="75"/>
      <c r="GG266" s="75"/>
      <c r="GH266" s="75"/>
      <c r="GI266" s="75"/>
      <c r="GJ266" s="75"/>
      <c r="GK266" s="75"/>
      <c r="GL266" s="75"/>
      <c r="GM266" s="75"/>
      <c r="GN266" s="75"/>
      <c r="GO266" s="75"/>
      <c r="GP266" s="75"/>
      <c r="GQ266" s="75"/>
      <c r="GR266" s="75"/>
      <c r="GS266" s="75"/>
      <c r="GT266" s="75"/>
      <c r="GU266" s="75"/>
      <c r="GV266" s="75"/>
      <c r="GW266" s="75"/>
      <c r="GX266" s="75"/>
      <c r="GY266" s="75"/>
      <c r="GZ266" s="75"/>
      <c r="HA266" s="75"/>
      <c r="HB266" s="75"/>
      <c r="HC266" s="75"/>
      <c r="HD266" s="75"/>
    </row>
    <row r="267" spans="1:212" ht="1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FY267" s="76"/>
      <c r="FZ267" s="75"/>
      <c r="GA267" s="75"/>
      <c r="GB267" s="75"/>
      <c r="GC267" s="75"/>
      <c r="GD267" s="75"/>
      <c r="GE267" s="75"/>
      <c r="GF267" s="75"/>
      <c r="GG267" s="75"/>
      <c r="GH267" s="75"/>
      <c r="GI267" s="75"/>
      <c r="GJ267" s="75"/>
      <c r="GK267" s="75"/>
      <c r="GL267" s="75"/>
      <c r="GM267" s="75"/>
      <c r="GN267" s="75"/>
      <c r="GO267" s="75"/>
      <c r="GP267" s="75"/>
      <c r="GQ267" s="75"/>
      <c r="GR267" s="75"/>
      <c r="GS267" s="75"/>
      <c r="GT267" s="75"/>
      <c r="GU267" s="75"/>
      <c r="GV267" s="75"/>
      <c r="GW267" s="75"/>
      <c r="GX267" s="75"/>
      <c r="GY267" s="75"/>
      <c r="GZ267" s="75"/>
      <c r="HA267" s="75"/>
      <c r="HB267" s="75"/>
      <c r="HC267" s="75"/>
      <c r="HD267" s="75"/>
    </row>
    <row r="268" spans="1:212" ht="1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FY268" s="76"/>
      <c r="FZ268" s="75"/>
      <c r="GA268" s="75"/>
      <c r="GB268" s="75"/>
      <c r="GC268" s="75"/>
      <c r="GD268" s="75"/>
      <c r="GE268" s="75"/>
      <c r="GF268" s="75"/>
      <c r="GG268" s="75"/>
      <c r="GH268" s="75"/>
      <c r="GI268" s="75"/>
      <c r="GJ268" s="75"/>
      <c r="GK268" s="75"/>
      <c r="GL268" s="75"/>
      <c r="GM268" s="75"/>
      <c r="GN268" s="75"/>
      <c r="GO268" s="75"/>
      <c r="GP268" s="75"/>
      <c r="GQ268" s="75"/>
      <c r="GR268" s="75"/>
      <c r="GS268" s="75"/>
      <c r="GT268" s="75"/>
      <c r="GU268" s="75"/>
      <c r="GV268" s="75"/>
      <c r="GW268" s="75"/>
      <c r="GX268" s="75"/>
      <c r="GY268" s="75"/>
      <c r="GZ268" s="75"/>
      <c r="HA268" s="75"/>
      <c r="HB268" s="75"/>
      <c r="HC268" s="75"/>
      <c r="HD268" s="75"/>
    </row>
    <row r="269" spans="1:212" ht="1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FY269" s="76"/>
      <c r="FZ269" s="75"/>
      <c r="GA269" s="75"/>
      <c r="GB269" s="75"/>
      <c r="GC269" s="75"/>
      <c r="GD269" s="75"/>
      <c r="GE269" s="75"/>
      <c r="GF269" s="75"/>
      <c r="GG269" s="75"/>
      <c r="GH269" s="75"/>
      <c r="GI269" s="75"/>
      <c r="GJ269" s="75"/>
      <c r="GK269" s="75"/>
      <c r="GL269" s="75"/>
      <c r="GM269" s="75"/>
      <c r="GN269" s="75"/>
      <c r="GO269" s="75"/>
      <c r="GP269" s="75"/>
      <c r="GQ269" s="75"/>
      <c r="GR269" s="75"/>
      <c r="GS269" s="75"/>
      <c r="GT269" s="75"/>
      <c r="GU269" s="75"/>
      <c r="GV269" s="75"/>
      <c r="GW269" s="75"/>
      <c r="GX269" s="75"/>
      <c r="GY269" s="75"/>
      <c r="GZ269" s="75"/>
      <c r="HA269" s="75"/>
      <c r="HB269" s="75"/>
      <c r="HC269" s="75"/>
      <c r="HD269" s="75"/>
    </row>
    <row r="270" spans="1:212" ht="1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FY270" s="76"/>
      <c r="FZ270" s="75"/>
      <c r="GA270" s="75"/>
      <c r="GB270" s="75"/>
      <c r="GC270" s="75"/>
      <c r="GD270" s="75"/>
      <c r="GE270" s="75"/>
      <c r="GF270" s="75"/>
      <c r="GG270" s="75"/>
      <c r="GH270" s="75"/>
      <c r="GI270" s="75"/>
      <c r="GJ270" s="75"/>
      <c r="GK270" s="75"/>
      <c r="GL270" s="75"/>
      <c r="GM270" s="75"/>
      <c r="GN270" s="75"/>
      <c r="GO270" s="75"/>
      <c r="GP270" s="75"/>
      <c r="GQ270" s="75"/>
      <c r="GR270" s="75"/>
      <c r="GS270" s="75"/>
      <c r="GT270" s="75"/>
      <c r="GU270" s="75"/>
      <c r="GV270" s="75"/>
      <c r="GW270" s="75"/>
      <c r="GX270" s="75"/>
      <c r="GY270" s="75"/>
      <c r="GZ270" s="75"/>
      <c r="HA270" s="75"/>
      <c r="HB270" s="75"/>
      <c r="HC270" s="75"/>
      <c r="HD270" s="75"/>
    </row>
    <row r="271" spans="1:212" ht="1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FY271" s="76"/>
      <c r="FZ271" s="75"/>
      <c r="GA271" s="75"/>
      <c r="GB271" s="75"/>
      <c r="GC271" s="75"/>
      <c r="GD271" s="75"/>
      <c r="GE271" s="75"/>
      <c r="GF271" s="75"/>
      <c r="GG271" s="75"/>
      <c r="GH271" s="75"/>
      <c r="GI271" s="75"/>
      <c r="GJ271" s="75"/>
      <c r="GK271" s="75"/>
      <c r="GL271" s="75"/>
      <c r="GM271" s="75"/>
      <c r="GN271" s="75"/>
      <c r="GO271" s="75"/>
      <c r="GP271" s="75"/>
      <c r="GQ271" s="75"/>
      <c r="GR271" s="75"/>
      <c r="GS271" s="75"/>
      <c r="GT271" s="75"/>
      <c r="GU271" s="75"/>
      <c r="GV271" s="75"/>
      <c r="GW271" s="75"/>
      <c r="GX271" s="75"/>
      <c r="GY271" s="75"/>
      <c r="GZ271" s="75"/>
      <c r="HA271" s="75"/>
      <c r="HB271" s="75"/>
      <c r="HC271" s="75"/>
      <c r="HD271" s="75"/>
    </row>
    <row r="272" spans="1:212" ht="1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FY272" s="76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5"/>
      <c r="GK272" s="75"/>
      <c r="GL272" s="75"/>
      <c r="GM272" s="75"/>
      <c r="GN272" s="75"/>
      <c r="GO272" s="75"/>
      <c r="GP272" s="75"/>
      <c r="GQ272" s="75"/>
      <c r="GR272" s="75"/>
      <c r="GS272" s="75"/>
      <c r="GT272" s="75"/>
      <c r="GU272" s="75"/>
      <c r="GV272" s="75"/>
      <c r="GW272" s="75"/>
      <c r="GX272" s="75"/>
      <c r="GY272" s="75"/>
      <c r="GZ272" s="75"/>
      <c r="HA272" s="75"/>
      <c r="HB272" s="75"/>
      <c r="HC272" s="75"/>
      <c r="HD272" s="75"/>
    </row>
    <row r="273" spans="1:212" ht="1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FY273" s="76"/>
      <c r="FZ273" s="75"/>
      <c r="GA273" s="75"/>
      <c r="GB273" s="75"/>
      <c r="GC273" s="75"/>
      <c r="GD273" s="75"/>
      <c r="GE273" s="75"/>
      <c r="GF273" s="75"/>
      <c r="GG273" s="75"/>
      <c r="GH273" s="75"/>
      <c r="GI273" s="75"/>
      <c r="GJ273" s="75"/>
      <c r="GK273" s="75"/>
      <c r="GL273" s="75"/>
      <c r="GM273" s="75"/>
      <c r="GN273" s="75"/>
      <c r="GO273" s="75"/>
      <c r="GP273" s="75"/>
      <c r="GQ273" s="75"/>
      <c r="GR273" s="75"/>
      <c r="GS273" s="75"/>
      <c r="GT273" s="75"/>
      <c r="GU273" s="75"/>
      <c r="GV273" s="75"/>
      <c r="GW273" s="75"/>
      <c r="GX273" s="75"/>
      <c r="GY273" s="75"/>
      <c r="GZ273" s="75"/>
      <c r="HA273" s="75"/>
      <c r="HB273" s="75"/>
      <c r="HC273" s="75"/>
      <c r="HD273" s="75"/>
    </row>
    <row r="274" spans="1:212" ht="1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FY274" s="76"/>
      <c r="FZ274" s="75"/>
      <c r="GA274" s="75"/>
      <c r="GB274" s="75"/>
      <c r="GC274" s="75"/>
      <c r="GD274" s="75"/>
      <c r="GE274" s="75"/>
      <c r="GF274" s="75"/>
      <c r="GG274" s="75"/>
      <c r="GH274" s="75"/>
      <c r="GI274" s="75"/>
      <c r="GJ274" s="75"/>
      <c r="GK274" s="75"/>
      <c r="GL274" s="75"/>
      <c r="GM274" s="75"/>
      <c r="GN274" s="75"/>
      <c r="GO274" s="75"/>
      <c r="GP274" s="75"/>
      <c r="GQ274" s="75"/>
      <c r="GR274" s="75"/>
      <c r="GS274" s="75"/>
      <c r="GT274" s="75"/>
      <c r="GU274" s="75"/>
      <c r="GV274" s="75"/>
      <c r="GW274" s="75"/>
      <c r="GX274" s="75"/>
      <c r="GY274" s="75"/>
      <c r="GZ274" s="75"/>
      <c r="HA274" s="75"/>
      <c r="HB274" s="75"/>
      <c r="HC274" s="75"/>
      <c r="HD274" s="75"/>
    </row>
    <row r="275" spans="1:212" ht="1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FY275" s="76"/>
      <c r="FZ275" s="75"/>
      <c r="GA275" s="75"/>
      <c r="GB275" s="75"/>
      <c r="GC275" s="75"/>
      <c r="GD275" s="75"/>
      <c r="GE275" s="75"/>
      <c r="GF275" s="75"/>
      <c r="GG275" s="75"/>
      <c r="GH275" s="75"/>
      <c r="GI275" s="75"/>
      <c r="GJ275" s="75"/>
      <c r="GK275" s="75"/>
      <c r="GL275" s="75"/>
      <c r="GM275" s="75"/>
      <c r="GN275" s="75"/>
      <c r="GO275" s="75"/>
      <c r="GP275" s="75"/>
      <c r="GQ275" s="75"/>
      <c r="GR275" s="75"/>
      <c r="GS275" s="75"/>
      <c r="GT275" s="75"/>
      <c r="GU275" s="75"/>
      <c r="GV275" s="75"/>
      <c r="GW275" s="75"/>
      <c r="GX275" s="75"/>
      <c r="GY275" s="75"/>
      <c r="GZ275" s="75"/>
      <c r="HA275" s="75"/>
      <c r="HB275" s="75"/>
      <c r="HC275" s="75"/>
      <c r="HD275" s="75"/>
    </row>
    <row r="276" spans="1:212" ht="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FY276" s="76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5"/>
      <c r="GK276" s="75"/>
      <c r="GL276" s="75"/>
      <c r="GM276" s="75"/>
      <c r="GN276" s="75"/>
      <c r="GO276" s="75"/>
      <c r="GP276" s="75"/>
      <c r="GQ276" s="75"/>
      <c r="GR276" s="75"/>
      <c r="GS276" s="75"/>
      <c r="GT276" s="75"/>
      <c r="GU276" s="75"/>
      <c r="GV276" s="75"/>
      <c r="GW276" s="75"/>
      <c r="GX276" s="75"/>
      <c r="GY276" s="75"/>
      <c r="GZ276" s="75"/>
      <c r="HA276" s="75"/>
      <c r="HB276" s="75"/>
      <c r="HC276" s="75"/>
      <c r="HD276" s="75"/>
    </row>
    <row r="277" spans="1:212" ht="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FY277" s="76"/>
      <c r="FZ277" s="75"/>
      <c r="GA277" s="75"/>
      <c r="GB277" s="75"/>
      <c r="GC277" s="75"/>
      <c r="GD277" s="75"/>
      <c r="GE277" s="75"/>
      <c r="GF277" s="75"/>
      <c r="GG277" s="75"/>
      <c r="GH277" s="75"/>
      <c r="GI277" s="75"/>
      <c r="GJ277" s="75"/>
      <c r="GK277" s="75"/>
      <c r="GL277" s="75"/>
      <c r="GM277" s="75"/>
      <c r="GN277" s="75"/>
      <c r="GO277" s="75"/>
      <c r="GP277" s="75"/>
      <c r="GQ277" s="75"/>
      <c r="GR277" s="75"/>
      <c r="GS277" s="75"/>
      <c r="GT277" s="75"/>
      <c r="GU277" s="75"/>
      <c r="GV277" s="75"/>
      <c r="GW277" s="75"/>
      <c r="GX277" s="75"/>
      <c r="GY277" s="75"/>
      <c r="GZ277" s="75"/>
      <c r="HA277" s="75"/>
      <c r="HB277" s="75"/>
      <c r="HC277" s="75"/>
      <c r="HD277" s="75"/>
    </row>
    <row r="278" spans="1:212" ht="1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FY278" s="76"/>
      <c r="FZ278" s="75"/>
      <c r="GA278" s="75"/>
      <c r="GB278" s="75"/>
      <c r="GC278" s="75"/>
      <c r="GD278" s="75"/>
      <c r="GE278" s="75"/>
      <c r="GF278" s="75"/>
      <c r="GG278" s="75"/>
      <c r="GH278" s="75"/>
      <c r="GI278" s="75"/>
      <c r="GJ278" s="75"/>
      <c r="GK278" s="75"/>
      <c r="GL278" s="75"/>
      <c r="GM278" s="75"/>
      <c r="GN278" s="75"/>
      <c r="GO278" s="75"/>
      <c r="GP278" s="75"/>
      <c r="GQ278" s="75"/>
      <c r="GR278" s="75"/>
      <c r="GS278" s="75"/>
      <c r="GT278" s="75"/>
      <c r="GU278" s="75"/>
      <c r="GV278" s="75"/>
      <c r="GW278" s="75"/>
      <c r="GX278" s="75"/>
      <c r="GY278" s="75"/>
      <c r="GZ278" s="75"/>
      <c r="HA278" s="75"/>
      <c r="HB278" s="75"/>
      <c r="HC278" s="75"/>
      <c r="HD278" s="75"/>
    </row>
    <row r="279" spans="1:212" ht="1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FY279" s="76"/>
      <c r="FZ279" s="75"/>
      <c r="GA279" s="75"/>
      <c r="GB279" s="75"/>
      <c r="GC279" s="75"/>
      <c r="GD279" s="75"/>
      <c r="GE279" s="75"/>
      <c r="GF279" s="75"/>
      <c r="GG279" s="75"/>
      <c r="GH279" s="75"/>
      <c r="GI279" s="75"/>
      <c r="GJ279" s="75"/>
      <c r="GK279" s="75"/>
      <c r="GL279" s="75"/>
      <c r="GM279" s="75"/>
      <c r="GN279" s="75"/>
      <c r="GO279" s="75"/>
      <c r="GP279" s="75"/>
      <c r="GQ279" s="75"/>
      <c r="GR279" s="75"/>
      <c r="GS279" s="75"/>
      <c r="GT279" s="75"/>
      <c r="GU279" s="75"/>
      <c r="GV279" s="75"/>
      <c r="GW279" s="75"/>
      <c r="GX279" s="75"/>
      <c r="GY279" s="75"/>
      <c r="GZ279" s="75"/>
      <c r="HA279" s="75"/>
      <c r="HB279" s="75"/>
      <c r="HC279" s="75"/>
      <c r="HD279" s="75"/>
    </row>
    <row r="280" spans="1:212" ht="1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FY280" s="76"/>
      <c r="FZ280" s="75"/>
      <c r="GA280" s="75"/>
      <c r="GB280" s="75"/>
      <c r="GC280" s="75"/>
      <c r="GD280" s="75"/>
      <c r="GE280" s="75"/>
      <c r="GF280" s="75"/>
      <c r="GG280" s="75"/>
      <c r="GH280" s="75"/>
      <c r="GI280" s="75"/>
      <c r="GJ280" s="75"/>
      <c r="GK280" s="75"/>
      <c r="GL280" s="75"/>
      <c r="GM280" s="75"/>
      <c r="GN280" s="75"/>
      <c r="GO280" s="75"/>
      <c r="GP280" s="75"/>
      <c r="GQ280" s="75"/>
      <c r="GR280" s="75"/>
      <c r="GS280" s="75"/>
      <c r="GT280" s="75"/>
      <c r="GU280" s="75"/>
      <c r="GV280" s="75"/>
      <c r="GW280" s="75"/>
      <c r="GX280" s="75"/>
      <c r="GY280" s="75"/>
      <c r="GZ280" s="75"/>
      <c r="HA280" s="75"/>
      <c r="HB280" s="75"/>
      <c r="HC280" s="75"/>
      <c r="HD280" s="75"/>
    </row>
    <row r="281" spans="1:212" ht="1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FY281" s="76"/>
      <c r="FZ281" s="75"/>
      <c r="GA281" s="75"/>
      <c r="GB281" s="75"/>
      <c r="GC281" s="75"/>
      <c r="GD281" s="75"/>
      <c r="GE281" s="75"/>
      <c r="GF281" s="75"/>
      <c r="GG281" s="75"/>
      <c r="GH281" s="75"/>
      <c r="GI281" s="75"/>
      <c r="GJ281" s="75"/>
      <c r="GK281" s="75"/>
      <c r="GL281" s="75"/>
      <c r="GM281" s="75"/>
      <c r="GN281" s="75"/>
      <c r="GO281" s="75"/>
      <c r="GP281" s="75"/>
      <c r="GQ281" s="75"/>
      <c r="GR281" s="75"/>
      <c r="GS281" s="75"/>
      <c r="GT281" s="75"/>
      <c r="GU281" s="75"/>
      <c r="GV281" s="75"/>
      <c r="GW281" s="75"/>
      <c r="GX281" s="75"/>
      <c r="GY281" s="75"/>
      <c r="GZ281" s="75"/>
      <c r="HA281" s="75"/>
      <c r="HB281" s="75"/>
      <c r="HC281" s="75"/>
      <c r="HD281" s="75"/>
    </row>
    <row r="282" spans="1:212" ht="1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FY282" s="76"/>
      <c r="FZ282" s="75"/>
      <c r="GA282" s="75"/>
      <c r="GB282" s="75"/>
      <c r="GC282" s="75"/>
      <c r="GD282" s="75"/>
      <c r="GE282" s="75"/>
      <c r="GF282" s="75"/>
      <c r="GG282" s="75"/>
      <c r="GH282" s="75"/>
      <c r="GI282" s="75"/>
      <c r="GJ282" s="75"/>
      <c r="GK282" s="75"/>
      <c r="GL282" s="75"/>
      <c r="GM282" s="75"/>
      <c r="GN282" s="75"/>
      <c r="GO282" s="75"/>
      <c r="GP282" s="75"/>
      <c r="GQ282" s="75"/>
      <c r="GR282" s="75"/>
      <c r="GS282" s="75"/>
      <c r="GT282" s="75"/>
      <c r="GU282" s="75"/>
      <c r="GV282" s="75"/>
      <c r="GW282" s="75"/>
      <c r="GX282" s="75"/>
      <c r="GY282" s="75"/>
      <c r="GZ282" s="75"/>
      <c r="HA282" s="75"/>
      <c r="HB282" s="75"/>
      <c r="HC282" s="75"/>
      <c r="HD282" s="75"/>
    </row>
    <row r="283" spans="1:212" ht="1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FY283" s="76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5"/>
      <c r="GK283" s="75"/>
      <c r="GL283" s="75"/>
      <c r="GM283" s="75"/>
      <c r="GN283" s="75"/>
      <c r="GO283" s="75"/>
      <c r="GP283" s="75"/>
      <c r="GQ283" s="75"/>
      <c r="GR283" s="75"/>
      <c r="GS283" s="75"/>
      <c r="GT283" s="75"/>
      <c r="GU283" s="75"/>
      <c r="GV283" s="75"/>
      <c r="GW283" s="75"/>
      <c r="GX283" s="75"/>
      <c r="GY283" s="75"/>
      <c r="GZ283" s="75"/>
      <c r="HA283" s="75"/>
      <c r="HB283" s="75"/>
      <c r="HC283" s="75"/>
      <c r="HD283" s="75"/>
    </row>
    <row r="284" spans="1:212" ht="1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FY284" s="76"/>
      <c r="FZ284" s="75"/>
      <c r="GA284" s="75"/>
      <c r="GB284" s="75"/>
      <c r="GC284" s="75"/>
      <c r="GD284" s="75"/>
      <c r="GE284" s="75"/>
      <c r="GF284" s="75"/>
      <c r="GG284" s="75"/>
      <c r="GH284" s="75"/>
      <c r="GI284" s="75"/>
      <c r="GJ284" s="75"/>
      <c r="GK284" s="75"/>
      <c r="GL284" s="75"/>
      <c r="GM284" s="75"/>
      <c r="GN284" s="75"/>
      <c r="GO284" s="75"/>
      <c r="GP284" s="75"/>
      <c r="GQ284" s="75"/>
      <c r="GR284" s="75"/>
      <c r="GS284" s="75"/>
      <c r="GT284" s="75"/>
      <c r="GU284" s="75"/>
      <c r="GV284" s="75"/>
      <c r="GW284" s="75"/>
      <c r="GX284" s="75"/>
      <c r="GY284" s="75"/>
      <c r="GZ284" s="75"/>
      <c r="HA284" s="75"/>
      <c r="HB284" s="75"/>
      <c r="HC284" s="75"/>
      <c r="HD284" s="75"/>
    </row>
    <row r="285" spans="1:212" ht="1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FY285" s="76"/>
      <c r="FZ285" s="75"/>
      <c r="GA285" s="75"/>
      <c r="GB285" s="75"/>
      <c r="GC285" s="75"/>
      <c r="GD285" s="75"/>
      <c r="GE285" s="75"/>
      <c r="GF285" s="75"/>
      <c r="GG285" s="75"/>
      <c r="GH285" s="75"/>
      <c r="GI285" s="75"/>
      <c r="GJ285" s="75"/>
      <c r="GK285" s="75"/>
      <c r="GL285" s="75"/>
      <c r="GM285" s="75"/>
      <c r="GN285" s="75"/>
      <c r="GO285" s="75"/>
      <c r="GP285" s="75"/>
      <c r="GQ285" s="75"/>
      <c r="GR285" s="75"/>
      <c r="GS285" s="75"/>
      <c r="GT285" s="75"/>
      <c r="GU285" s="75"/>
      <c r="GV285" s="75"/>
      <c r="GW285" s="75"/>
      <c r="GX285" s="75"/>
      <c r="GY285" s="75"/>
      <c r="GZ285" s="75"/>
      <c r="HA285" s="75"/>
      <c r="HB285" s="75"/>
      <c r="HC285" s="75"/>
      <c r="HD285" s="75"/>
    </row>
    <row r="286" spans="1:212" ht="1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FY286" s="76"/>
      <c r="FZ286" s="75"/>
      <c r="GA286" s="75"/>
      <c r="GB286" s="75"/>
      <c r="GC286" s="75"/>
      <c r="GD286" s="75"/>
      <c r="GE286" s="75"/>
      <c r="GF286" s="75"/>
      <c r="GG286" s="75"/>
      <c r="GH286" s="75"/>
      <c r="GI286" s="75"/>
      <c r="GJ286" s="75"/>
      <c r="GK286" s="75"/>
      <c r="GL286" s="75"/>
      <c r="GM286" s="75"/>
      <c r="GN286" s="75"/>
      <c r="GO286" s="75"/>
      <c r="GP286" s="75"/>
      <c r="GQ286" s="75"/>
      <c r="GR286" s="75"/>
      <c r="GS286" s="75"/>
      <c r="GT286" s="75"/>
      <c r="GU286" s="75"/>
      <c r="GV286" s="75"/>
      <c r="GW286" s="75"/>
      <c r="GX286" s="75"/>
      <c r="GY286" s="75"/>
      <c r="GZ286" s="75"/>
      <c r="HA286" s="75"/>
      <c r="HB286" s="75"/>
      <c r="HC286" s="75"/>
      <c r="HD286" s="75"/>
    </row>
    <row r="287" spans="1:212" ht="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FY287" s="76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5"/>
      <c r="GK287" s="75"/>
      <c r="GL287" s="75"/>
      <c r="GM287" s="75"/>
      <c r="GN287" s="75"/>
      <c r="GO287" s="75"/>
      <c r="GP287" s="75"/>
      <c r="GQ287" s="75"/>
      <c r="GR287" s="75"/>
      <c r="GS287" s="75"/>
      <c r="GT287" s="75"/>
      <c r="GU287" s="75"/>
      <c r="GV287" s="75"/>
      <c r="GW287" s="75"/>
      <c r="GX287" s="75"/>
      <c r="GY287" s="75"/>
      <c r="GZ287" s="75"/>
      <c r="HA287" s="75"/>
      <c r="HB287" s="75"/>
      <c r="HC287" s="75"/>
      <c r="HD287" s="75"/>
    </row>
    <row r="288" spans="1:212" ht="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FY288" s="76"/>
      <c r="FZ288" s="75"/>
      <c r="GA288" s="75"/>
      <c r="GB288" s="75"/>
      <c r="GC288" s="75"/>
      <c r="GD288" s="75"/>
      <c r="GE288" s="75"/>
      <c r="GF288" s="75"/>
      <c r="GG288" s="75"/>
      <c r="GH288" s="75"/>
      <c r="GI288" s="75"/>
      <c r="GJ288" s="75"/>
      <c r="GK288" s="75"/>
      <c r="GL288" s="75"/>
      <c r="GM288" s="75"/>
      <c r="GN288" s="75"/>
      <c r="GO288" s="75"/>
      <c r="GP288" s="75"/>
      <c r="GQ288" s="75"/>
      <c r="GR288" s="75"/>
      <c r="GS288" s="75"/>
      <c r="GT288" s="75"/>
      <c r="GU288" s="75"/>
      <c r="GV288" s="75"/>
      <c r="GW288" s="75"/>
      <c r="GX288" s="75"/>
      <c r="GY288" s="75"/>
      <c r="GZ288" s="75"/>
      <c r="HA288" s="75"/>
      <c r="HB288" s="75"/>
      <c r="HC288" s="75"/>
      <c r="HD288" s="75"/>
    </row>
    <row r="289" spans="1:212" ht="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FY289" s="76"/>
      <c r="FZ289" s="75"/>
      <c r="GA289" s="75"/>
      <c r="GB289" s="75"/>
      <c r="GC289" s="75"/>
      <c r="GD289" s="75"/>
      <c r="GE289" s="75"/>
      <c r="GF289" s="75"/>
      <c r="GG289" s="75"/>
      <c r="GH289" s="75"/>
      <c r="GI289" s="75"/>
      <c r="GJ289" s="75"/>
      <c r="GK289" s="75"/>
      <c r="GL289" s="75"/>
      <c r="GM289" s="75"/>
      <c r="GN289" s="75"/>
      <c r="GO289" s="75"/>
      <c r="GP289" s="75"/>
      <c r="GQ289" s="75"/>
      <c r="GR289" s="75"/>
      <c r="GS289" s="75"/>
      <c r="GT289" s="75"/>
      <c r="GU289" s="75"/>
      <c r="GV289" s="75"/>
      <c r="GW289" s="75"/>
      <c r="GX289" s="75"/>
      <c r="GY289" s="75"/>
      <c r="GZ289" s="75"/>
      <c r="HA289" s="75"/>
      <c r="HB289" s="75"/>
      <c r="HC289" s="75"/>
      <c r="HD289" s="75"/>
    </row>
    <row r="290" spans="1:212" ht="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FY290" s="76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5"/>
      <c r="GK290" s="75"/>
      <c r="GL290" s="75"/>
      <c r="GM290" s="75"/>
      <c r="GN290" s="75"/>
      <c r="GO290" s="75"/>
      <c r="GP290" s="75"/>
      <c r="GQ290" s="75"/>
      <c r="GR290" s="75"/>
      <c r="GS290" s="75"/>
      <c r="GT290" s="75"/>
      <c r="GU290" s="75"/>
      <c r="GV290" s="75"/>
      <c r="GW290" s="75"/>
      <c r="GX290" s="75"/>
      <c r="GY290" s="75"/>
      <c r="GZ290" s="75"/>
      <c r="HA290" s="75"/>
      <c r="HB290" s="75"/>
      <c r="HC290" s="75"/>
      <c r="HD290" s="75"/>
    </row>
    <row r="291" spans="1:212" ht="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FY291" s="76"/>
      <c r="FZ291" s="75"/>
      <c r="GA291" s="75"/>
      <c r="GB291" s="75"/>
      <c r="GC291" s="75"/>
      <c r="GD291" s="75"/>
      <c r="GE291" s="75"/>
      <c r="GF291" s="75"/>
      <c r="GG291" s="75"/>
      <c r="GH291" s="75"/>
      <c r="GI291" s="75"/>
      <c r="GJ291" s="75"/>
      <c r="GK291" s="75"/>
      <c r="GL291" s="75"/>
      <c r="GM291" s="75"/>
      <c r="GN291" s="75"/>
      <c r="GO291" s="75"/>
      <c r="GP291" s="75"/>
      <c r="GQ291" s="75"/>
      <c r="GR291" s="75"/>
      <c r="GS291" s="75"/>
      <c r="GT291" s="75"/>
      <c r="GU291" s="75"/>
      <c r="GV291" s="75"/>
      <c r="GW291" s="75"/>
      <c r="GX291" s="75"/>
      <c r="GY291" s="75"/>
      <c r="GZ291" s="75"/>
      <c r="HA291" s="75"/>
      <c r="HB291" s="75"/>
      <c r="HC291" s="75"/>
      <c r="HD291" s="75"/>
    </row>
    <row r="292" spans="1:212" ht="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FY292" s="76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5"/>
      <c r="GK292" s="75"/>
      <c r="GL292" s="75"/>
      <c r="GM292" s="75"/>
      <c r="GN292" s="75"/>
      <c r="GO292" s="75"/>
      <c r="GP292" s="75"/>
      <c r="GQ292" s="75"/>
      <c r="GR292" s="75"/>
      <c r="GS292" s="75"/>
      <c r="GT292" s="75"/>
      <c r="GU292" s="75"/>
      <c r="GV292" s="75"/>
      <c r="GW292" s="75"/>
      <c r="GX292" s="75"/>
      <c r="GY292" s="75"/>
      <c r="GZ292" s="75"/>
      <c r="HA292" s="75"/>
      <c r="HB292" s="75"/>
      <c r="HC292" s="75"/>
      <c r="HD292" s="75"/>
    </row>
    <row r="293" spans="1:212" ht="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FY293" s="76"/>
      <c r="FZ293" s="75"/>
      <c r="GA293" s="75"/>
      <c r="GB293" s="75"/>
      <c r="GC293" s="75"/>
      <c r="GD293" s="75"/>
      <c r="GE293" s="75"/>
      <c r="GF293" s="75"/>
      <c r="GG293" s="75"/>
      <c r="GH293" s="75"/>
      <c r="GI293" s="75"/>
      <c r="GJ293" s="75"/>
      <c r="GK293" s="75"/>
      <c r="GL293" s="75"/>
      <c r="GM293" s="75"/>
      <c r="GN293" s="75"/>
      <c r="GO293" s="75"/>
      <c r="GP293" s="75"/>
      <c r="GQ293" s="75"/>
      <c r="GR293" s="75"/>
      <c r="GS293" s="75"/>
      <c r="GT293" s="75"/>
      <c r="GU293" s="75"/>
      <c r="GV293" s="75"/>
      <c r="GW293" s="75"/>
      <c r="GX293" s="75"/>
      <c r="GY293" s="75"/>
      <c r="GZ293" s="75"/>
      <c r="HA293" s="75"/>
      <c r="HB293" s="75"/>
      <c r="HC293" s="75"/>
      <c r="HD293" s="75"/>
    </row>
    <row r="294" spans="1:212" ht="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FY294" s="76"/>
      <c r="FZ294" s="75"/>
      <c r="GA294" s="75"/>
      <c r="GB294" s="75"/>
      <c r="GC294" s="75"/>
      <c r="GD294" s="75"/>
      <c r="GE294" s="75"/>
      <c r="GF294" s="75"/>
      <c r="GG294" s="75"/>
      <c r="GH294" s="75"/>
      <c r="GI294" s="75"/>
      <c r="GJ294" s="75"/>
      <c r="GK294" s="75"/>
      <c r="GL294" s="75"/>
      <c r="GM294" s="75"/>
      <c r="GN294" s="75"/>
      <c r="GO294" s="75"/>
      <c r="GP294" s="75"/>
      <c r="GQ294" s="75"/>
      <c r="GR294" s="75"/>
      <c r="GS294" s="75"/>
      <c r="GT294" s="75"/>
      <c r="GU294" s="75"/>
      <c r="GV294" s="75"/>
      <c r="GW294" s="75"/>
      <c r="GX294" s="75"/>
      <c r="GY294" s="75"/>
      <c r="GZ294" s="75"/>
      <c r="HA294" s="75"/>
      <c r="HB294" s="75"/>
      <c r="HC294" s="75"/>
      <c r="HD294" s="75"/>
    </row>
    <row r="295" spans="1:212" ht="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FY295" s="76"/>
      <c r="FZ295" s="75"/>
      <c r="GA295" s="75"/>
      <c r="GB295" s="75"/>
      <c r="GC295" s="75"/>
      <c r="GD295" s="75"/>
      <c r="GE295" s="75"/>
      <c r="GF295" s="75"/>
      <c r="GG295" s="75"/>
      <c r="GH295" s="75"/>
      <c r="GI295" s="75"/>
      <c r="GJ295" s="75"/>
      <c r="GK295" s="75"/>
      <c r="GL295" s="75"/>
      <c r="GM295" s="75"/>
      <c r="GN295" s="75"/>
      <c r="GO295" s="75"/>
      <c r="GP295" s="75"/>
      <c r="GQ295" s="75"/>
      <c r="GR295" s="75"/>
      <c r="GS295" s="75"/>
      <c r="GT295" s="75"/>
      <c r="GU295" s="75"/>
      <c r="GV295" s="75"/>
      <c r="GW295" s="75"/>
      <c r="GX295" s="75"/>
      <c r="GY295" s="75"/>
      <c r="GZ295" s="75"/>
      <c r="HA295" s="75"/>
      <c r="HB295" s="75"/>
      <c r="HC295" s="75"/>
      <c r="HD295" s="75"/>
    </row>
    <row r="296" spans="1:212" ht="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FY296" s="76"/>
      <c r="FZ296" s="75"/>
      <c r="GA296" s="75"/>
      <c r="GB296" s="75"/>
      <c r="GC296" s="75"/>
      <c r="GD296" s="75"/>
      <c r="GE296" s="75"/>
      <c r="GF296" s="75"/>
      <c r="GG296" s="75"/>
      <c r="GH296" s="75"/>
      <c r="GI296" s="75"/>
      <c r="GJ296" s="75"/>
      <c r="GK296" s="75"/>
      <c r="GL296" s="75"/>
      <c r="GM296" s="75"/>
      <c r="GN296" s="75"/>
      <c r="GO296" s="75"/>
      <c r="GP296" s="75"/>
      <c r="GQ296" s="75"/>
      <c r="GR296" s="75"/>
      <c r="GS296" s="75"/>
      <c r="GT296" s="75"/>
      <c r="GU296" s="75"/>
      <c r="GV296" s="75"/>
      <c r="GW296" s="75"/>
      <c r="GX296" s="75"/>
      <c r="GY296" s="75"/>
      <c r="GZ296" s="75"/>
      <c r="HA296" s="75"/>
      <c r="HB296" s="75"/>
      <c r="HC296" s="75"/>
      <c r="HD296" s="75"/>
    </row>
    <row r="297" spans="1:212" ht="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FY297" s="76"/>
      <c r="FZ297" s="75"/>
      <c r="GA297" s="75"/>
      <c r="GB297" s="75"/>
      <c r="GC297" s="75"/>
      <c r="GD297" s="75"/>
      <c r="GE297" s="75"/>
      <c r="GF297" s="75"/>
      <c r="GG297" s="75"/>
      <c r="GH297" s="75"/>
      <c r="GI297" s="75"/>
      <c r="GJ297" s="75"/>
      <c r="GK297" s="75"/>
      <c r="GL297" s="75"/>
      <c r="GM297" s="75"/>
      <c r="GN297" s="75"/>
      <c r="GO297" s="75"/>
      <c r="GP297" s="75"/>
      <c r="GQ297" s="75"/>
      <c r="GR297" s="75"/>
      <c r="GS297" s="75"/>
      <c r="GT297" s="75"/>
      <c r="GU297" s="75"/>
      <c r="GV297" s="75"/>
      <c r="GW297" s="75"/>
      <c r="GX297" s="75"/>
      <c r="GY297" s="75"/>
      <c r="GZ297" s="75"/>
      <c r="HA297" s="75"/>
      <c r="HB297" s="75"/>
      <c r="HC297" s="75"/>
      <c r="HD297" s="75"/>
    </row>
    <row r="298" spans="1:212" ht="1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FY298" s="76"/>
      <c r="FZ298" s="75"/>
      <c r="GA298" s="75"/>
      <c r="GB298" s="75"/>
      <c r="GC298" s="75"/>
      <c r="GD298" s="75"/>
      <c r="GE298" s="75"/>
      <c r="GF298" s="75"/>
      <c r="GG298" s="75"/>
      <c r="GH298" s="75"/>
      <c r="GI298" s="75"/>
      <c r="GJ298" s="75"/>
      <c r="GK298" s="75"/>
      <c r="GL298" s="75"/>
      <c r="GM298" s="75"/>
      <c r="GN298" s="75"/>
      <c r="GO298" s="75"/>
      <c r="GP298" s="75"/>
      <c r="GQ298" s="75"/>
      <c r="GR298" s="75"/>
      <c r="GS298" s="75"/>
      <c r="GT298" s="75"/>
      <c r="GU298" s="75"/>
      <c r="GV298" s="75"/>
      <c r="GW298" s="75"/>
      <c r="GX298" s="75"/>
      <c r="GY298" s="75"/>
      <c r="GZ298" s="75"/>
      <c r="HA298" s="75"/>
      <c r="HB298" s="75"/>
      <c r="HC298" s="75"/>
      <c r="HD298" s="75"/>
    </row>
    <row r="299" spans="1:212" ht="1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FY299" s="76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5"/>
      <c r="GK299" s="75"/>
      <c r="GL299" s="75"/>
      <c r="GM299" s="75"/>
      <c r="GN299" s="75"/>
      <c r="GO299" s="75"/>
      <c r="GP299" s="75"/>
      <c r="GQ299" s="75"/>
      <c r="GR299" s="75"/>
      <c r="GS299" s="75"/>
      <c r="GT299" s="75"/>
      <c r="GU299" s="75"/>
      <c r="GV299" s="75"/>
      <c r="GW299" s="75"/>
      <c r="GX299" s="75"/>
      <c r="GY299" s="75"/>
      <c r="GZ299" s="75"/>
      <c r="HA299" s="75"/>
      <c r="HB299" s="75"/>
      <c r="HC299" s="75"/>
      <c r="HD299" s="75"/>
    </row>
    <row r="300" spans="1:212" ht="1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FY300" s="76"/>
      <c r="FZ300" s="75"/>
      <c r="GA300" s="75"/>
      <c r="GB300" s="75"/>
      <c r="GC300" s="75"/>
      <c r="GD300" s="75"/>
      <c r="GE300" s="75"/>
      <c r="GF300" s="75"/>
      <c r="GG300" s="75"/>
      <c r="GH300" s="75"/>
      <c r="GI300" s="75"/>
      <c r="GJ300" s="75"/>
      <c r="GK300" s="75"/>
      <c r="GL300" s="75"/>
      <c r="GM300" s="75"/>
      <c r="GN300" s="75"/>
      <c r="GO300" s="75"/>
      <c r="GP300" s="75"/>
      <c r="GQ300" s="75"/>
      <c r="GR300" s="75"/>
      <c r="GS300" s="75"/>
      <c r="GT300" s="75"/>
      <c r="GU300" s="75"/>
      <c r="GV300" s="75"/>
      <c r="GW300" s="75"/>
      <c r="GX300" s="75"/>
      <c r="GY300" s="75"/>
      <c r="GZ300" s="75"/>
      <c r="HA300" s="75"/>
      <c r="HB300" s="75"/>
      <c r="HC300" s="75"/>
      <c r="HD300" s="75"/>
    </row>
    <row r="301" spans="1:212" ht="1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FY301" s="76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5"/>
      <c r="GK301" s="75"/>
      <c r="GL301" s="75"/>
      <c r="GM301" s="75"/>
      <c r="GN301" s="75"/>
      <c r="GO301" s="75"/>
      <c r="GP301" s="75"/>
      <c r="GQ301" s="75"/>
      <c r="GR301" s="75"/>
      <c r="GS301" s="75"/>
      <c r="GT301" s="75"/>
      <c r="GU301" s="75"/>
      <c r="GV301" s="75"/>
      <c r="GW301" s="75"/>
      <c r="GX301" s="75"/>
      <c r="GY301" s="75"/>
      <c r="GZ301" s="75"/>
      <c r="HA301" s="75"/>
      <c r="HB301" s="75"/>
      <c r="HC301" s="75"/>
      <c r="HD301" s="75"/>
    </row>
    <row r="302" spans="1:212" ht="1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FY302" s="76"/>
      <c r="FZ302" s="75"/>
      <c r="GA302" s="75"/>
      <c r="GB302" s="75"/>
      <c r="GC302" s="75"/>
      <c r="GD302" s="75"/>
      <c r="GE302" s="75"/>
      <c r="GF302" s="75"/>
      <c r="GG302" s="75"/>
      <c r="GH302" s="75"/>
      <c r="GI302" s="75"/>
      <c r="GJ302" s="75"/>
      <c r="GK302" s="75"/>
      <c r="GL302" s="75"/>
      <c r="GM302" s="75"/>
      <c r="GN302" s="75"/>
      <c r="GO302" s="75"/>
      <c r="GP302" s="75"/>
      <c r="GQ302" s="75"/>
      <c r="GR302" s="75"/>
      <c r="GS302" s="75"/>
      <c r="GT302" s="75"/>
      <c r="GU302" s="75"/>
      <c r="GV302" s="75"/>
      <c r="GW302" s="75"/>
      <c r="GX302" s="75"/>
      <c r="GY302" s="75"/>
      <c r="GZ302" s="75"/>
      <c r="HA302" s="75"/>
      <c r="HB302" s="75"/>
      <c r="HC302" s="75"/>
      <c r="HD302" s="75"/>
    </row>
    <row r="303" spans="1:212" ht="1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FY303" s="76"/>
      <c r="FZ303" s="75"/>
      <c r="GA303" s="75"/>
      <c r="GB303" s="75"/>
      <c r="GC303" s="75"/>
      <c r="GD303" s="75"/>
      <c r="GE303" s="75"/>
      <c r="GF303" s="75"/>
      <c r="GG303" s="75"/>
      <c r="GH303" s="75"/>
      <c r="GI303" s="75"/>
      <c r="GJ303" s="75"/>
      <c r="GK303" s="75"/>
      <c r="GL303" s="75"/>
      <c r="GM303" s="75"/>
      <c r="GN303" s="75"/>
      <c r="GO303" s="75"/>
      <c r="GP303" s="75"/>
      <c r="GQ303" s="75"/>
      <c r="GR303" s="75"/>
      <c r="GS303" s="75"/>
      <c r="GT303" s="75"/>
      <c r="GU303" s="75"/>
      <c r="GV303" s="75"/>
      <c r="GW303" s="75"/>
      <c r="GX303" s="75"/>
      <c r="GY303" s="75"/>
      <c r="GZ303" s="75"/>
      <c r="HA303" s="75"/>
      <c r="HB303" s="75"/>
      <c r="HC303" s="75"/>
      <c r="HD303" s="75"/>
    </row>
    <row r="304" spans="1:212" ht="1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FY304" s="76"/>
      <c r="FZ304" s="75"/>
      <c r="GA304" s="75"/>
      <c r="GB304" s="75"/>
      <c r="GC304" s="75"/>
      <c r="GD304" s="75"/>
      <c r="GE304" s="75"/>
      <c r="GF304" s="75"/>
      <c r="GG304" s="75"/>
      <c r="GH304" s="75"/>
      <c r="GI304" s="75"/>
      <c r="GJ304" s="75"/>
      <c r="GK304" s="75"/>
      <c r="GL304" s="75"/>
      <c r="GM304" s="75"/>
      <c r="GN304" s="75"/>
      <c r="GO304" s="75"/>
      <c r="GP304" s="75"/>
      <c r="GQ304" s="75"/>
      <c r="GR304" s="75"/>
      <c r="GS304" s="75"/>
      <c r="GT304" s="75"/>
      <c r="GU304" s="75"/>
      <c r="GV304" s="75"/>
      <c r="GW304" s="75"/>
      <c r="GX304" s="75"/>
      <c r="GY304" s="75"/>
      <c r="GZ304" s="75"/>
      <c r="HA304" s="75"/>
      <c r="HB304" s="75"/>
      <c r="HC304" s="75"/>
      <c r="HD304" s="75"/>
    </row>
    <row r="305" spans="1:212" ht="1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FY305" s="76"/>
      <c r="FZ305" s="75"/>
      <c r="GA305" s="75"/>
      <c r="GB305" s="75"/>
      <c r="GC305" s="75"/>
      <c r="GD305" s="75"/>
      <c r="GE305" s="75"/>
      <c r="GF305" s="75"/>
      <c r="GG305" s="75"/>
      <c r="GH305" s="75"/>
      <c r="GI305" s="75"/>
      <c r="GJ305" s="75"/>
      <c r="GK305" s="75"/>
      <c r="GL305" s="75"/>
      <c r="GM305" s="75"/>
      <c r="GN305" s="75"/>
      <c r="GO305" s="75"/>
      <c r="GP305" s="75"/>
      <c r="GQ305" s="75"/>
      <c r="GR305" s="75"/>
      <c r="GS305" s="75"/>
      <c r="GT305" s="75"/>
      <c r="GU305" s="75"/>
      <c r="GV305" s="75"/>
      <c r="GW305" s="75"/>
      <c r="GX305" s="75"/>
      <c r="GY305" s="75"/>
      <c r="GZ305" s="75"/>
      <c r="HA305" s="75"/>
      <c r="HB305" s="75"/>
      <c r="HC305" s="75"/>
      <c r="HD305" s="75"/>
    </row>
    <row r="306" spans="1:212" ht="1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FY306" s="76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5"/>
      <c r="GK306" s="75"/>
      <c r="GL306" s="75"/>
      <c r="GM306" s="75"/>
      <c r="GN306" s="75"/>
      <c r="GO306" s="75"/>
      <c r="GP306" s="75"/>
      <c r="GQ306" s="75"/>
      <c r="GR306" s="75"/>
      <c r="GS306" s="75"/>
      <c r="GT306" s="75"/>
      <c r="GU306" s="75"/>
      <c r="GV306" s="75"/>
      <c r="GW306" s="75"/>
      <c r="GX306" s="75"/>
      <c r="GY306" s="75"/>
      <c r="GZ306" s="75"/>
      <c r="HA306" s="75"/>
      <c r="HB306" s="75"/>
      <c r="HC306" s="75"/>
      <c r="HD306" s="75"/>
    </row>
    <row r="307" spans="1:212" ht="1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FY307" s="76"/>
      <c r="FZ307" s="75"/>
      <c r="GA307" s="75"/>
      <c r="GB307" s="75"/>
      <c r="GC307" s="75"/>
      <c r="GD307" s="75"/>
      <c r="GE307" s="75"/>
      <c r="GF307" s="75"/>
      <c r="GG307" s="75"/>
      <c r="GH307" s="75"/>
      <c r="GI307" s="75"/>
      <c r="GJ307" s="75"/>
      <c r="GK307" s="75"/>
      <c r="GL307" s="75"/>
      <c r="GM307" s="75"/>
      <c r="GN307" s="75"/>
      <c r="GO307" s="75"/>
      <c r="GP307" s="75"/>
      <c r="GQ307" s="75"/>
      <c r="GR307" s="75"/>
      <c r="GS307" s="75"/>
      <c r="GT307" s="75"/>
      <c r="GU307" s="75"/>
      <c r="GV307" s="75"/>
      <c r="GW307" s="75"/>
      <c r="GX307" s="75"/>
      <c r="GY307" s="75"/>
      <c r="GZ307" s="75"/>
      <c r="HA307" s="75"/>
      <c r="HB307" s="75"/>
      <c r="HC307" s="75"/>
      <c r="HD307" s="75"/>
    </row>
    <row r="308" spans="1:212" ht="1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FY308" s="76"/>
      <c r="FZ308" s="75"/>
      <c r="GA308" s="75"/>
      <c r="GB308" s="75"/>
      <c r="GC308" s="75"/>
      <c r="GD308" s="75"/>
      <c r="GE308" s="75"/>
      <c r="GF308" s="75"/>
      <c r="GG308" s="75"/>
      <c r="GH308" s="75"/>
      <c r="GI308" s="75"/>
      <c r="GJ308" s="75"/>
      <c r="GK308" s="75"/>
      <c r="GL308" s="75"/>
      <c r="GM308" s="75"/>
      <c r="GN308" s="75"/>
      <c r="GO308" s="75"/>
      <c r="GP308" s="75"/>
      <c r="GQ308" s="75"/>
      <c r="GR308" s="75"/>
      <c r="GS308" s="75"/>
      <c r="GT308" s="75"/>
      <c r="GU308" s="75"/>
      <c r="GV308" s="75"/>
      <c r="GW308" s="75"/>
      <c r="GX308" s="75"/>
      <c r="GY308" s="75"/>
      <c r="GZ308" s="75"/>
      <c r="HA308" s="75"/>
      <c r="HB308" s="75"/>
      <c r="HC308" s="75"/>
      <c r="HD308" s="75"/>
    </row>
    <row r="309" spans="1:212" ht="1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FY309" s="76"/>
      <c r="FZ309" s="75"/>
      <c r="GA309" s="75"/>
      <c r="GB309" s="75"/>
      <c r="GC309" s="75"/>
      <c r="GD309" s="75"/>
      <c r="GE309" s="75"/>
      <c r="GF309" s="75"/>
      <c r="GG309" s="75"/>
      <c r="GH309" s="75"/>
      <c r="GI309" s="75"/>
      <c r="GJ309" s="75"/>
      <c r="GK309" s="75"/>
      <c r="GL309" s="75"/>
      <c r="GM309" s="75"/>
      <c r="GN309" s="75"/>
      <c r="GO309" s="75"/>
      <c r="GP309" s="75"/>
      <c r="GQ309" s="75"/>
      <c r="GR309" s="75"/>
      <c r="GS309" s="75"/>
      <c r="GT309" s="75"/>
      <c r="GU309" s="75"/>
      <c r="GV309" s="75"/>
      <c r="GW309" s="75"/>
      <c r="GX309" s="75"/>
      <c r="GY309" s="75"/>
      <c r="GZ309" s="75"/>
      <c r="HA309" s="75"/>
      <c r="HB309" s="75"/>
      <c r="HC309" s="75"/>
      <c r="HD309" s="75"/>
    </row>
    <row r="310" spans="1:212" ht="1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FY310" s="76"/>
      <c r="FZ310" s="75"/>
      <c r="GA310" s="75"/>
      <c r="GB310" s="75"/>
      <c r="GC310" s="75"/>
      <c r="GD310" s="75"/>
      <c r="GE310" s="75"/>
      <c r="GF310" s="75"/>
      <c r="GG310" s="75"/>
      <c r="GH310" s="75"/>
      <c r="GI310" s="75"/>
      <c r="GJ310" s="75"/>
      <c r="GK310" s="75"/>
      <c r="GL310" s="75"/>
      <c r="GM310" s="75"/>
      <c r="GN310" s="75"/>
      <c r="GO310" s="75"/>
      <c r="GP310" s="75"/>
      <c r="GQ310" s="75"/>
      <c r="GR310" s="75"/>
      <c r="GS310" s="75"/>
      <c r="GT310" s="75"/>
      <c r="GU310" s="75"/>
      <c r="GV310" s="75"/>
      <c r="GW310" s="75"/>
      <c r="GX310" s="75"/>
      <c r="GY310" s="75"/>
      <c r="GZ310" s="75"/>
      <c r="HA310" s="75"/>
      <c r="HB310" s="75"/>
      <c r="HC310" s="75"/>
      <c r="HD310" s="75"/>
    </row>
    <row r="311" spans="1:212" ht="1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FY311" s="76"/>
      <c r="FZ311" s="75"/>
      <c r="GA311" s="75"/>
      <c r="GB311" s="75"/>
      <c r="GC311" s="75"/>
      <c r="GD311" s="75"/>
      <c r="GE311" s="75"/>
      <c r="GF311" s="75"/>
      <c r="GG311" s="75"/>
      <c r="GH311" s="75"/>
      <c r="GI311" s="75"/>
      <c r="GJ311" s="75"/>
      <c r="GK311" s="75"/>
      <c r="GL311" s="75"/>
      <c r="GM311" s="75"/>
      <c r="GN311" s="75"/>
      <c r="GO311" s="75"/>
      <c r="GP311" s="75"/>
      <c r="GQ311" s="75"/>
      <c r="GR311" s="75"/>
      <c r="GS311" s="75"/>
      <c r="GT311" s="75"/>
      <c r="GU311" s="75"/>
      <c r="GV311" s="75"/>
      <c r="GW311" s="75"/>
      <c r="GX311" s="75"/>
      <c r="GY311" s="75"/>
      <c r="GZ311" s="75"/>
      <c r="HA311" s="75"/>
      <c r="HB311" s="75"/>
      <c r="HC311" s="75"/>
      <c r="HD311" s="75"/>
    </row>
    <row r="312" spans="1:212" ht="1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FY312" s="76"/>
      <c r="FZ312" s="75"/>
      <c r="GA312" s="75"/>
      <c r="GB312" s="75"/>
      <c r="GC312" s="75"/>
      <c r="GD312" s="75"/>
      <c r="GE312" s="75"/>
      <c r="GF312" s="75"/>
      <c r="GG312" s="75"/>
      <c r="GH312" s="75"/>
      <c r="GI312" s="75"/>
      <c r="GJ312" s="75"/>
      <c r="GK312" s="75"/>
      <c r="GL312" s="75"/>
      <c r="GM312" s="75"/>
      <c r="GN312" s="75"/>
      <c r="GO312" s="75"/>
      <c r="GP312" s="75"/>
      <c r="GQ312" s="75"/>
      <c r="GR312" s="75"/>
      <c r="GS312" s="75"/>
      <c r="GT312" s="75"/>
      <c r="GU312" s="75"/>
      <c r="GV312" s="75"/>
      <c r="GW312" s="75"/>
      <c r="GX312" s="75"/>
      <c r="GY312" s="75"/>
      <c r="GZ312" s="75"/>
      <c r="HA312" s="75"/>
      <c r="HB312" s="75"/>
      <c r="HC312" s="75"/>
      <c r="HD312" s="75"/>
    </row>
    <row r="313" spans="1:212" ht="1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FY313" s="76"/>
      <c r="FZ313" s="75"/>
      <c r="GA313" s="75"/>
      <c r="GB313" s="75"/>
      <c r="GC313" s="75"/>
      <c r="GD313" s="75"/>
      <c r="GE313" s="75"/>
      <c r="GF313" s="75"/>
      <c r="GG313" s="75"/>
      <c r="GH313" s="75"/>
      <c r="GI313" s="75"/>
      <c r="GJ313" s="75"/>
      <c r="GK313" s="75"/>
      <c r="GL313" s="75"/>
      <c r="GM313" s="75"/>
      <c r="GN313" s="75"/>
      <c r="GO313" s="75"/>
      <c r="GP313" s="75"/>
      <c r="GQ313" s="75"/>
      <c r="GR313" s="75"/>
      <c r="GS313" s="75"/>
      <c r="GT313" s="75"/>
      <c r="GU313" s="75"/>
      <c r="GV313" s="75"/>
      <c r="GW313" s="75"/>
      <c r="GX313" s="75"/>
      <c r="GY313" s="75"/>
      <c r="GZ313" s="75"/>
      <c r="HA313" s="75"/>
      <c r="HB313" s="75"/>
      <c r="HC313" s="75"/>
      <c r="HD313" s="75"/>
    </row>
    <row r="314" spans="1:212" ht="1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FY314" s="76"/>
      <c r="FZ314" s="75"/>
      <c r="GA314" s="75"/>
      <c r="GB314" s="75"/>
      <c r="GC314" s="75"/>
      <c r="GD314" s="75"/>
      <c r="GE314" s="75"/>
      <c r="GF314" s="75"/>
      <c r="GG314" s="75"/>
      <c r="GH314" s="75"/>
      <c r="GI314" s="75"/>
      <c r="GJ314" s="75"/>
      <c r="GK314" s="75"/>
      <c r="GL314" s="75"/>
      <c r="GM314" s="75"/>
      <c r="GN314" s="75"/>
      <c r="GO314" s="75"/>
      <c r="GP314" s="75"/>
      <c r="GQ314" s="75"/>
      <c r="GR314" s="75"/>
      <c r="GS314" s="75"/>
      <c r="GT314" s="75"/>
      <c r="GU314" s="75"/>
      <c r="GV314" s="75"/>
      <c r="GW314" s="75"/>
      <c r="GX314" s="75"/>
      <c r="GY314" s="75"/>
      <c r="GZ314" s="75"/>
      <c r="HA314" s="75"/>
      <c r="HB314" s="75"/>
      <c r="HC314" s="75"/>
      <c r="HD314" s="75"/>
    </row>
    <row r="315" spans="1:212" ht="1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FY315" s="76"/>
      <c r="FZ315" s="75"/>
      <c r="GA315" s="75"/>
      <c r="GB315" s="75"/>
      <c r="GC315" s="75"/>
      <c r="GD315" s="75"/>
      <c r="GE315" s="75"/>
      <c r="GF315" s="75"/>
      <c r="GG315" s="75"/>
      <c r="GH315" s="75"/>
      <c r="GI315" s="75"/>
      <c r="GJ315" s="75"/>
      <c r="GK315" s="75"/>
      <c r="GL315" s="75"/>
      <c r="GM315" s="75"/>
      <c r="GN315" s="75"/>
      <c r="GO315" s="75"/>
      <c r="GP315" s="75"/>
      <c r="GQ315" s="75"/>
      <c r="GR315" s="75"/>
      <c r="GS315" s="75"/>
      <c r="GT315" s="75"/>
      <c r="GU315" s="75"/>
      <c r="GV315" s="75"/>
      <c r="GW315" s="75"/>
      <c r="GX315" s="75"/>
      <c r="GY315" s="75"/>
      <c r="GZ315" s="75"/>
      <c r="HA315" s="75"/>
      <c r="HB315" s="75"/>
      <c r="HC315" s="75"/>
      <c r="HD315" s="75"/>
    </row>
    <row r="316" spans="1:212" ht="1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FY316" s="76"/>
      <c r="FZ316" s="75"/>
      <c r="GA316" s="75"/>
      <c r="GB316" s="75"/>
      <c r="GC316" s="75"/>
      <c r="GD316" s="75"/>
      <c r="GE316" s="75"/>
      <c r="GF316" s="75"/>
      <c r="GG316" s="75"/>
      <c r="GH316" s="75"/>
      <c r="GI316" s="75"/>
      <c r="GJ316" s="75"/>
      <c r="GK316" s="75"/>
      <c r="GL316" s="75"/>
      <c r="GM316" s="75"/>
      <c r="GN316" s="75"/>
      <c r="GO316" s="75"/>
      <c r="GP316" s="75"/>
      <c r="GQ316" s="75"/>
      <c r="GR316" s="75"/>
      <c r="GS316" s="75"/>
      <c r="GT316" s="75"/>
      <c r="GU316" s="75"/>
      <c r="GV316" s="75"/>
      <c r="GW316" s="75"/>
      <c r="GX316" s="75"/>
      <c r="GY316" s="75"/>
      <c r="GZ316" s="75"/>
      <c r="HA316" s="75"/>
      <c r="HB316" s="75"/>
      <c r="HC316" s="75"/>
      <c r="HD316" s="75"/>
    </row>
    <row r="317" spans="1:212" ht="1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FY317" s="76"/>
      <c r="FZ317" s="75"/>
      <c r="GA317" s="75"/>
      <c r="GB317" s="75"/>
      <c r="GC317" s="75"/>
      <c r="GD317" s="75"/>
      <c r="GE317" s="75"/>
      <c r="GF317" s="75"/>
      <c r="GG317" s="75"/>
      <c r="GH317" s="75"/>
      <c r="GI317" s="75"/>
      <c r="GJ317" s="75"/>
      <c r="GK317" s="75"/>
      <c r="GL317" s="75"/>
      <c r="GM317" s="75"/>
      <c r="GN317" s="75"/>
      <c r="GO317" s="75"/>
      <c r="GP317" s="75"/>
      <c r="GQ317" s="75"/>
      <c r="GR317" s="75"/>
      <c r="GS317" s="75"/>
      <c r="GT317" s="75"/>
      <c r="GU317" s="75"/>
      <c r="GV317" s="75"/>
      <c r="GW317" s="75"/>
      <c r="GX317" s="75"/>
      <c r="GY317" s="75"/>
      <c r="GZ317" s="75"/>
      <c r="HA317" s="75"/>
      <c r="HB317" s="75"/>
      <c r="HC317" s="75"/>
      <c r="HD317" s="75"/>
    </row>
    <row r="318" spans="1:212" ht="1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FY318" s="76"/>
      <c r="FZ318" s="75"/>
      <c r="GA318" s="75"/>
      <c r="GB318" s="75"/>
      <c r="GC318" s="75"/>
      <c r="GD318" s="75"/>
      <c r="GE318" s="75"/>
      <c r="GF318" s="75"/>
      <c r="GG318" s="75"/>
      <c r="GH318" s="75"/>
      <c r="GI318" s="75"/>
      <c r="GJ318" s="75"/>
      <c r="GK318" s="75"/>
      <c r="GL318" s="75"/>
      <c r="GM318" s="75"/>
      <c r="GN318" s="75"/>
      <c r="GO318" s="75"/>
      <c r="GP318" s="75"/>
      <c r="GQ318" s="75"/>
      <c r="GR318" s="75"/>
      <c r="GS318" s="75"/>
      <c r="GT318" s="75"/>
      <c r="GU318" s="75"/>
      <c r="GV318" s="75"/>
      <c r="GW318" s="75"/>
      <c r="GX318" s="75"/>
      <c r="GY318" s="75"/>
      <c r="GZ318" s="75"/>
      <c r="HA318" s="75"/>
      <c r="HB318" s="75"/>
      <c r="HC318" s="75"/>
      <c r="HD318" s="75"/>
    </row>
    <row r="319" spans="1:212" ht="1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FY319" s="76"/>
      <c r="FZ319" s="75"/>
      <c r="GA319" s="75"/>
      <c r="GB319" s="75"/>
      <c r="GC319" s="75"/>
      <c r="GD319" s="75"/>
      <c r="GE319" s="75"/>
      <c r="GF319" s="75"/>
      <c r="GG319" s="75"/>
      <c r="GH319" s="75"/>
      <c r="GI319" s="75"/>
      <c r="GJ319" s="75"/>
      <c r="GK319" s="75"/>
      <c r="GL319" s="75"/>
      <c r="GM319" s="75"/>
      <c r="GN319" s="75"/>
      <c r="GO319" s="75"/>
      <c r="GP319" s="75"/>
      <c r="GQ319" s="75"/>
      <c r="GR319" s="75"/>
      <c r="GS319" s="75"/>
      <c r="GT319" s="75"/>
      <c r="GU319" s="75"/>
      <c r="GV319" s="75"/>
      <c r="GW319" s="75"/>
      <c r="GX319" s="75"/>
      <c r="GY319" s="75"/>
      <c r="GZ319" s="75"/>
      <c r="HA319" s="75"/>
      <c r="HB319" s="75"/>
      <c r="HC319" s="75"/>
      <c r="HD319" s="75"/>
    </row>
    <row r="320" spans="1:212" ht="1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FY320" s="76"/>
      <c r="FZ320" s="75"/>
      <c r="GA320" s="75"/>
      <c r="GB320" s="75"/>
      <c r="GC320" s="75"/>
      <c r="GD320" s="75"/>
      <c r="GE320" s="75"/>
      <c r="GF320" s="75"/>
      <c r="GG320" s="75"/>
      <c r="GH320" s="75"/>
      <c r="GI320" s="75"/>
      <c r="GJ320" s="75"/>
      <c r="GK320" s="75"/>
      <c r="GL320" s="75"/>
      <c r="GM320" s="75"/>
      <c r="GN320" s="75"/>
      <c r="GO320" s="75"/>
      <c r="GP320" s="75"/>
      <c r="GQ320" s="75"/>
      <c r="GR320" s="75"/>
      <c r="GS320" s="75"/>
      <c r="GT320" s="75"/>
      <c r="GU320" s="75"/>
      <c r="GV320" s="75"/>
      <c r="GW320" s="75"/>
      <c r="GX320" s="75"/>
      <c r="GY320" s="75"/>
      <c r="GZ320" s="75"/>
      <c r="HA320" s="75"/>
      <c r="HB320" s="75"/>
      <c r="HC320" s="75"/>
      <c r="HD320" s="75"/>
    </row>
    <row r="321" spans="1:212" ht="1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FY321" s="76"/>
      <c r="FZ321" s="75"/>
      <c r="GA321" s="75"/>
      <c r="GB321" s="75"/>
      <c r="GC321" s="75"/>
      <c r="GD321" s="75"/>
      <c r="GE321" s="75"/>
      <c r="GF321" s="75"/>
      <c r="GG321" s="75"/>
      <c r="GH321" s="75"/>
      <c r="GI321" s="75"/>
      <c r="GJ321" s="75"/>
      <c r="GK321" s="75"/>
      <c r="GL321" s="75"/>
      <c r="GM321" s="75"/>
      <c r="GN321" s="75"/>
      <c r="GO321" s="75"/>
      <c r="GP321" s="75"/>
      <c r="GQ321" s="75"/>
      <c r="GR321" s="75"/>
      <c r="GS321" s="75"/>
      <c r="GT321" s="75"/>
      <c r="GU321" s="75"/>
      <c r="GV321" s="75"/>
      <c r="GW321" s="75"/>
      <c r="GX321" s="75"/>
      <c r="GY321" s="75"/>
      <c r="GZ321" s="75"/>
      <c r="HA321" s="75"/>
      <c r="HB321" s="75"/>
      <c r="HC321" s="75"/>
      <c r="HD321" s="75"/>
    </row>
    <row r="322" spans="1:212" ht="1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FY322" s="76"/>
      <c r="FZ322" s="75"/>
      <c r="GA322" s="75"/>
      <c r="GB322" s="75"/>
      <c r="GC322" s="75"/>
      <c r="GD322" s="75"/>
      <c r="GE322" s="75"/>
      <c r="GF322" s="75"/>
      <c r="GG322" s="75"/>
      <c r="GH322" s="75"/>
      <c r="GI322" s="75"/>
      <c r="GJ322" s="75"/>
      <c r="GK322" s="75"/>
      <c r="GL322" s="75"/>
      <c r="GM322" s="75"/>
      <c r="GN322" s="75"/>
      <c r="GO322" s="75"/>
      <c r="GP322" s="75"/>
      <c r="GQ322" s="75"/>
      <c r="GR322" s="75"/>
      <c r="GS322" s="75"/>
      <c r="GT322" s="75"/>
      <c r="GU322" s="75"/>
      <c r="GV322" s="75"/>
      <c r="GW322" s="75"/>
      <c r="GX322" s="75"/>
      <c r="GY322" s="75"/>
      <c r="GZ322" s="75"/>
      <c r="HA322" s="75"/>
      <c r="HB322" s="75"/>
      <c r="HC322" s="75"/>
      <c r="HD322" s="75"/>
    </row>
    <row r="323" spans="1:212" ht="1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FY323" s="76"/>
      <c r="FZ323" s="75"/>
      <c r="GA323" s="75"/>
      <c r="GB323" s="75"/>
      <c r="GC323" s="75"/>
      <c r="GD323" s="75"/>
      <c r="GE323" s="75"/>
      <c r="GF323" s="75"/>
      <c r="GG323" s="75"/>
      <c r="GH323" s="75"/>
      <c r="GI323" s="75"/>
      <c r="GJ323" s="75"/>
      <c r="GK323" s="75"/>
      <c r="GL323" s="75"/>
      <c r="GM323" s="75"/>
      <c r="GN323" s="75"/>
      <c r="GO323" s="75"/>
      <c r="GP323" s="75"/>
      <c r="GQ323" s="75"/>
      <c r="GR323" s="75"/>
      <c r="GS323" s="75"/>
      <c r="GT323" s="75"/>
      <c r="GU323" s="75"/>
      <c r="GV323" s="75"/>
      <c r="GW323" s="75"/>
      <c r="GX323" s="75"/>
      <c r="GY323" s="75"/>
      <c r="GZ323" s="75"/>
      <c r="HA323" s="75"/>
      <c r="HB323" s="75"/>
      <c r="HC323" s="75"/>
      <c r="HD323" s="75"/>
    </row>
    <row r="324" spans="1:212" ht="1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FY324" s="76"/>
      <c r="FZ324" s="75"/>
      <c r="GA324" s="75"/>
      <c r="GB324" s="75"/>
      <c r="GC324" s="75"/>
      <c r="GD324" s="75"/>
      <c r="GE324" s="75"/>
      <c r="GF324" s="75"/>
      <c r="GG324" s="75"/>
      <c r="GH324" s="75"/>
      <c r="GI324" s="75"/>
      <c r="GJ324" s="75"/>
      <c r="GK324" s="75"/>
      <c r="GL324" s="75"/>
      <c r="GM324" s="75"/>
      <c r="GN324" s="75"/>
      <c r="GO324" s="75"/>
      <c r="GP324" s="75"/>
      <c r="GQ324" s="75"/>
      <c r="GR324" s="75"/>
      <c r="GS324" s="75"/>
      <c r="GT324" s="75"/>
      <c r="GU324" s="75"/>
      <c r="GV324" s="75"/>
      <c r="GW324" s="75"/>
      <c r="GX324" s="75"/>
      <c r="GY324" s="75"/>
      <c r="GZ324" s="75"/>
      <c r="HA324" s="75"/>
      <c r="HB324" s="75"/>
      <c r="HC324" s="75"/>
      <c r="HD324" s="75"/>
    </row>
    <row r="325" spans="1:212" ht="1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FY325" s="76"/>
      <c r="FZ325" s="75"/>
      <c r="GA325" s="75"/>
      <c r="GB325" s="75"/>
      <c r="GC325" s="75"/>
      <c r="GD325" s="75"/>
      <c r="GE325" s="75"/>
      <c r="GF325" s="75"/>
      <c r="GG325" s="75"/>
      <c r="GH325" s="75"/>
      <c r="GI325" s="75"/>
      <c r="GJ325" s="75"/>
      <c r="GK325" s="75"/>
      <c r="GL325" s="75"/>
      <c r="GM325" s="75"/>
      <c r="GN325" s="75"/>
      <c r="GO325" s="75"/>
      <c r="GP325" s="75"/>
      <c r="GQ325" s="75"/>
      <c r="GR325" s="75"/>
      <c r="GS325" s="75"/>
      <c r="GT325" s="75"/>
      <c r="GU325" s="75"/>
      <c r="GV325" s="75"/>
      <c r="GW325" s="75"/>
      <c r="GX325" s="75"/>
      <c r="GY325" s="75"/>
      <c r="GZ325" s="75"/>
      <c r="HA325" s="75"/>
      <c r="HB325" s="75"/>
      <c r="HC325" s="75"/>
      <c r="HD325" s="75"/>
    </row>
    <row r="326" spans="1:212" ht="1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FY326" s="76"/>
      <c r="FZ326" s="75"/>
      <c r="GA326" s="75"/>
      <c r="GB326" s="75"/>
      <c r="GC326" s="75"/>
      <c r="GD326" s="75"/>
      <c r="GE326" s="75"/>
      <c r="GF326" s="75"/>
      <c r="GG326" s="75"/>
      <c r="GH326" s="75"/>
      <c r="GI326" s="75"/>
      <c r="GJ326" s="75"/>
      <c r="GK326" s="75"/>
      <c r="GL326" s="75"/>
      <c r="GM326" s="75"/>
      <c r="GN326" s="75"/>
      <c r="GO326" s="75"/>
      <c r="GP326" s="75"/>
      <c r="GQ326" s="75"/>
      <c r="GR326" s="75"/>
      <c r="GS326" s="75"/>
      <c r="GT326" s="75"/>
      <c r="GU326" s="75"/>
      <c r="GV326" s="75"/>
      <c r="GW326" s="75"/>
      <c r="GX326" s="75"/>
      <c r="GY326" s="75"/>
      <c r="GZ326" s="75"/>
      <c r="HA326" s="75"/>
      <c r="HB326" s="75"/>
      <c r="HC326" s="75"/>
      <c r="HD326" s="75"/>
    </row>
    <row r="327" spans="1:212" ht="1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FY327" s="76"/>
      <c r="FZ327" s="75"/>
      <c r="GA327" s="75"/>
      <c r="GB327" s="75"/>
      <c r="GC327" s="75"/>
      <c r="GD327" s="75"/>
      <c r="GE327" s="75"/>
      <c r="GF327" s="75"/>
      <c r="GG327" s="75"/>
      <c r="GH327" s="75"/>
      <c r="GI327" s="75"/>
      <c r="GJ327" s="75"/>
      <c r="GK327" s="75"/>
      <c r="GL327" s="75"/>
      <c r="GM327" s="75"/>
      <c r="GN327" s="75"/>
      <c r="GO327" s="75"/>
      <c r="GP327" s="75"/>
      <c r="GQ327" s="75"/>
      <c r="GR327" s="75"/>
      <c r="GS327" s="75"/>
      <c r="GT327" s="75"/>
      <c r="GU327" s="75"/>
      <c r="GV327" s="75"/>
      <c r="GW327" s="75"/>
      <c r="GX327" s="75"/>
      <c r="GY327" s="75"/>
      <c r="GZ327" s="75"/>
      <c r="HA327" s="75"/>
      <c r="HB327" s="75"/>
      <c r="HC327" s="75"/>
      <c r="HD327" s="75"/>
    </row>
    <row r="328" spans="1:212" ht="1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FY328" s="76"/>
      <c r="FZ328" s="75"/>
      <c r="GA328" s="75"/>
      <c r="GB328" s="75"/>
      <c r="GC328" s="75"/>
      <c r="GD328" s="75"/>
      <c r="GE328" s="75"/>
      <c r="GF328" s="75"/>
      <c r="GG328" s="75"/>
      <c r="GH328" s="75"/>
      <c r="GI328" s="75"/>
      <c r="GJ328" s="75"/>
      <c r="GK328" s="75"/>
      <c r="GL328" s="75"/>
      <c r="GM328" s="75"/>
      <c r="GN328" s="75"/>
      <c r="GO328" s="75"/>
      <c r="GP328" s="75"/>
      <c r="GQ328" s="75"/>
      <c r="GR328" s="75"/>
      <c r="GS328" s="75"/>
      <c r="GT328" s="75"/>
      <c r="GU328" s="75"/>
      <c r="GV328" s="75"/>
      <c r="GW328" s="75"/>
      <c r="GX328" s="75"/>
      <c r="GY328" s="75"/>
      <c r="GZ328" s="75"/>
      <c r="HA328" s="75"/>
      <c r="HB328" s="75"/>
      <c r="HC328" s="75"/>
      <c r="HD328" s="75"/>
    </row>
    <row r="329" spans="1:212" ht="1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FY329" s="76"/>
      <c r="FZ329" s="75"/>
      <c r="GA329" s="75"/>
      <c r="GB329" s="75"/>
      <c r="GC329" s="75"/>
      <c r="GD329" s="75"/>
      <c r="GE329" s="75"/>
      <c r="GF329" s="75"/>
      <c r="GG329" s="75"/>
      <c r="GH329" s="75"/>
      <c r="GI329" s="75"/>
      <c r="GJ329" s="75"/>
      <c r="GK329" s="75"/>
      <c r="GL329" s="75"/>
      <c r="GM329" s="75"/>
      <c r="GN329" s="75"/>
      <c r="GO329" s="75"/>
      <c r="GP329" s="75"/>
      <c r="GQ329" s="75"/>
      <c r="GR329" s="75"/>
      <c r="GS329" s="75"/>
      <c r="GT329" s="75"/>
      <c r="GU329" s="75"/>
      <c r="GV329" s="75"/>
      <c r="GW329" s="75"/>
      <c r="GX329" s="75"/>
      <c r="GY329" s="75"/>
      <c r="GZ329" s="75"/>
      <c r="HA329" s="75"/>
      <c r="HB329" s="75"/>
      <c r="HC329" s="75"/>
      <c r="HD329" s="75"/>
    </row>
    <row r="330" spans="1:212" ht="1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FY330" s="76"/>
      <c r="FZ330" s="75"/>
      <c r="GA330" s="75"/>
      <c r="GB330" s="75"/>
      <c r="GC330" s="75"/>
      <c r="GD330" s="75"/>
      <c r="GE330" s="75"/>
      <c r="GF330" s="75"/>
      <c r="GG330" s="75"/>
      <c r="GH330" s="75"/>
      <c r="GI330" s="75"/>
      <c r="GJ330" s="75"/>
      <c r="GK330" s="75"/>
      <c r="GL330" s="75"/>
      <c r="GM330" s="75"/>
      <c r="GN330" s="75"/>
      <c r="GO330" s="75"/>
      <c r="GP330" s="75"/>
      <c r="GQ330" s="75"/>
      <c r="GR330" s="75"/>
      <c r="GS330" s="75"/>
      <c r="GT330" s="75"/>
      <c r="GU330" s="75"/>
      <c r="GV330" s="75"/>
      <c r="GW330" s="75"/>
      <c r="GX330" s="75"/>
      <c r="GY330" s="75"/>
      <c r="GZ330" s="75"/>
      <c r="HA330" s="75"/>
      <c r="HB330" s="75"/>
      <c r="HC330" s="75"/>
      <c r="HD330" s="75"/>
    </row>
    <row r="331" spans="1:212" ht="1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FY331" s="76"/>
      <c r="FZ331" s="75"/>
      <c r="GA331" s="75"/>
      <c r="GB331" s="75"/>
      <c r="GC331" s="75"/>
      <c r="GD331" s="75"/>
      <c r="GE331" s="75"/>
      <c r="GF331" s="75"/>
      <c r="GG331" s="75"/>
      <c r="GH331" s="75"/>
      <c r="GI331" s="75"/>
      <c r="GJ331" s="75"/>
      <c r="GK331" s="75"/>
      <c r="GL331" s="75"/>
      <c r="GM331" s="75"/>
      <c r="GN331" s="75"/>
      <c r="GO331" s="75"/>
      <c r="GP331" s="75"/>
      <c r="GQ331" s="75"/>
      <c r="GR331" s="75"/>
      <c r="GS331" s="75"/>
      <c r="GT331" s="75"/>
      <c r="GU331" s="75"/>
      <c r="GV331" s="75"/>
      <c r="GW331" s="75"/>
      <c r="GX331" s="75"/>
      <c r="GY331" s="75"/>
      <c r="GZ331" s="75"/>
      <c r="HA331" s="75"/>
      <c r="HB331" s="75"/>
      <c r="HC331" s="75"/>
      <c r="HD331" s="75"/>
    </row>
    <row r="332" spans="1:212" ht="1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FY332" s="76"/>
      <c r="FZ332" s="75"/>
      <c r="GA332" s="75"/>
      <c r="GB332" s="75"/>
      <c r="GC332" s="75"/>
      <c r="GD332" s="75"/>
      <c r="GE332" s="75"/>
      <c r="GF332" s="75"/>
      <c r="GG332" s="75"/>
      <c r="GH332" s="75"/>
      <c r="GI332" s="75"/>
      <c r="GJ332" s="75"/>
      <c r="GK332" s="75"/>
      <c r="GL332" s="75"/>
      <c r="GM332" s="75"/>
      <c r="GN332" s="75"/>
      <c r="GO332" s="75"/>
      <c r="GP332" s="75"/>
      <c r="GQ332" s="75"/>
      <c r="GR332" s="75"/>
      <c r="GS332" s="75"/>
      <c r="GT332" s="75"/>
      <c r="GU332" s="75"/>
      <c r="GV332" s="75"/>
      <c r="GW332" s="75"/>
      <c r="GX332" s="75"/>
      <c r="GY332" s="75"/>
      <c r="GZ332" s="75"/>
      <c r="HA332" s="75"/>
      <c r="HB332" s="75"/>
      <c r="HC332" s="75"/>
      <c r="HD332" s="75"/>
    </row>
    <row r="333" spans="1:212" ht="1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FY333" s="76"/>
      <c r="FZ333" s="75"/>
      <c r="GA333" s="75"/>
      <c r="GB333" s="75"/>
      <c r="GC333" s="75"/>
      <c r="GD333" s="75"/>
      <c r="GE333" s="75"/>
      <c r="GF333" s="75"/>
      <c r="GG333" s="75"/>
      <c r="GH333" s="75"/>
      <c r="GI333" s="75"/>
      <c r="GJ333" s="75"/>
      <c r="GK333" s="75"/>
      <c r="GL333" s="75"/>
      <c r="GM333" s="75"/>
      <c r="GN333" s="75"/>
      <c r="GO333" s="75"/>
      <c r="GP333" s="75"/>
      <c r="GQ333" s="75"/>
      <c r="GR333" s="75"/>
      <c r="GS333" s="75"/>
      <c r="GT333" s="75"/>
      <c r="GU333" s="75"/>
      <c r="GV333" s="75"/>
      <c r="GW333" s="75"/>
      <c r="GX333" s="75"/>
      <c r="GY333" s="75"/>
      <c r="GZ333" s="75"/>
      <c r="HA333" s="75"/>
      <c r="HB333" s="75"/>
      <c r="HC333" s="75"/>
      <c r="HD333" s="75"/>
    </row>
    <row r="334" spans="1:212" ht="1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FY334" s="76"/>
      <c r="FZ334" s="75"/>
      <c r="GA334" s="75"/>
      <c r="GB334" s="75"/>
      <c r="GC334" s="75"/>
      <c r="GD334" s="75"/>
      <c r="GE334" s="75"/>
      <c r="GF334" s="75"/>
      <c r="GG334" s="75"/>
      <c r="GH334" s="75"/>
      <c r="GI334" s="75"/>
      <c r="GJ334" s="75"/>
      <c r="GK334" s="75"/>
      <c r="GL334" s="75"/>
      <c r="GM334" s="75"/>
      <c r="GN334" s="75"/>
      <c r="GO334" s="75"/>
      <c r="GP334" s="75"/>
      <c r="GQ334" s="75"/>
      <c r="GR334" s="75"/>
      <c r="GS334" s="75"/>
      <c r="GT334" s="75"/>
      <c r="GU334" s="75"/>
      <c r="GV334" s="75"/>
      <c r="GW334" s="75"/>
      <c r="GX334" s="75"/>
      <c r="GY334" s="75"/>
      <c r="GZ334" s="75"/>
      <c r="HA334" s="75"/>
      <c r="HB334" s="75"/>
      <c r="HC334" s="75"/>
      <c r="HD334" s="75"/>
    </row>
    <row r="335" spans="1:212" ht="1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FY335" s="76"/>
      <c r="FZ335" s="75"/>
      <c r="GA335" s="75"/>
      <c r="GB335" s="75"/>
      <c r="GC335" s="75"/>
      <c r="GD335" s="75"/>
      <c r="GE335" s="75"/>
      <c r="GF335" s="75"/>
      <c r="GG335" s="75"/>
      <c r="GH335" s="75"/>
      <c r="GI335" s="75"/>
      <c r="GJ335" s="75"/>
      <c r="GK335" s="75"/>
      <c r="GL335" s="75"/>
      <c r="GM335" s="75"/>
      <c r="GN335" s="75"/>
      <c r="GO335" s="75"/>
      <c r="GP335" s="75"/>
      <c r="GQ335" s="75"/>
      <c r="GR335" s="75"/>
      <c r="GS335" s="75"/>
      <c r="GT335" s="75"/>
      <c r="GU335" s="75"/>
      <c r="GV335" s="75"/>
      <c r="GW335" s="75"/>
      <c r="GX335" s="75"/>
      <c r="GY335" s="75"/>
      <c r="GZ335" s="75"/>
      <c r="HA335" s="75"/>
      <c r="HB335" s="75"/>
      <c r="HC335" s="75"/>
      <c r="HD335" s="75"/>
    </row>
    <row r="336" spans="1:212" ht="1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FY336" s="76"/>
      <c r="FZ336" s="75"/>
      <c r="GA336" s="75"/>
      <c r="GB336" s="75"/>
      <c r="GC336" s="75"/>
      <c r="GD336" s="75"/>
      <c r="GE336" s="75"/>
      <c r="GF336" s="75"/>
      <c r="GG336" s="75"/>
      <c r="GH336" s="75"/>
      <c r="GI336" s="75"/>
      <c r="GJ336" s="75"/>
      <c r="GK336" s="75"/>
      <c r="GL336" s="75"/>
      <c r="GM336" s="75"/>
      <c r="GN336" s="75"/>
      <c r="GO336" s="75"/>
      <c r="GP336" s="75"/>
      <c r="GQ336" s="75"/>
      <c r="GR336" s="75"/>
      <c r="GS336" s="75"/>
      <c r="GT336" s="75"/>
      <c r="GU336" s="75"/>
      <c r="GV336" s="75"/>
      <c r="GW336" s="75"/>
      <c r="GX336" s="75"/>
      <c r="GY336" s="75"/>
      <c r="GZ336" s="75"/>
      <c r="HA336" s="75"/>
      <c r="HB336" s="75"/>
      <c r="HC336" s="75"/>
      <c r="HD336" s="75"/>
    </row>
    <row r="337" spans="1:212" ht="1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FY337" s="76"/>
      <c r="FZ337" s="75"/>
      <c r="GA337" s="75"/>
      <c r="GB337" s="75"/>
      <c r="GC337" s="75"/>
      <c r="GD337" s="75"/>
      <c r="GE337" s="75"/>
      <c r="GF337" s="75"/>
      <c r="GG337" s="75"/>
      <c r="GH337" s="75"/>
      <c r="GI337" s="75"/>
      <c r="GJ337" s="75"/>
      <c r="GK337" s="75"/>
      <c r="GL337" s="75"/>
      <c r="GM337" s="75"/>
      <c r="GN337" s="75"/>
      <c r="GO337" s="75"/>
      <c r="GP337" s="75"/>
      <c r="GQ337" s="75"/>
      <c r="GR337" s="75"/>
      <c r="GS337" s="75"/>
      <c r="GT337" s="75"/>
      <c r="GU337" s="75"/>
      <c r="GV337" s="75"/>
      <c r="GW337" s="75"/>
      <c r="GX337" s="75"/>
      <c r="GY337" s="75"/>
      <c r="GZ337" s="75"/>
      <c r="HA337" s="75"/>
      <c r="HB337" s="75"/>
      <c r="HC337" s="75"/>
      <c r="HD337" s="75"/>
    </row>
    <row r="338" spans="1:212" ht="1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FY338" s="76"/>
      <c r="FZ338" s="75"/>
      <c r="GA338" s="75"/>
      <c r="GB338" s="75"/>
      <c r="GC338" s="75"/>
      <c r="GD338" s="75"/>
      <c r="GE338" s="75"/>
      <c r="GF338" s="75"/>
      <c r="GG338" s="75"/>
      <c r="GH338" s="75"/>
      <c r="GI338" s="75"/>
      <c r="GJ338" s="75"/>
      <c r="GK338" s="75"/>
      <c r="GL338" s="75"/>
      <c r="GM338" s="75"/>
      <c r="GN338" s="75"/>
      <c r="GO338" s="75"/>
      <c r="GP338" s="75"/>
      <c r="GQ338" s="75"/>
      <c r="GR338" s="75"/>
      <c r="GS338" s="75"/>
      <c r="GT338" s="75"/>
      <c r="GU338" s="75"/>
      <c r="GV338" s="75"/>
      <c r="GW338" s="75"/>
      <c r="GX338" s="75"/>
      <c r="GY338" s="75"/>
      <c r="GZ338" s="75"/>
      <c r="HA338" s="75"/>
      <c r="HB338" s="75"/>
      <c r="HC338" s="75"/>
      <c r="HD338" s="75"/>
    </row>
    <row r="339" spans="1:212" ht="1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FY339" s="76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5"/>
      <c r="GK339" s="75"/>
      <c r="GL339" s="75"/>
      <c r="GM339" s="75"/>
      <c r="GN339" s="75"/>
      <c r="GO339" s="75"/>
      <c r="GP339" s="75"/>
      <c r="GQ339" s="75"/>
      <c r="GR339" s="75"/>
      <c r="GS339" s="75"/>
      <c r="GT339" s="75"/>
      <c r="GU339" s="75"/>
      <c r="GV339" s="75"/>
      <c r="GW339" s="75"/>
      <c r="GX339" s="75"/>
      <c r="GY339" s="75"/>
      <c r="GZ339" s="75"/>
      <c r="HA339" s="75"/>
      <c r="HB339" s="75"/>
      <c r="HC339" s="75"/>
      <c r="HD339" s="75"/>
    </row>
    <row r="340" spans="1:212" ht="1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FY340" s="76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5"/>
      <c r="GK340" s="75"/>
      <c r="GL340" s="75"/>
      <c r="GM340" s="75"/>
      <c r="GN340" s="75"/>
      <c r="GO340" s="75"/>
      <c r="GP340" s="75"/>
      <c r="GQ340" s="75"/>
      <c r="GR340" s="75"/>
      <c r="GS340" s="75"/>
      <c r="GT340" s="75"/>
      <c r="GU340" s="75"/>
      <c r="GV340" s="75"/>
      <c r="GW340" s="75"/>
      <c r="GX340" s="75"/>
      <c r="GY340" s="75"/>
      <c r="GZ340" s="75"/>
      <c r="HA340" s="75"/>
      <c r="HB340" s="75"/>
      <c r="HC340" s="75"/>
      <c r="HD340" s="75"/>
    </row>
    <row r="341" spans="1:212" ht="1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FY341" s="76"/>
      <c r="FZ341" s="75"/>
      <c r="GA341" s="75"/>
      <c r="GB341" s="75"/>
      <c r="GC341" s="75"/>
      <c r="GD341" s="75"/>
      <c r="GE341" s="75"/>
      <c r="GF341" s="75"/>
      <c r="GG341" s="75"/>
      <c r="GH341" s="75"/>
      <c r="GI341" s="75"/>
      <c r="GJ341" s="75"/>
      <c r="GK341" s="75"/>
      <c r="GL341" s="75"/>
      <c r="GM341" s="75"/>
      <c r="GN341" s="75"/>
      <c r="GO341" s="75"/>
      <c r="GP341" s="75"/>
      <c r="GQ341" s="75"/>
      <c r="GR341" s="75"/>
      <c r="GS341" s="75"/>
      <c r="GT341" s="75"/>
      <c r="GU341" s="75"/>
      <c r="GV341" s="75"/>
      <c r="GW341" s="75"/>
      <c r="GX341" s="75"/>
      <c r="GY341" s="75"/>
      <c r="GZ341" s="75"/>
      <c r="HA341" s="75"/>
      <c r="HB341" s="75"/>
      <c r="HC341" s="75"/>
      <c r="HD341" s="75"/>
    </row>
    <row r="342" spans="1:212" ht="1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FY342" s="76"/>
      <c r="FZ342" s="75"/>
      <c r="GA342" s="75"/>
      <c r="GB342" s="75"/>
      <c r="GC342" s="75"/>
      <c r="GD342" s="75"/>
      <c r="GE342" s="75"/>
      <c r="GF342" s="75"/>
      <c r="GG342" s="75"/>
      <c r="GH342" s="75"/>
      <c r="GI342" s="75"/>
      <c r="GJ342" s="75"/>
      <c r="GK342" s="75"/>
      <c r="GL342" s="75"/>
      <c r="GM342" s="75"/>
      <c r="GN342" s="75"/>
      <c r="GO342" s="75"/>
      <c r="GP342" s="75"/>
      <c r="GQ342" s="75"/>
      <c r="GR342" s="75"/>
      <c r="GS342" s="75"/>
      <c r="GT342" s="75"/>
      <c r="GU342" s="75"/>
      <c r="GV342" s="75"/>
      <c r="GW342" s="75"/>
      <c r="GX342" s="75"/>
      <c r="GY342" s="75"/>
      <c r="GZ342" s="75"/>
      <c r="HA342" s="75"/>
      <c r="HB342" s="75"/>
      <c r="HC342" s="75"/>
      <c r="HD342" s="75"/>
    </row>
    <row r="343" spans="1:212" ht="1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FY343" s="76"/>
      <c r="FZ343" s="75"/>
      <c r="GA343" s="75"/>
      <c r="GB343" s="75"/>
      <c r="GC343" s="75"/>
      <c r="GD343" s="75"/>
      <c r="GE343" s="75"/>
      <c r="GF343" s="75"/>
      <c r="GG343" s="75"/>
      <c r="GH343" s="75"/>
      <c r="GI343" s="75"/>
      <c r="GJ343" s="75"/>
      <c r="GK343" s="75"/>
      <c r="GL343" s="75"/>
      <c r="GM343" s="75"/>
      <c r="GN343" s="75"/>
      <c r="GO343" s="75"/>
      <c r="GP343" s="75"/>
      <c r="GQ343" s="75"/>
      <c r="GR343" s="75"/>
      <c r="GS343" s="75"/>
      <c r="GT343" s="75"/>
      <c r="GU343" s="75"/>
      <c r="GV343" s="75"/>
      <c r="GW343" s="75"/>
      <c r="GX343" s="75"/>
      <c r="GY343" s="75"/>
      <c r="GZ343" s="75"/>
      <c r="HA343" s="75"/>
      <c r="HB343" s="75"/>
      <c r="HC343" s="75"/>
      <c r="HD343" s="75"/>
    </row>
    <row r="344" spans="1:212" ht="1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FY344" s="76"/>
      <c r="FZ344" s="75"/>
      <c r="GA344" s="75"/>
      <c r="GB344" s="75"/>
      <c r="GC344" s="75"/>
      <c r="GD344" s="75"/>
      <c r="GE344" s="75"/>
      <c r="GF344" s="75"/>
      <c r="GG344" s="75"/>
      <c r="GH344" s="75"/>
      <c r="GI344" s="75"/>
      <c r="GJ344" s="75"/>
      <c r="GK344" s="75"/>
      <c r="GL344" s="75"/>
      <c r="GM344" s="75"/>
      <c r="GN344" s="75"/>
      <c r="GO344" s="75"/>
      <c r="GP344" s="75"/>
      <c r="GQ344" s="75"/>
      <c r="GR344" s="75"/>
      <c r="GS344" s="75"/>
      <c r="GT344" s="75"/>
      <c r="GU344" s="75"/>
      <c r="GV344" s="75"/>
      <c r="GW344" s="75"/>
      <c r="GX344" s="75"/>
      <c r="GY344" s="75"/>
      <c r="GZ344" s="75"/>
      <c r="HA344" s="75"/>
      <c r="HB344" s="75"/>
      <c r="HC344" s="75"/>
      <c r="HD344" s="75"/>
    </row>
    <row r="345" spans="1:212" ht="1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FY345" s="76"/>
      <c r="FZ345" s="75"/>
      <c r="GA345" s="75"/>
      <c r="GB345" s="75"/>
      <c r="GC345" s="75"/>
      <c r="GD345" s="75"/>
      <c r="GE345" s="75"/>
      <c r="GF345" s="75"/>
      <c r="GG345" s="75"/>
      <c r="GH345" s="75"/>
      <c r="GI345" s="75"/>
      <c r="GJ345" s="75"/>
      <c r="GK345" s="75"/>
      <c r="GL345" s="75"/>
      <c r="GM345" s="75"/>
      <c r="GN345" s="75"/>
      <c r="GO345" s="75"/>
      <c r="GP345" s="75"/>
      <c r="GQ345" s="75"/>
      <c r="GR345" s="75"/>
      <c r="GS345" s="75"/>
      <c r="GT345" s="75"/>
      <c r="GU345" s="75"/>
      <c r="GV345" s="75"/>
      <c r="GW345" s="75"/>
      <c r="GX345" s="75"/>
      <c r="GY345" s="75"/>
      <c r="GZ345" s="75"/>
      <c r="HA345" s="75"/>
      <c r="HB345" s="75"/>
      <c r="HC345" s="75"/>
      <c r="HD345" s="75"/>
    </row>
    <row r="346" spans="1:212" ht="1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FY346" s="76"/>
      <c r="FZ346" s="75"/>
      <c r="GA346" s="75"/>
      <c r="GB346" s="75"/>
      <c r="GC346" s="75"/>
      <c r="GD346" s="75"/>
      <c r="GE346" s="75"/>
      <c r="GF346" s="75"/>
      <c r="GG346" s="75"/>
      <c r="GH346" s="75"/>
      <c r="GI346" s="75"/>
      <c r="GJ346" s="75"/>
      <c r="GK346" s="75"/>
      <c r="GL346" s="75"/>
      <c r="GM346" s="75"/>
      <c r="GN346" s="75"/>
      <c r="GO346" s="75"/>
      <c r="GP346" s="75"/>
      <c r="GQ346" s="75"/>
      <c r="GR346" s="75"/>
      <c r="GS346" s="75"/>
      <c r="GT346" s="75"/>
      <c r="GU346" s="75"/>
      <c r="GV346" s="75"/>
      <c r="GW346" s="75"/>
      <c r="GX346" s="75"/>
      <c r="GY346" s="75"/>
      <c r="GZ346" s="75"/>
      <c r="HA346" s="75"/>
      <c r="HB346" s="75"/>
      <c r="HC346" s="75"/>
      <c r="HD346" s="75"/>
    </row>
    <row r="347" spans="1:212" ht="1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FY347" s="76"/>
      <c r="FZ347" s="75"/>
      <c r="GA347" s="75"/>
      <c r="GB347" s="75"/>
      <c r="GC347" s="75"/>
      <c r="GD347" s="75"/>
      <c r="GE347" s="75"/>
      <c r="GF347" s="75"/>
      <c r="GG347" s="75"/>
      <c r="GH347" s="75"/>
      <c r="GI347" s="75"/>
      <c r="GJ347" s="75"/>
      <c r="GK347" s="75"/>
      <c r="GL347" s="75"/>
      <c r="GM347" s="75"/>
      <c r="GN347" s="75"/>
      <c r="GO347" s="75"/>
      <c r="GP347" s="75"/>
      <c r="GQ347" s="75"/>
      <c r="GR347" s="75"/>
      <c r="GS347" s="75"/>
      <c r="GT347" s="75"/>
      <c r="GU347" s="75"/>
      <c r="GV347" s="75"/>
      <c r="GW347" s="75"/>
      <c r="GX347" s="75"/>
      <c r="GY347" s="75"/>
      <c r="GZ347" s="75"/>
      <c r="HA347" s="75"/>
      <c r="HB347" s="75"/>
      <c r="HC347" s="75"/>
      <c r="HD347" s="75"/>
    </row>
    <row r="348" spans="1:212" ht="1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FY348" s="76"/>
      <c r="FZ348" s="75"/>
      <c r="GA348" s="75"/>
      <c r="GB348" s="75"/>
      <c r="GC348" s="75"/>
      <c r="GD348" s="75"/>
      <c r="GE348" s="75"/>
      <c r="GF348" s="75"/>
      <c r="GG348" s="75"/>
      <c r="GH348" s="75"/>
      <c r="GI348" s="75"/>
      <c r="GJ348" s="75"/>
      <c r="GK348" s="75"/>
      <c r="GL348" s="75"/>
      <c r="GM348" s="75"/>
      <c r="GN348" s="75"/>
      <c r="GO348" s="75"/>
      <c r="GP348" s="75"/>
      <c r="GQ348" s="75"/>
      <c r="GR348" s="75"/>
      <c r="GS348" s="75"/>
      <c r="GT348" s="75"/>
      <c r="GU348" s="75"/>
      <c r="GV348" s="75"/>
      <c r="GW348" s="75"/>
      <c r="GX348" s="75"/>
      <c r="GY348" s="75"/>
      <c r="GZ348" s="75"/>
      <c r="HA348" s="75"/>
      <c r="HB348" s="75"/>
      <c r="HC348" s="75"/>
      <c r="HD348" s="75"/>
    </row>
    <row r="349" spans="1:212" ht="1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FY349" s="76"/>
      <c r="FZ349" s="75"/>
      <c r="GA349" s="75"/>
      <c r="GB349" s="75"/>
      <c r="GC349" s="75"/>
      <c r="GD349" s="75"/>
      <c r="GE349" s="75"/>
      <c r="GF349" s="75"/>
      <c r="GG349" s="75"/>
      <c r="GH349" s="75"/>
      <c r="GI349" s="75"/>
      <c r="GJ349" s="75"/>
      <c r="GK349" s="75"/>
      <c r="GL349" s="75"/>
      <c r="GM349" s="75"/>
      <c r="GN349" s="75"/>
      <c r="GO349" s="75"/>
      <c r="GP349" s="75"/>
      <c r="GQ349" s="75"/>
      <c r="GR349" s="75"/>
      <c r="GS349" s="75"/>
      <c r="GT349" s="75"/>
      <c r="GU349" s="75"/>
      <c r="GV349" s="75"/>
      <c r="GW349" s="75"/>
      <c r="GX349" s="75"/>
      <c r="GY349" s="75"/>
      <c r="GZ349" s="75"/>
      <c r="HA349" s="75"/>
      <c r="HB349" s="75"/>
      <c r="HC349" s="75"/>
      <c r="HD349" s="75"/>
    </row>
    <row r="350" spans="1:212" ht="1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FY350" s="76"/>
      <c r="FZ350" s="75"/>
      <c r="GA350" s="75"/>
      <c r="GB350" s="75"/>
      <c r="GC350" s="75"/>
      <c r="GD350" s="75"/>
      <c r="GE350" s="75"/>
      <c r="GF350" s="75"/>
      <c r="GG350" s="75"/>
      <c r="GH350" s="75"/>
      <c r="GI350" s="75"/>
      <c r="GJ350" s="75"/>
      <c r="GK350" s="75"/>
      <c r="GL350" s="75"/>
      <c r="GM350" s="75"/>
      <c r="GN350" s="75"/>
      <c r="GO350" s="75"/>
      <c r="GP350" s="75"/>
      <c r="GQ350" s="75"/>
      <c r="GR350" s="75"/>
      <c r="GS350" s="75"/>
      <c r="GT350" s="75"/>
      <c r="GU350" s="75"/>
      <c r="GV350" s="75"/>
      <c r="GW350" s="75"/>
      <c r="GX350" s="75"/>
      <c r="GY350" s="75"/>
      <c r="GZ350" s="75"/>
      <c r="HA350" s="75"/>
      <c r="HB350" s="75"/>
      <c r="HC350" s="75"/>
      <c r="HD350" s="75"/>
    </row>
    <row r="351" spans="1:212" ht="1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FY351" s="76"/>
      <c r="FZ351" s="75"/>
      <c r="GA351" s="75"/>
      <c r="GB351" s="75"/>
      <c r="GC351" s="75"/>
      <c r="GD351" s="75"/>
      <c r="GE351" s="75"/>
      <c r="GF351" s="75"/>
      <c r="GG351" s="75"/>
      <c r="GH351" s="75"/>
      <c r="GI351" s="75"/>
      <c r="GJ351" s="75"/>
      <c r="GK351" s="75"/>
      <c r="GL351" s="75"/>
      <c r="GM351" s="75"/>
      <c r="GN351" s="75"/>
      <c r="GO351" s="75"/>
      <c r="GP351" s="75"/>
      <c r="GQ351" s="75"/>
      <c r="GR351" s="75"/>
      <c r="GS351" s="75"/>
      <c r="GT351" s="75"/>
      <c r="GU351" s="75"/>
      <c r="GV351" s="75"/>
      <c r="GW351" s="75"/>
      <c r="GX351" s="75"/>
      <c r="GY351" s="75"/>
      <c r="GZ351" s="75"/>
      <c r="HA351" s="75"/>
      <c r="HB351" s="75"/>
      <c r="HC351" s="75"/>
      <c r="HD351" s="75"/>
    </row>
    <row r="352" spans="1:212" ht="1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FY352" s="76"/>
      <c r="FZ352" s="75"/>
      <c r="GA352" s="75"/>
      <c r="GB352" s="75"/>
      <c r="GC352" s="75"/>
      <c r="GD352" s="75"/>
      <c r="GE352" s="75"/>
      <c r="GF352" s="75"/>
      <c r="GG352" s="75"/>
      <c r="GH352" s="75"/>
      <c r="GI352" s="75"/>
      <c r="GJ352" s="75"/>
      <c r="GK352" s="75"/>
      <c r="GL352" s="75"/>
      <c r="GM352" s="75"/>
      <c r="GN352" s="75"/>
      <c r="GO352" s="75"/>
      <c r="GP352" s="75"/>
      <c r="GQ352" s="75"/>
      <c r="GR352" s="75"/>
      <c r="GS352" s="75"/>
      <c r="GT352" s="75"/>
      <c r="GU352" s="75"/>
      <c r="GV352" s="75"/>
      <c r="GW352" s="75"/>
      <c r="GX352" s="75"/>
      <c r="GY352" s="75"/>
      <c r="GZ352" s="75"/>
      <c r="HA352" s="75"/>
      <c r="HB352" s="75"/>
      <c r="HC352" s="75"/>
      <c r="HD352" s="75"/>
    </row>
    <row r="353" spans="1:212" ht="1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FY353" s="76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5"/>
      <c r="GK353" s="75"/>
      <c r="GL353" s="75"/>
      <c r="GM353" s="75"/>
      <c r="GN353" s="75"/>
      <c r="GO353" s="75"/>
      <c r="GP353" s="75"/>
      <c r="GQ353" s="75"/>
      <c r="GR353" s="75"/>
      <c r="GS353" s="75"/>
      <c r="GT353" s="75"/>
      <c r="GU353" s="75"/>
      <c r="GV353" s="75"/>
      <c r="GW353" s="75"/>
      <c r="GX353" s="75"/>
      <c r="GY353" s="75"/>
      <c r="GZ353" s="75"/>
      <c r="HA353" s="75"/>
      <c r="HB353" s="75"/>
      <c r="HC353" s="75"/>
      <c r="HD353" s="75"/>
    </row>
    <row r="354" spans="1:212" ht="1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FY354" s="76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5"/>
      <c r="GK354" s="75"/>
      <c r="GL354" s="75"/>
      <c r="GM354" s="75"/>
      <c r="GN354" s="75"/>
      <c r="GO354" s="75"/>
      <c r="GP354" s="75"/>
      <c r="GQ354" s="75"/>
      <c r="GR354" s="75"/>
      <c r="GS354" s="75"/>
      <c r="GT354" s="75"/>
      <c r="GU354" s="75"/>
      <c r="GV354" s="75"/>
      <c r="GW354" s="75"/>
      <c r="GX354" s="75"/>
      <c r="GY354" s="75"/>
      <c r="GZ354" s="75"/>
      <c r="HA354" s="75"/>
      <c r="HB354" s="75"/>
      <c r="HC354" s="75"/>
      <c r="HD354" s="75"/>
    </row>
    <row r="355" spans="1:212" ht="1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FY355" s="76"/>
      <c r="FZ355" s="75"/>
      <c r="GA355" s="75"/>
      <c r="GB355" s="75"/>
      <c r="GC355" s="75"/>
      <c r="GD355" s="75"/>
      <c r="GE355" s="75"/>
      <c r="GF355" s="75"/>
      <c r="GG355" s="75"/>
      <c r="GH355" s="75"/>
      <c r="GI355" s="75"/>
      <c r="GJ355" s="75"/>
      <c r="GK355" s="75"/>
      <c r="GL355" s="75"/>
      <c r="GM355" s="75"/>
      <c r="GN355" s="75"/>
      <c r="GO355" s="75"/>
      <c r="GP355" s="75"/>
      <c r="GQ355" s="75"/>
      <c r="GR355" s="75"/>
      <c r="GS355" s="75"/>
      <c r="GT355" s="75"/>
      <c r="GU355" s="75"/>
      <c r="GV355" s="75"/>
      <c r="GW355" s="75"/>
      <c r="GX355" s="75"/>
      <c r="GY355" s="75"/>
      <c r="GZ355" s="75"/>
      <c r="HA355" s="75"/>
      <c r="HB355" s="75"/>
      <c r="HC355" s="75"/>
      <c r="HD355" s="75"/>
    </row>
    <row r="356" spans="1:212" ht="1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FY356" s="76"/>
      <c r="FZ356" s="75"/>
      <c r="GA356" s="75"/>
      <c r="GB356" s="75"/>
      <c r="GC356" s="75"/>
      <c r="GD356" s="75"/>
      <c r="GE356" s="75"/>
      <c r="GF356" s="75"/>
      <c r="GG356" s="75"/>
      <c r="GH356" s="75"/>
      <c r="GI356" s="75"/>
      <c r="GJ356" s="75"/>
      <c r="GK356" s="75"/>
      <c r="GL356" s="75"/>
      <c r="GM356" s="75"/>
      <c r="GN356" s="75"/>
      <c r="GO356" s="75"/>
      <c r="GP356" s="75"/>
      <c r="GQ356" s="75"/>
      <c r="GR356" s="75"/>
      <c r="GS356" s="75"/>
      <c r="GT356" s="75"/>
      <c r="GU356" s="75"/>
      <c r="GV356" s="75"/>
      <c r="GW356" s="75"/>
      <c r="GX356" s="75"/>
      <c r="GY356" s="75"/>
      <c r="GZ356" s="75"/>
      <c r="HA356" s="75"/>
      <c r="HB356" s="75"/>
      <c r="HC356" s="75"/>
      <c r="HD356" s="75"/>
    </row>
    <row r="357" spans="1:212" ht="1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FY357" s="76"/>
      <c r="FZ357" s="75"/>
      <c r="GA357" s="75"/>
      <c r="GB357" s="75"/>
      <c r="GC357" s="75"/>
      <c r="GD357" s="75"/>
      <c r="GE357" s="75"/>
      <c r="GF357" s="75"/>
      <c r="GG357" s="75"/>
      <c r="GH357" s="75"/>
      <c r="GI357" s="75"/>
      <c r="GJ357" s="75"/>
      <c r="GK357" s="75"/>
      <c r="GL357" s="75"/>
      <c r="GM357" s="75"/>
      <c r="GN357" s="75"/>
      <c r="GO357" s="75"/>
      <c r="GP357" s="75"/>
      <c r="GQ357" s="75"/>
      <c r="GR357" s="75"/>
      <c r="GS357" s="75"/>
      <c r="GT357" s="75"/>
      <c r="GU357" s="75"/>
      <c r="GV357" s="75"/>
      <c r="GW357" s="75"/>
      <c r="GX357" s="75"/>
      <c r="GY357" s="75"/>
      <c r="GZ357" s="75"/>
      <c r="HA357" s="75"/>
      <c r="HB357" s="75"/>
      <c r="HC357" s="75"/>
      <c r="HD357" s="75"/>
    </row>
    <row r="358" spans="1:212" ht="1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FY358" s="76"/>
      <c r="FZ358" s="75"/>
      <c r="GA358" s="75"/>
      <c r="GB358" s="75"/>
      <c r="GC358" s="75"/>
      <c r="GD358" s="75"/>
      <c r="GE358" s="75"/>
      <c r="GF358" s="75"/>
      <c r="GG358" s="75"/>
      <c r="GH358" s="75"/>
      <c r="GI358" s="75"/>
      <c r="GJ358" s="75"/>
      <c r="GK358" s="75"/>
      <c r="GL358" s="75"/>
      <c r="GM358" s="75"/>
      <c r="GN358" s="75"/>
      <c r="GO358" s="75"/>
      <c r="GP358" s="75"/>
      <c r="GQ358" s="75"/>
      <c r="GR358" s="75"/>
      <c r="GS358" s="75"/>
      <c r="GT358" s="75"/>
      <c r="GU358" s="75"/>
      <c r="GV358" s="75"/>
      <c r="GW358" s="75"/>
      <c r="GX358" s="75"/>
      <c r="GY358" s="75"/>
      <c r="GZ358" s="75"/>
      <c r="HA358" s="75"/>
      <c r="HB358" s="75"/>
      <c r="HC358" s="75"/>
      <c r="HD358" s="75"/>
    </row>
    <row r="359" spans="1:212" ht="1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FY359" s="76"/>
      <c r="FZ359" s="75"/>
      <c r="GA359" s="75"/>
      <c r="GB359" s="75"/>
      <c r="GC359" s="75"/>
      <c r="GD359" s="75"/>
      <c r="GE359" s="75"/>
      <c r="GF359" s="75"/>
      <c r="GG359" s="75"/>
      <c r="GH359" s="75"/>
      <c r="GI359" s="75"/>
      <c r="GJ359" s="75"/>
      <c r="GK359" s="75"/>
      <c r="GL359" s="75"/>
      <c r="GM359" s="75"/>
      <c r="GN359" s="75"/>
      <c r="GO359" s="75"/>
      <c r="GP359" s="75"/>
      <c r="GQ359" s="75"/>
      <c r="GR359" s="75"/>
      <c r="GS359" s="75"/>
      <c r="GT359" s="75"/>
      <c r="GU359" s="75"/>
      <c r="GV359" s="75"/>
      <c r="GW359" s="75"/>
      <c r="GX359" s="75"/>
      <c r="GY359" s="75"/>
      <c r="GZ359" s="75"/>
      <c r="HA359" s="75"/>
      <c r="HB359" s="75"/>
      <c r="HC359" s="75"/>
      <c r="HD359" s="75"/>
    </row>
    <row r="360" spans="1:212" ht="1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FY360" s="76"/>
      <c r="FZ360" s="75"/>
      <c r="GA360" s="75"/>
      <c r="GB360" s="75"/>
      <c r="GC360" s="75"/>
      <c r="GD360" s="75"/>
      <c r="GE360" s="75"/>
      <c r="GF360" s="75"/>
      <c r="GG360" s="75"/>
      <c r="GH360" s="75"/>
      <c r="GI360" s="75"/>
      <c r="GJ360" s="75"/>
      <c r="GK360" s="75"/>
      <c r="GL360" s="75"/>
      <c r="GM360" s="75"/>
      <c r="GN360" s="75"/>
      <c r="GO360" s="75"/>
      <c r="GP360" s="75"/>
      <c r="GQ360" s="75"/>
      <c r="GR360" s="75"/>
      <c r="GS360" s="75"/>
      <c r="GT360" s="75"/>
      <c r="GU360" s="75"/>
      <c r="GV360" s="75"/>
      <c r="GW360" s="75"/>
      <c r="GX360" s="75"/>
      <c r="GY360" s="75"/>
      <c r="GZ360" s="75"/>
      <c r="HA360" s="75"/>
      <c r="HB360" s="75"/>
      <c r="HC360" s="75"/>
      <c r="HD360" s="75"/>
    </row>
    <row r="361" spans="1:212" ht="1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FY361" s="76"/>
      <c r="FZ361" s="75"/>
      <c r="GA361" s="75"/>
      <c r="GB361" s="75"/>
      <c r="GC361" s="75"/>
      <c r="GD361" s="75"/>
      <c r="GE361" s="75"/>
      <c r="GF361" s="75"/>
      <c r="GG361" s="75"/>
      <c r="GH361" s="75"/>
      <c r="GI361" s="75"/>
      <c r="GJ361" s="75"/>
      <c r="GK361" s="75"/>
      <c r="GL361" s="75"/>
      <c r="GM361" s="75"/>
      <c r="GN361" s="75"/>
      <c r="GO361" s="75"/>
      <c r="GP361" s="75"/>
      <c r="GQ361" s="75"/>
      <c r="GR361" s="75"/>
      <c r="GS361" s="75"/>
      <c r="GT361" s="75"/>
      <c r="GU361" s="75"/>
      <c r="GV361" s="75"/>
      <c r="GW361" s="75"/>
      <c r="GX361" s="75"/>
      <c r="GY361" s="75"/>
      <c r="GZ361" s="75"/>
      <c r="HA361" s="75"/>
      <c r="HB361" s="75"/>
      <c r="HC361" s="75"/>
      <c r="HD361" s="75"/>
    </row>
    <row r="362" spans="1:212" ht="1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FY362" s="76"/>
      <c r="FZ362" s="75"/>
      <c r="GA362" s="75"/>
      <c r="GB362" s="75"/>
      <c r="GC362" s="75"/>
      <c r="GD362" s="75"/>
      <c r="GE362" s="75"/>
      <c r="GF362" s="75"/>
      <c r="GG362" s="75"/>
      <c r="GH362" s="75"/>
      <c r="GI362" s="75"/>
      <c r="GJ362" s="75"/>
      <c r="GK362" s="75"/>
      <c r="GL362" s="75"/>
      <c r="GM362" s="75"/>
      <c r="GN362" s="75"/>
      <c r="GO362" s="75"/>
      <c r="GP362" s="75"/>
      <c r="GQ362" s="75"/>
      <c r="GR362" s="75"/>
      <c r="GS362" s="75"/>
      <c r="GT362" s="75"/>
      <c r="GU362" s="75"/>
      <c r="GV362" s="75"/>
      <c r="GW362" s="75"/>
      <c r="GX362" s="75"/>
      <c r="GY362" s="75"/>
      <c r="GZ362" s="75"/>
      <c r="HA362" s="75"/>
      <c r="HB362" s="75"/>
      <c r="HC362" s="75"/>
      <c r="HD362" s="75"/>
    </row>
    <row r="363" spans="1:212" ht="1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FY363" s="76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</row>
    <row r="364" spans="1:212" ht="1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FY364" s="76"/>
      <c r="FZ364" s="75"/>
      <c r="GA364" s="75"/>
      <c r="GB364" s="75"/>
      <c r="GC364" s="75"/>
      <c r="GD364" s="75"/>
      <c r="GE364" s="75"/>
      <c r="GF364" s="75"/>
      <c r="GG364" s="75"/>
      <c r="GH364" s="75"/>
      <c r="GI364" s="75"/>
      <c r="GJ364" s="75"/>
      <c r="GK364" s="75"/>
      <c r="GL364" s="75"/>
      <c r="GM364" s="75"/>
      <c r="GN364" s="75"/>
      <c r="GO364" s="75"/>
      <c r="GP364" s="75"/>
      <c r="GQ364" s="75"/>
      <c r="GR364" s="75"/>
      <c r="GS364" s="75"/>
      <c r="GT364" s="75"/>
      <c r="GU364" s="75"/>
      <c r="GV364" s="75"/>
      <c r="GW364" s="75"/>
      <c r="GX364" s="75"/>
      <c r="GY364" s="75"/>
      <c r="GZ364" s="75"/>
      <c r="HA364" s="75"/>
      <c r="HB364" s="75"/>
      <c r="HC364" s="75"/>
      <c r="HD364" s="75"/>
    </row>
    <row r="365" spans="1:212" ht="1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FY365" s="76"/>
      <c r="FZ365" s="75"/>
      <c r="GA365" s="75"/>
      <c r="GB365" s="75"/>
      <c r="GC365" s="75"/>
      <c r="GD365" s="75"/>
      <c r="GE365" s="75"/>
      <c r="GF365" s="75"/>
      <c r="GG365" s="75"/>
      <c r="GH365" s="75"/>
      <c r="GI365" s="75"/>
      <c r="GJ365" s="75"/>
      <c r="GK365" s="75"/>
      <c r="GL365" s="75"/>
      <c r="GM365" s="75"/>
      <c r="GN365" s="75"/>
      <c r="GO365" s="75"/>
      <c r="GP365" s="75"/>
      <c r="GQ365" s="75"/>
      <c r="GR365" s="75"/>
      <c r="GS365" s="75"/>
      <c r="GT365" s="75"/>
      <c r="GU365" s="75"/>
      <c r="GV365" s="75"/>
      <c r="GW365" s="75"/>
      <c r="GX365" s="75"/>
      <c r="GY365" s="75"/>
      <c r="GZ365" s="75"/>
      <c r="HA365" s="75"/>
      <c r="HB365" s="75"/>
      <c r="HC365" s="75"/>
      <c r="HD365" s="75"/>
    </row>
    <row r="366" spans="1:212" ht="1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FY366" s="76"/>
      <c r="FZ366" s="75"/>
      <c r="GA366" s="75"/>
      <c r="GB366" s="75"/>
      <c r="GC366" s="75"/>
      <c r="GD366" s="75"/>
      <c r="GE366" s="75"/>
      <c r="GF366" s="75"/>
      <c r="GG366" s="75"/>
      <c r="GH366" s="75"/>
      <c r="GI366" s="75"/>
      <c r="GJ366" s="75"/>
      <c r="GK366" s="75"/>
      <c r="GL366" s="75"/>
      <c r="GM366" s="75"/>
      <c r="GN366" s="75"/>
      <c r="GO366" s="75"/>
      <c r="GP366" s="75"/>
      <c r="GQ366" s="75"/>
      <c r="GR366" s="75"/>
      <c r="GS366" s="75"/>
      <c r="GT366" s="75"/>
      <c r="GU366" s="75"/>
      <c r="GV366" s="75"/>
      <c r="GW366" s="75"/>
      <c r="GX366" s="75"/>
      <c r="GY366" s="75"/>
      <c r="GZ366" s="75"/>
      <c r="HA366" s="75"/>
      <c r="HB366" s="75"/>
      <c r="HC366" s="75"/>
      <c r="HD366" s="75"/>
    </row>
    <row r="367" spans="1:212" ht="1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FY367" s="76"/>
      <c r="FZ367" s="75"/>
      <c r="GA367" s="75"/>
      <c r="GB367" s="75"/>
      <c r="GC367" s="75"/>
      <c r="GD367" s="75"/>
      <c r="GE367" s="75"/>
      <c r="GF367" s="75"/>
      <c r="GG367" s="75"/>
      <c r="GH367" s="75"/>
      <c r="GI367" s="75"/>
      <c r="GJ367" s="75"/>
      <c r="GK367" s="75"/>
      <c r="GL367" s="75"/>
      <c r="GM367" s="75"/>
      <c r="GN367" s="75"/>
      <c r="GO367" s="75"/>
      <c r="GP367" s="75"/>
      <c r="GQ367" s="75"/>
      <c r="GR367" s="75"/>
      <c r="GS367" s="75"/>
      <c r="GT367" s="75"/>
      <c r="GU367" s="75"/>
      <c r="GV367" s="75"/>
      <c r="GW367" s="75"/>
      <c r="GX367" s="75"/>
      <c r="GY367" s="75"/>
      <c r="GZ367" s="75"/>
      <c r="HA367" s="75"/>
      <c r="HB367" s="75"/>
      <c r="HC367" s="75"/>
      <c r="HD367" s="75"/>
    </row>
    <row r="368" spans="1:212" ht="1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FY368" s="76"/>
      <c r="FZ368" s="75"/>
      <c r="GA368" s="75"/>
      <c r="GB368" s="75"/>
      <c r="GC368" s="75"/>
      <c r="GD368" s="75"/>
      <c r="GE368" s="75"/>
      <c r="GF368" s="75"/>
      <c r="GG368" s="75"/>
      <c r="GH368" s="75"/>
      <c r="GI368" s="75"/>
      <c r="GJ368" s="75"/>
      <c r="GK368" s="75"/>
      <c r="GL368" s="75"/>
      <c r="GM368" s="75"/>
      <c r="GN368" s="75"/>
      <c r="GO368" s="75"/>
      <c r="GP368" s="75"/>
      <c r="GQ368" s="75"/>
      <c r="GR368" s="75"/>
      <c r="GS368" s="75"/>
      <c r="GT368" s="75"/>
      <c r="GU368" s="75"/>
      <c r="GV368" s="75"/>
      <c r="GW368" s="75"/>
      <c r="GX368" s="75"/>
      <c r="GY368" s="75"/>
      <c r="GZ368" s="75"/>
      <c r="HA368" s="75"/>
      <c r="HB368" s="75"/>
      <c r="HC368" s="75"/>
      <c r="HD368" s="75"/>
    </row>
    <row r="369" spans="1:212" ht="1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FY369" s="76"/>
      <c r="FZ369" s="75"/>
      <c r="GA369" s="75"/>
      <c r="GB369" s="75"/>
      <c r="GC369" s="75"/>
      <c r="GD369" s="75"/>
      <c r="GE369" s="75"/>
      <c r="GF369" s="75"/>
      <c r="GG369" s="75"/>
      <c r="GH369" s="75"/>
      <c r="GI369" s="75"/>
      <c r="GJ369" s="75"/>
      <c r="GK369" s="75"/>
      <c r="GL369" s="75"/>
      <c r="GM369" s="75"/>
      <c r="GN369" s="75"/>
      <c r="GO369" s="75"/>
      <c r="GP369" s="75"/>
      <c r="GQ369" s="75"/>
      <c r="GR369" s="75"/>
      <c r="GS369" s="75"/>
      <c r="GT369" s="75"/>
      <c r="GU369" s="75"/>
      <c r="GV369" s="75"/>
      <c r="GW369" s="75"/>
      <c r="GX369" s="75"/>
      <c r="GY369" s="75"/>
      <c r="GZ369" s="75"/>
      <c r="HA369" s="75"/>
      <c r="HB369" s="75"/>
      <c r="HC369" s="75"/>
      <c r="HD369" s="75"/>
    </row>
    <row r="370" spans="1:212" ht="1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FY370" s="76"/>
      <c r="FZ370" s="75"/>
      <c r="GA370" s="75"/>
      <c r="GB370" s="75"/>
      <c r="GC370" s="75"/>
      <c r="GD370" s="75"/>
      <c r="GE370" s="75"/>
      <c r="GF370" s="75"/>
      <c r="GG370" s="75"/>
      <c r="GH370" s="75"/>
      <c r="GI370" s="75"/>
      <c r="GJ370" s="75"/>
      <c r="GK370" s="75"/>
      <c r="GL370" s="75"/>
      <c r="GM370" s="75"/>
      <c r="GN370" s="75"/>
      <c r="GO370" s="75"/>
      <c r="GP370" s="75"/>
      <c r="GQ370" s="75"/>
      <c r="GR370" s="75"/>
      <c r="GS370" s="75"/>
      <c r="GT370" s="75"/>
      <c r="GU370" s="75"/>
      <c r="GV370" s="75"/>
      <c r="GW370" s="75"/>
      <c r="GX370" s="75"/>
      <c r="GY370" s="75"/>
      <c r="GZ370" s="75"/>
      <c r="HA370" s="75"/>
      <c r="HB370" s="75"/>
      <c r="HC370" s="75"/>
      <c r="HD370" s="75"/>
    </row>
    <row r="371" spans="1:212" ht="1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FY371" s="76"/>
      <c r="FZ371" s="75"/>
      <c r="GA371" s="75"/>
      <c r="GB371" s="75"/>
      <c r="GC371" s="75"/>
      <c r="GD371" s="75"/>
      <c r="GE371" s="75"/>
      <c r="GF371" s="75"/>
      <c r="GG371" s="75"/>
      <c r="GH371" s="75"/>
      <c r="GI371" s="75"/>
      <c r="GJ371" s="75"/>
      <c r="GK371" s="75"/>
      <c r="GL371" s="75"/>
      <c r="GM371" s="75"/>
      <c r="GN371" s="75"/>
      <c r="GO371" s="75"/>
      <c r="GP371" s="75"/>
      <c r="GQ371" s="75"/>
      <c r="GR371" s="75"/>
      <c r="GS371" s="75"/>
      <c r="GT371" s="75"/>
      <c r="GU371" s="75"/>
      <c r="GV371" s="75"/>
      <c r="GW371" s="75"/>
      <c r="GX371" s="75"/>
      <c r="GY371" s="75"/>
      <c r="GZ371" s="75"/>
      <c r="HA371" s="75"/>
      <c r="HB371" s="75"/>
      <c r="HC371" s="75"/>
      <c r="HD371" s="75"/>
    </row>
    <row r="372" spans="1:212" ht="1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FY372" s="76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</row>
    <row r="373" spans="181:212" ht="15"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5"/>
      <c r="GK373" s="75"/>
      <c r="GL373" s="75"/>
      <c r="GM373" s="75"/>
      <c r="GN373" s="75"/>
      <c r="GO373" s="75"/>
      <c r="GP373" s="75"/>
      <c r="GQ373" s="75"/>
      <c r="GR373" s="75"/>
      <c r="GS373" s="75"/>
      <c r="GT373" s="75"/>
      <c r="GU373" s="75"/>
      <c r="GV373" s="75"/>
      <c r="GW373" s="75"/>
      <c r="GX373" s="75"/>
      <c r="GY373" s="75"/>
      <c r="GZ373" s="75"/>
      <c r="HA373" s="75"/>
      <c r="HB373" s="75"/>
      <c r="HC373" s="75"/>
      <c r="HD373" s="75"/>
    </row>
    <row r="374" spans="181:212" ht="15"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  <c r="GI374" s="75"/>
      <c r="GJ374" s="75"/>
      <c r="GK374" s="75"/>
      <c r="GL374" s="75"/>
      <c r="GM374" s="75"/>
      <c r="GN374" s="75"/>
      <c r="GO374" s="75"/>
      <c r="GP374" s="75"/>
      <c r="GQ374" s="75"/>
      <c r="GR374" s="75"/>
      <c r="GS374" s="75"/>
      <c r="GT374" s="75"/>
      <c r="GU374" s="75"/>
      <c r="GV374" s="75"/>
      <c r="GW374" s="75"/>
      <c r="GX374" s="75"/>
      <c r="GY374" s="75"/>
      <c r="GZ374" s="75"/>
      <c r="HA374" s="75"/>
      <c r="HB374" s="75"/>
      <c r="HC374" s="75"/>
      <c r="HD374" s="75"/>
    </row>
    <row r="375" spans="181:212" ht="15"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  <c r="GI375" s="75"/>
      <c r="GJ375" s="75"/>
      <c r="GK375" s="75"/>
      <c r="GL375" s="75"/>
      <c r="GM375" s="75"/>
      <c r="GN375" s="75"/>
      <c r="GO375" s="75"/>
      <c r="GP375" s="75"/>
      <c r="GQ375" s="75"/>
      <c r="GR375" s="75"/>
      <c r="GS375" s="75"/>
      <c r="GT375" s="75"/>
      <c r="GU375" s="75"/>
      <c r="GV375" s="75"/>
      <c r="GW375" s="75"/>
      <c r="GX375" s="75"/>
      <c r="GY375" s="75"/>
      <c r="GZ375" s="75"/>
      <c r="HA375" s="75"/>
      <c r="HB375" s="75"/>
      <c r="HC375" s="75"/>
      <c r="HD375" s="75"/>
    </row>
    <row r="376" spans="181:212" ht="15"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  <c r="GI376" s="75"/>
      <c r="GJ376" s="75"/>
      <c r="GK376" s="75"/>
      <c r="GL376" s="75"/>
      <c r="GM376" s="75"/>
      <c r="GN376" s="75"/>
      <c r="GO376" s="75"/>
      <c r="GP376" s="75"/>
      <c r="GQ376" s="75"/>
      <c r="GR376" s="75"/>
      <c r="GS376" s="75"/>
      <c r="GT376" s="75"/>
      <c r="GU376" s="75"/>
      <c r="GV376" s="75"/>
      <c r="GW376" s="75"/>
      <c r="GX376" s="75"/>
      <c r="GY376" s="75"/>
      <c r="GZ376" s="75"/>
      <c r="HA376" s="75"/>
      <c r="HB376" s="75"/>
      <c r="HC376" s="75"/>
      <c r="HD376" s="75"/>
    </row>
    <row r="377" spans="181:212" ht="15"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  <c r="GI377" s="75"/>
      <c r="GJ377" s="75"/>
      <c r="GK377" s="75"/>
      <c r="GL377" s="75"/>
      <c r="GM377" s="75"/>
      <c r="GN377" s="75"/>
      <c r="GO377" s="75"/>
      <c r="GP377" s="75"/>
      <c r="GQ377" s="75"/>
      <c r="GR377" s="75"/>
      <c r="GS377" s="75"/>
      <c r="GT377" s="75"/>
      <c r="GU377" s="75"/>
      <c r="GV377" s="75"/>
      <c r="GW377" s="75"/>
      <c r="GX377" s="75"/>
      <c r="GY377" s="75"/>
      <c r="GZ377" s="75"/>
      <c r="HA377" s="75"/>
      <c r="HB377" s="75"/>
      <c r="HC377" s="75"/>
      <c r="HD377" s="75"/>
    </row>
    <row r="378" spans="181:212" ht="15"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  <c r="GI378" s="75"/>
      <c r="GJ378" s="75"/>
      <c r="GK378" s="75"/>
      <c r="GL378" s="75"/>
      <c r="GM378" s="75"/>
      <c r="GN378" s="75"/>
      <c r="GO378" s="75"/>
      <c r="GP378" s="75"/>
      <c r="GQ378" s="75"/>
      <c r="GR378" s="75"/>
      <c r="GS378" s="75"/>
      <c r="GT378" s="75"/>
      <c r="GU378" s="75"/>
      <c r="GV378" s="75"/>
      <c r="GW378" s="75"/>
      <c r="GX378" s="75"/>
      <c r="GY378" s="75"/>
      <c r="GZ378" s="75"/>
      <c r="HA378" s="75"/>
      <c r="HB378" s="75"/>
      <c r="HC378" s="75"/>
      <c r="HD378" s="75"/>
    </row>
    <row r="379" spans="181:212" ht="15"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  <c r="GI379" s="75"/>
      <c r="GJ379" s="75"/>
      <c r="GK379" s="75"/>
      <c r="GL379" s="75"/>
      <c r="GM379" s="75"/>
      <c r="GN379" s="75"/>
      <c r="GO379" s="75"/>
      <c r="GP379" s="75"/>
      <c r="GQ379" s="75"/>
      <c r="GR379" s="75"/>
      <c r="GS379" s="75"/>
      <c r="GT379" s="75"/>
      <c r="GU379" s="75"/>
      <c r="GV379" s="75"/>
      <c r="GW379" s="75"/>
      <c r="GX379" s="75"/>
      <c r="GY379" s="75"/>
      <c r="GZ379" s="75"/>
      <c r="HA379" s="75"/>
      <c r="HB379" s="75"/>
      <c r="HC379" s="75"/>
      <c r="HD379" s="75"/>
    </row>
    <row r="380" spans="181:212" ht="15"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  <c r="GI380" s="75"/>
      <c r="GJ380" s="75"/>
      <c r="GK380" s="75"/>
      <c r="GL380" s="75"/>
      <c r="GM380" s="75"/>
      <c r="GN380" s="75"/>
      <c r="GO380" s="75"/>
      <c r="GP380" s="75"/>
      <c r="GQ380" s="75"/>
      <c r="GR380" s="75"/>
      <c r="GS380" s="75"/>
      <c r="GT380" s="75"/>
      <c r="GU380" s="75"/>
      <c r="GV380" s="75"/>
      <c r="GW380" s="75"/>
      <c r="GX380" s="75"/>
      <c r="GY380" s="75"/>
      <c r="GZ380" s="75"/>
      <c r="HA380" s="75"/>
      <c r="HB380" s="75"/>
      <c r="HC380" s="75"/>
      <c r="HD380" s="75"/>
    </row>
    <row r="381" spans="181:212" ht="15"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5"/>
      <c r="GK381" s="75"/>
      <c r="GL381" s="75"/>
      <c r="GM381" s="75"/>
      <c r="GN381" s="75"/>
      <c r="GO381" s="75"/>
      <c r="GP381" s="75"/>
      <c r="GQ381" s="75"/>
      <c r="GR381" s="75"/>
      <c r="GS381" s="75"/>
      <c r="GT381" s="75"/>
      <c r="GU381" s="75"/>
      <c r="GV381" s="75"/>
      <c r="GW381" s="75"/>
      <c r="GX381" s="75"/>
      <c r="GY381" s="75"/>
      <c r="GZ381" s="75"/>
      <c r="HA381" s="75"/>
      <c r="HB381" s="75"/>
      <c r="HC381" s="75"/>
      <c r="HD381" s="7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9">
      <selection activeCell="C11" sqref="C11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4"/>
      <c r="B1" s="55" t="s">
        <v>81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>
        <v>1</v>
      </c>
      <c r="GN1" s="75">
        <v>2</v>
      </c>
      <c r="GO1" s="75">
        <v>3</v>
      </c>
      <c r="GP1" s="75">
        <v>4</v>
      </c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</row>
    <row r="2" spans="1:212" ht="15">
      <c r="A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FY2" s="76" t="s">
        <v>91</v>
      </c>
      <c r="FZ2" s="75">
        <v>1</v>
      </c>
      <c r="GA2" s="75"/>
      <c r="GB2" s="75"/>
      <c r="GC2" s="75" t="s">
        <v>135</v>
      </c>
      <c r="GD2" s="75">
        <f>VLOOKUP(C4,$FY$2:$FZ$38,2,FALSE)</f>
        <v>3</v>
      </c>
      <c r="GE2" s="75" t="s">
        <v>136</v>
      </c>
      <c r="GF2" s="75"/>
      <c r="GG2" s="75"/>
      <c r="GH2" s="75"/>
      <c r="GI2" s="75"/>
      <c r="GJ2" s="75">
        <v>1</v>
      </c>
      <c r="GK2" s="75">
        <f>+IF($C$8=$GM$1,GM2,IF($C$8=$GN$1,GN2,IF($C$8=$GO$1,GO2,IF($C$8=$GP$1,GP2,0))))</f>
        <v>1</v>
      </c>
      <c r="GL2" s="75"/>
      <c r="GM2" s="75">
        <v>1</v>
      </c>
      <c r="GN2" s="75">
        <v>1</v>
      </c>
      <c r="GO2" s="75">
        <v>1</v>
      </c>
      <c r="GP2" s="75">
        <v>1</v>
      </c>
      <c r="GQ2" s="75"/>
      <c r="GR2" s="75"/>
      <c r="GS2" s="75"/>
      <c r="GT2" s="75">
        <v>1</v>
      </c>
      <c r="GU2" s="75"/>
      <c r="GV2" s="75">
        <v>1</v>
      </c>
      <c r="GW2" s="75"/>
      <c r="GX2" s="75"/>
      <c r="GY2" s="75"/>
      <c r="GZ2" s="75"/>
      <c r="HA2" s="75"/>
      <c r="HB2" s="75"/>
      <c r="HC2" s="75"/>
      <c r="HD2" s="75"/>
    </row>
    <row r="3" spans="1:212" ht="15.75">
      <c r="A3" s="54"/>
      <c r="B3" s="55" t="s">
        <v>82</v>
      </c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FY3" s="76" t="s">
        <v>92</v>
      </c>
      <c r="FZ3" s="75">
        <f>1+FZ2</f>
        <v>2</v>
      </c>
      <c r="GA3" s="75"/>
      <c r="GB3" s="75"/>
      <c r="GC3" s="75"/>
      <c r="GD3" s="75">
        <f>VLOOKUP(C6,$FY$2:$FZ$38,2,FALSE)</f>
        <v>3</v>
      </c>
      <c r="GE3" s="75" t="s">
        <v>137</v>
      </c>
      <c r="GF3" s="75"/>
      <c r="GG3" s="75"/>
      <c r="GH3" s="75"/>
      <c r="GI3" s="75"/>
      <c r="GJ3" s="75">
        <f>+GJ2+1</f>
        <v>2</v>
      </c>
      <c r="GK3" s="75">
        <f>+IF($C$8=$GM$1,GM3,IF($C$8=$GN$1,GN3,IF($C$8=$GO$1,GO3,IF($C$8=$GP$1,GP3,0))))</f>
        <v>0</v>
      </c>
      <c r="GL3" s="75"/>
      <c r="GM3" s="75"/>
      <c r="GN3" s="75"/>
      <c r="GO3" s="75"/>
      <c r="GP3" s="75"/>
      <c r="GQ3" s="75"/>
      <c r="GR3" s="75"/>
      <c r="GS3" s="75"/>
      <c r="GT3" s="75">
        <v>2</v>
      </c>
      <c r="GU3" s="75"/>
      <c r="GV3" s="75">
        <v>2</v>
      </c>
      <c r="GW3" s="75"/>
      <c r="GX3" s="75"/>
      <c r="GY3" s="75"/>
      <c r="GZ3" s="75"/>
      <c r="HA3" s="75"/>
      <c r="HB3" s="75"/>
      <c r="HC3" s="75"/>
      <c r="HD3" s="75"/>
    </row>
    <row r="4" spans="2:212" ht="15">
      <c r="B4" s="57" t="s">
        <v>77</v>
      </c>
      <c r="C4" s="58" t="str">
        <f>+Input!E89</f>
        <v>A3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FY4" s="76" t="s">
        <v>93</v>
      </c>
      <c r="FZ4" s="75">
        <f aca="true" t="shared" si="0" ref="FZ4:FZ67">1+FZ3</f>
        <v>3</v>
      </c>
      <c r="GA4" s="75"/>
      <c r="GB4" s="75"/>
      <c r="GC4" s="75"/>
      <c r="GD4" s="75"/>
      <c r="GE4" s="75"/>
      <c r="GF4" s="75"/>
      <c r="GG4" s="75"/>
      <c r="GH4" s="75"/>
      <c r="GI4" s="75"/>
      <c r="GJ4" s="75">
        <f aca="true" t="shared" si="1" ref="GJ4:GJ67">+GJ3+1</f>
        <v>3</v>
      </c>
      <c r="GK4" s="75">
        <f aca="true" t="shared" si="2" ref="GK4:GK68">+IF($C$8=$GM$1,GM4,IF($C$8=$GN$1,GN4,IF($C$8=$GO$1,GO4,IF($C$8=$GP$1,GP4,0))))</f>
        <v>0</v>
      </c>
      <c r="GL4" s="75"/>
      <c r="GM4" s="75"/>
      <c r="GN4" s="75"/>
      <c r="GO4" s="75"/>
      <c r="GP4" s="75"/>
      <c r="GQ4" s="75"/>
      <c r="GR4" s="75"/>
      <c r="GS4" s="75"/>
      <c r="GT4" s="75">
        <v>3</v>
      </c>
      <c r="GU4" s="75"/>
      <c r="GV4" s="75">
        <v>3</v>
      </c>
      <c r="GW4" s="75"/>
      <c r="GX4" s="75"/>
      <c r="GY4" s="75"/>
      <c r="GZ4" s="75"/>
      <c r="HA4" s="75"/>
      <c r="HB4" s="75"/>
      <c r="HC4" s="75"/>
      <c r="HD4" s="75"/>
    </row>
    <row r="5" spans="1:212" ht="15">
      <c r="A5" s="54" t="s">
        <v>83</v>
      </c>
      <c r="B5" s="57" t="s">
        <v>78</v>
      </c>
      <c r="C5" s="59">
        <f>+Input!E90</f>
        <v>0.01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FY5" s="76" t="s">
        <v>94</v>
      </c>
      <c r="FZ5" s="75">
        <f t="shared" si="0"/>
        <v>4</v>
      </c>
      <c r="GA5" s="75"/>
      <c r="GB5" s="75"/>
      <c r="GC5" s="75"/>
      <c r="GD5" s="75"/>
      <c r="GE5" s="75"/>
      <c r="GF5" s="75"/>
      <c r="GG5" s="75"/>
      <c r="GH5" s="75"/>
      <c r="GI5" s="75"/>
      <c r="GJ5" s="75">
        <f t="shared" si="1"/>
        <v>4</v>
      </c>
      <c r="GK5" s="75">
        <f t="shared" si="2"/>
        <v>0</v>
      </c>
      <c r="GL5" s="75"/>
      <c r="GM5" s="75"/>
      <c r="GN5" s="75"/>
      <c r="GO5" s="75"/>
      <c r="GP5" s="75">
        <v>1</v>
      </c>
      <c r="GQ5" s="75"/>
      <c r="GR5" s="75"/>
      <c r="GS5" s="75"/>
      <c r="GT5" s="75">
        <v>4</v>
      </c>
      <c r="GU5" s="75"/>
      <c r="GV5" s="75">
        <v>4</v>
      </c>
      <c r="GW5" s="75"/>
      <c r="GX5" s="75"/>
      <c r="GY5" s="75"/>
      <c r="GZ5" s="75"/>
      <c r="HA5" s="75"/>
      <c r="HB5" s="75"/>
      <c r="HC5" s="75"/>
      <c r="HD5" s="75"/>
    </row>
    <row r="6" spans="1:212" ht="15">
      <c r="A6" s="54"/>
      <c r="B6" s="57" t="s">
        <v>84</v>
      </c>
      <c r="C6" s="60" t="str">
        <f>+C4</f>
        <v>A3</v>
      </c>
      <c r="D6" s="54">
        <f>+IF(GD3&lt;GD2,"non puoi inserire una data antecedente a quella di stipule del finanziamento","")</f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FY6" s="76" t="s">
        <v>95</v>
      </c>
      <c r="FZ6" s="75">
        <f t="shared" si="0"/>
        <v>5</v>
      </c>
      <c r="GA6" s="75"/>
      <c r="GB6" s="75"/>
      <c r="GC6" s="75"/>
      <c r="GD6" s="75"/>
      <c r="GE6" s="75"/>
      <c r="GF6" s="75"/>
      <c r="GG6" s="75"/>
      <c r="GH6" s="75"/>
      <c r="GI6" s="75"/>
      <c r="GJ6" s="75">
        <f t="shared" si="1"/>
        <v>5</v>
      </c>
      <c r="GK6" s="75">
        <f t="shared" si="2"/>
        <v>0</v>
      </c>
      <c r="GL6" s="75"/>
      <c r="GM6" s="75"/>
      <c r="GN6" s="75"/>
      <c r="GO6" s="75">
        <v>1</v>
      </c>
      <c r="GP6" s="75"/>
      <c r="GQ6" s="75"/>
      <c r="GR6" s="75"/>
      <c r="GS6" s="75"/>
      <c r="GT6" s="75"/>
      <c r="GU6" s="75"/>
      <c r="GV6" s="75">
        <v>5</v>
      </c>
      <c r="GW6" s="75"/>
      <c r="GX6" s="75"/>
      <c r="GY6" s="75"/>
      <c r="GZ6" s="75"/>
      <c r="HA6" s="75"/>
      <c r="HB6" s="75"/>
      <c r="HC6" s="75"/>
      <c r="HD6" s="75"/>
    </row>
    <row r="7" spans="1:212" ht="15">
      <c r="A7" s="54"/>
      <c r="B7" s="61" t="s">
        <v>79</v>
      </c>
      <c r="C7" s="62">
        <f>+Input!E92</f>
        <v>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FY7" s="76" t="s">
        <v>96</v>
      </c>
      <c r="FZ7" s="75">
        <f t="shared" si="0"/>
        <v>6</v>
      </c>
      <c r="GA7" s="75"/>
      <c r="GB7" s="75"/>
      <c r="GC7" s="75"/>
      <c r="GD7" s="75"/>
      <c r="GE7" s="75"/>
      <c r="GF7" s="75"/>
      <c r="GG7" s="75"/>
      <c r="GH7" s="75"/>
      <c r="GI7" s="75"/>
      <c r="GJ7" s="75">
        <f t="shared" si="1"/>
        <v>6</v>
      </c>
      <c r="GK7" s="75">
        <f t="shared" si="2"/>
        <v>0</v>
      </c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>
        <v>6</v>
      </c>
      <c r="GW7" s="75"/>
      <c r="GX7" s="75"/>
      <c r="GY7" s="75"/>
      <c r="GZ7" s="75"/>
      <c r="HA7" s="75"/>
      <c r="HB7" s="75"/>
      <c r="HC7" s="75"/>
      <c r="HD7" s="75"/>
    </row>
    <row r="8" spans="1:212" ht="15">
      <c r="A8" s="54"/>
      <c r="B8" s="61" t="s">
        <v>85</v>
      </c>
      <c r="C8" s="63"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FY8" s="76" t="s">
        <v>97</v>
      </c>
      <c r="FZ8" s="75">
        <f t="shared" si="0"/>
        <v>7</v>
      </c>
      <c r="GA8" s="75"/>
      <c r="GB8" s="75"/>
      <c r="GC8" s="75"/>
      <c r="GD8" s="75"/>
      <c r="GE8" s="75"/>
      <c r="GF8" s="75"/>
      <c r="GG8" s="75"/>
      <c r="GH8" s="75"/>
      <c r="GI8" s="75"/>
      <c r="GJ8" s="75">
        <f t="shared" si="1"/>
        <v>7</v>
      </c>
      <c r="GK8" s="75">
        <f t="shared" si="2"/>
        <v>0</v>
      </c>
      <c r="GL8" s="75"/>
      <c r="GM8" s="75"/>
      <c r="GN8" s="75">
        <v>1</v>
      </c>
      <c r="GO8" s="75"/>
      <c r="GP8" s="75">
        <v>1</v>
      </c>
      <c r="GQ8" s="75"/>
      <c r="GR8" s="75"/>
      <c r="GS8" s="75"/>
      <c r="GT8" s="75"/>
      <c r="GU8" s="75"/>
      <c r="GV8" s="75">
        <v>7</v>
      </c>
      <c r="GW8" s="75"/>
      <c r="GX8" s="75"/>
      <c r="GY8" s="75"/>
      <c r="GZ8" s="75"/>
      <c r="HA8" s="75"/>
      <c r="HB8" s="75"/>
      <c r="HC8" s="75"/>
      <c r="HD8" s="75"/>
    </row>
    <row r="9" spans="1:212" ht="15">
      <c r="A9" s="54"/>
      <c r="B9" s="61" t="s">
        <v>80</v>
      </c>
      <c r="C9" s="63"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FY9" s="76" t="s">
        <v>98</v>
      </c>
      <c r="FZ9" s="75">
        <f t="shared" si="0"/>
        <v>8</v>
      </c>
      <c r="GA9" s="75"/>
      <c r="GB9" s="75"/>
      <c r="GC9" s="75"/>
      <c r="GD9" s="75"/>
      <c r="GE9" s="75"/>
      <c r="GF9" s="75"/>
      <c r="GG9" s="75"/>
      <c r="GH9" s="75"/>
      <c r="GI9" s="75"/>
      <c r="GJ9" s="75">
        <f t="shared" si="1"/>
        <v>8</v>
      </c>
      <c r="GK9" s="75">
        <f t="shared" si="2"/>
        <v>0</v>
      </c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>
        <v>8</v>
      </c>
      <c r="GW9" s="75"/>
      <c r="GX9" s="75"/>
      <c r="GY9" s="75"/>
      <c r="GZ9" s="75"/>
      <c r="HA9" s="75"/>
      <c r="HB9" s="75"/>
      <c r="HC9" s="75"/>
      <c r="HD9" s="75"/>
    </row>
    <row r="10" spans="1:212" ht="15">
      <c r="A10" s="54"/>
      <c r="B10" s="64" t="s">
        <v>86</v>
      </c>
      <c r="C10" s="65">
        <f>+Input!E93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FY10" s="76" t="s">
        <v>99</v>
      </c>
      <c r="FZ10" s="75">
        <f t="shared" si="0"/>
        <v>9</v>
      </c>
      <c r="GA10" s="75"/>
      <c r="GB10" s="75"/>
      <c r="GC10" s="75"/>
      <c r="GD10" s="75"/>
      <c r="GE10" s="75"/>
      <c r="GF10" s="75"/>
      <c r="GG10" s="75"/>
      <c r="GH10" s="75"/>
      <c r="GI10" s="75"/>
      <c r="GJ10" s="75">
        <f t="shared" si="1"/>
        <v>9</v>
      </c>
      <c r="GK10" s="75">
        <f t="shared" si="2"/>
        <v>0</v>
      </c>
      <c r="GL10" s="75"/>
      <c r="GM10" s="75"/>
      <c r="GN10" s="75"/>
      <c r="GO10" s="75">
        <v>1</v>
      </c>
      <c r="GP10" s="75"/>
      <c r="GQ10" s="75"/>
      <c r="GR10" s="75"/>
      <c r="GS10" s="75"/>
      <c r="GT10" s="75"/>
      <c r="GU10" s="75"/>
      <c r="GV10" s="75">
        <v>9</v>
      </c>
      <c r="GW10" s="75"/>
      <c r="GX10" s="75"/>
      <c r="GY10" s="75"/>
      <c r="GZ10" s="75"/>
      <c r="HA10" s="75"/>
      <c r="HB10" s="75"/>
      <c r="HC10" s="75"/>
      <c r="HD10" s="75"/>
    </row>
    <row r="11" spans="1:212" ht="15">
      <c r="A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FY11" s="76" t="s">
        <v>100</v>
      </c>
      <c r="FZ11" s="75">
        <f t="shared" si="0"/>
        <v>10</v>
      </c>
      <c r="GA11" s="75"/>
      <c r="GB11" s="75"/>
      <c r="GC11" s="75"/>
      <c r="GD11" s="75"/>
      <c r="GE11" s="75"/>
      <c r="GF11" s="75"/>
      <c r="GG11" s="75"/>
      <c r="GH11" s="75"/>
      <c r="GI11" s="75"/>
      <c r="GJ11" s="75">
        <f t="shared" si="1"/>
        <v>10</v>
      </c>
      <c r="GK11" s="75">
        <f t="shared" si="2"/>
        <v>0</v>
      </c>
      <c r="GL11" s="75"/>
      <c r="GM11" s="75"/>
      <c r="GN11" s="75"/>
      <c r="GO11" s="75"/>
      <c r="GP11" s="75">
        <v>1</v>
      </c>
      <c r="GQ11" s="75"/>
      <c r="GR11" s="75"/>
      <c r="GS11" s="75"/>
      <c r="GT11" s="75"/>
      <c r="GU11" s="75"/>
      <c r="GV11" s="75">
        <v>10</v>
      </c>
      <c r="GW11" s="75"/>
      <c r="GX11" s="75"/>
      <c r="GY11" s="75"/>
      <c r="GZ11" s="75"/>
      <c r="HA11" s="75"/>
      <c r="HB11" s="75"/>
      <c r="HC11" s="75"/>
      <c r="HD11" s="75"/>
    </row>
    <row r="12" spans="1:212" ht="15">
      <c r="A12" s="54"/>
      <c r="B12" s="66" t="s">
        <v>87</v>
      </c>
      <c r="C12" s="67" t="str">
        <f>IF(C8=1,"annuale",IF(C8=2,"semestrale",IF(C8=3,"quadrimestrale",IF(C8=4,"trimestrale"))))</f>
        <v>annuale</v>
      </c>
      <c r="D12" s="68">
        <f>((1+C5)^(1/C8))-1</f>
        <v>0.010000000000000009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FY12" s="76" t="s">
        <v>101</v>
      </c>
      <c r="FZ12" s="75">
        <f t="shared" si="0"/>
        <v>11</v>
      </c>
      <c r="GA12" s="75"/>
      <c r="GB12" s="75"/>
      <c r="GC12" s="75"/>
      <c r="GD12" s="75"/>
      <c r="GE12" s="75"/>
      <c r="GF12" s="75"/>
      <c r="GG12" s="75"/>
      <c r="GH12" s="75"/>
      <c r="GI12" s="75"/>
      <c r="GJ12" s="75">
        <f t="shared" si="1"/>
        <v>11</v>
      </c>
      <c r="GK12" s="75">
        <f t="shared" si="2"/>
        <v>0</v>
      </c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</row>
    <row r="13" spans="1:212" ht="15">
      <c r="A13" s="54"/>
      <c r="C13" s="54"/>
      <c r="D13" s="54"/>
      <c r="E13" s="54"/>
      <c r="F13" s="54"/>
      <c r="G13" s="54"/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FY13" s="76" t="s">
        <v>102</v>
      </c>
      <c r="FZ13" s="75">
        <f t="shared" si="0"/>
        <v>12</v>
      </c>
      <c r="GA13" s="75"/>
      <c r="GB13" s="75"/>
      <c r="GC13" s="75"/>
      <c r="GD13" s="75"/>
      <c r="GE13" s="75"/>
      <c r="GF13" s="75"/>
      <c r="GG13" s="75"/>
      <c r="GH13" s="75"/>
      <c r="GI13" s="75"/>
      <c r="GJ13" s="75">
        <f t="shared" si="1"/>
        <v>12</v>
      </c>
      <c r="GK13" s="75">
        <f t="shared" si="2"/>
        <v>0</v>
      </c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</row>
    <row r="14" spans="1:212" ht="15">
      <c r="A14" s="54"/>
      <c r="B14" s="66" t="s">
        <v>88</v>
      </c>
      <c r="C14" s="67" t="str">
        <f>C12</f>
        <v>annuale</v>
      </c>
      <c r="D14" s="69">
        <f>C7/((1-(1+D12)^(-C10))/D12)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FY14" s="76" t="s">
        <v>103</v>
      </c>
      <c r="FZ14" s="75">
        <f t="shared" si="0"/>
        <v>13</v>
      </c>
      <c r="GA14" s="75"/>
      <c r="GB14" s="75"/>
      <c r="GC14" s="75"/>
      <c r="GD14" s="75"/>
      <c r="GE14" s="75"/>
      <c r="GF14" s="75"/>
      <c r="GG14" s="75"/>
      <c r="GH14" s="75"/>
      <c r="GI14" s="75"/>
      <c r="GJ14" s="75">
        <f t="shared" si="1"/>
        <v>13</v>
      </c>
      <c r="GK14" s="75">
        <f t="shared" si="2"/>
        <v>1</v>
      </c>
      <c r="GL14" s="75"/>
      <c r="GM14" s="75">
        <v>1</v>
      </c>
      <c r="GN14" s="75">
        <v>1</v>
      </c>
      <c r="GO14" s="75">
        <v>1</v>
      </c>
      <c r="GP14" s="75">
        <v>1</v>
      </c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</row>
    <row r="15" spans="1:212" s="77" customFormat="1" ht="15">
      <c r="A15" s="70"/>
      <c r="B15" s="70"/>
      <c r="C15" s="70"/>
      <c r="D15" s="70">
        <f>+_xlfn.IFERROR((VLOOKUP(D16,$GJ:$GK,2,FALSE)),0)</f>
        <v>0</v>
      </c>
      <c r="E15" s="80">
        <v>1</v>
      </c>
      <c r="F15" s="80">
        <v>1</v>
      </c>
      <c r="G15" s="80">
        <v>1</v>
      </c>
      <c r="H15" s="80">
        <v>1</v>
      </c>
      <c r="I15" s="80">
        <v>1</v>
      </c>
      <c r="J15" s="80">
        <v>1</v>
      </c>
      <c r="K15" s="80">
        <v>1</v>
      </c>
      <c r="L15" s="80">
        <v>1</v>
      </c>
      <c r="M15" s="80">
        <v>1</v>
      </c>
      <c r="N15" s="80">
        <v>1</v>
      </c>
      <c r="O15" s="80">
        <v>1</v>
      </c>
      <c r="P15" s="80">
        <v>1</v>
      </c>
      <c r="Q15" s="80">
        <v>1</v>
      </c>
      <c r="R15" s="80">
        <v>1</v>
      </c>
      <c r="S15" s="80">
        <v>1</v>
      </c>
      <c r="T15" s="80">
        <v>1</v>
      </c>
      <c r="U15" s="80">
        <v>1</v>
      </c>
      <c r="V15" s="80">
        <v>1</v>
      </c>
      <c r="W15" s="80">
        <v>1</v>
      </c>
      <c r="X15" s="80">
        <v>1</v>
      </c>
      <c r="Y15" s="80">
        <v>1</v>
      </c>
      <c r="Z15" s="80">
        <v>1</v>
      </c>
      <c r="AA15" s="80">
        <v>1</v>
      </c>
      <c r="AB15" s="80">
        <v>1</v>
      </c>
      <c r="AC15" s="80">
        <v>1</v>
      </c>
      <c r="AD15" s="80">
        <v>1</v>
      </c>
      <c r="AE15" s="80">
        <v>1</v>
      </c>
      <c r="AF15" s="80">
        <v>1</v>
      </c>
      <c r="AG15" s="80">
        <v>1</v>
      </c>
      <c r="AH15" s="80">
        <v>1</v>
      </c>
      <c r="AI15" s="80">
        <v>1</v>
      </c>
      <c r="AJ15" s="80">
        <v>1</v>
      </c>
      <c r="AK15" s="80">
        <v>1</v>
      </c>
      <c r="AL15" s="80">
        <v>1</v>
      </c>
      <c r="AM15" s="80">
        <v>1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FY15" s="76" t="s">
        <v>104</v>
      </c>
      <c r="FZ15" s="78">
        <f t="shared" si="0"/>
        <v>14</v>
      </c>
      <c r="GA15" s="78"/>
      <c r="GB15" s="78"/>
      <c r="GC15" s="78"/>
      <c r="GD15" s="78"/>
      <c r="GE15" s="78"/>
      <c r="GF15" s="78"/>
      <c r="GG15" s="78"/>
      <c r="GH15" s="78"/>
      <c r="GI15" s="78"/>
      <c r="GJ15" s="78">
        <f t="shared" si="1"/>
        <v>14</v>
      </c>
      <c r="GK15" s="78">
        <f t="shared" si="2"/>
        <v>0</v>
      </c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</row>
    <row r="16" spans="1:212" s="77" customFormat="1" ht="15">
      <c r="A16" s="70"/>
      <c r="B16" s="70"/>
      <c r="C16" s="70" t="s">
        <v>89</v>
      </c>
      <c r="D16" s="70">
        <f>+IF(D17=$C$6,1,0)</f>
        <v>0</v>
      </c>
      <c r="E16" s="80">
        <f aca="true" t="shared" si="3" ref="E16:AM16">+IF(E17=$C$6,1,+IF(D16=0,0,D16+1))</f>
        <v>0</v>
      </c>
      <c r="F16" s="80">
        <f t="shared" si="3"/>
        <v>0</v>
      </c>
      <c r="G16" s="80">
        <f t="shared" si="3"/>
        <v>1</v>
      </c>
      <c r="H16" s="80">
        <f t="shared" si="3"/>
        <v>2</v>
      </c>
      <c r="I16" s="80">
        <f t="shared" si="3"/>
        <v>3</v>
      </c>
      <c r="J16" s="80">
        <f t="shared" si="3"/>
        <v>4</v>
      </c>
      <c r="K16" s="80">
        <f t="shared" si="3"/>
        <v>5</v>
      </c>
      <c r="L16" s="80">
        <f t="shared" si="3"/>
        <v>6</v>
      </c>
      <c r="M16" s="80">
        <f t="shared" si="3"/>
        <v>7</v>
      </c>
      <c r="N16" s="80">
        <f t="shared" si="3"/>
        <v>8</v>
      </c>
      <c r="O16" s="80">
        <f t="shared" si="3"/>
        <v>9</v>
      </c>
      <c r="P16" s="80">
        <f t="shared" si="3"/>
        <v>10</v>
      </c>
      <c r="Q16" s="80">
        <f t="shared" si="3"/>
        <v>11</v>
      </c>
      <c r="R16" s="80">
        <f t="shared" si="3"/>
        <v>12</v>
      </c>
      <c r="S16" s="80">
        <f t="shared" si="3"/>
        <v>13</v>
      </c>
      <c r="T16" s="80">
        <f t="shared" si="3"/>
        <v>14</v>
      </c>
      <c r="U16" s="80">
        <f t="shared" si="3"/>
        <v>15</v>
      </c>
      <c r="V16" s="80">
        <f t="shared" si="3"/>
        <v>16</v>
      </c>
      <c r="W16" s="80">
        <f t="shared" si="3"/>
        <v>17</v>
      </c>
      <c r="X16" s="80">
        <f t="shared" si="3"/>
        <v>18</v>
      </c>
      <c r="Y16" s="80">
        <f t="shared" si="3"/>
        <v>19</v>
      </c>
      <c r="Z16" s="80">
        <f t="shared" si="3"/>
        <v>20</v>
      </c>
      <c r="AA16" s="80">
        <f t="shared" si="3"/>
        <v>21</v>
      </c>
      <c r="AB16" s="80">
        <f t="shared" si="3"/>
        <v>22</v>
      </c>
      <c r="AC16" s="80">
        <f t="shared" si="3"/>
        <v>23</v>
      </c>
      <c r="AD16" s="80">
        <f t="shared" si="3"/>
        <v>24</v>
      </c>
      <c r="AE16" s="80">
        <f t="shared" si="3"/>
        <v>25</v>
      </c>
      <c r="AF16" s="80">
        <f t="shared" si="3"/>
        <v>26</v>
      </c>
      <c r="AG16" s="80">
        <f t="shared" si="3"/>
        <v>27</v>
      </c>
      <c r="AH16" s="80">
        <f t="shared" si="3"/>
        <v>28</v>
      </c>
      <c r="AI16" s="80">
        <f t="shared" si="3"/>
        <v>29</v>
      </c>
      <c r="AJ16" s="80">
        <f t="shared" si="3"/>
        <v>30</v>
      </c>
      <c r="AK16" s="80">
        <f t="shared" si="3"/>
        <v>31</v>
      </c>
      <c r="AL16" s="80">
        <f t="shared" si="3"/>
        <v>32</v>
      </c>
      <c r="AM16" s="80">
        <f t="shared" si="3"/>
        <v>33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FY16" s="76" t="s">
        <v>105</v>
      </c>
      <c r="FZ16" s="78">
        <f t="shared" si="0"/>
        <v>15</v>
      </c>
      <c r="GA16" s="78"/>
      <c r="GB16" s="78"/>
      <c r="GC16" s="78"/>
      <c r="GD16" s="78"/>
      <c r="GE16" s="78"/>
      <c r="GF16" s="78"/>
      <c r="GG16" s="78"/>
      <c r="GH16" s="78"/>
      <c r="GI16" s="78"/>
      <c r="GJ16" s="78">
        <f t="shared" si="1"/>
        <v>15</v>
      </c>
      <c r="GK16" s="78">
        <f t="shared" si="2"/>
        <v>0</v>
      </c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</row>
    <row r="17" spans="1:212" ht="15">
      <c r="A17" s="54"/>
      <c r="B17" s="71" t="s">
        <v>90</v>
      </c>
      <c r="C17" s="72"/>
      <c r="D17" s="72"/>
      <c r="E17" s="72" t="s">
        <v>91</v>
      </c>
      <c r="F17" s="72" t="s">
        <v>92</v>
      </c>
      <c r="G17" s="72" t="s">
        <v>93</v>
      </c>
      <c r="H17" s="72" t="s">
        <v>94</v>
      </c>
      <c r="I17" s="72" t="s">
        <v>95</v>
      </c>
      <c r="J17" s="72" t="s">
        <v>96</v>
      </c>
      <c r="K17" s="72" t="s">
        <v>97</v>
      </c>
      <c r="L17" s="72" t="s">
        <v>98</v>
      </c>
      <c r="M17" s="72" t="s">
        <v>99</v>
      </c>
      <c r="N17" s="72" t="s">
        <v>100</v>
      </c>
      <c r="O17" s="72" t="s">
        <v>101</v>
      </c>
      <c r="P17" s="72" t="s">
        <v>102</v>
      </c>
      <c r="Q17" s="72" t="s">
        <v>103</v>
      </c>
      <c r="R17" s="72" t="s">
        <v>104</v>
      </c>
      <c r="S17" s="72" t="s">
        <v>105</v>
      </c>
      <c r="T17" s="72" t="s">
        <v>106</v>
      </c>
      <c r="U17" s="72" t="s">
        <v>107</v>
      </c>
      <c r="V17" s="72" t="s">
        <v>108</v>
      </c>
      <c r="W17" s="72" t="s">
        <v>109</v>
      </c>
      <c r="X17" s="72" t="s">
        <v>110</v>
      </c>
      <c r="Y17" s="72" t="s">
        <v>111</v>
      </c>
      <c r="Z17" s="72" t="s">
        <v>112</v>
      </c>
      <c r="AA17" s="72" t="s">
        <v>113</v>
      </c>
      <c r="AB17" s="72" t="s">
        <v>114</v>
      </c>
      <c r="AC17" s="72" t="s">
        <v>115</v>
      </c>
      <c r="AD17" s="72" t="s">
        <v>116</v>
      </c>
      <c r="AE17" s="72" t="s">
        <v>117</v>
      </c>
      <c r="AF17" s="72" t="s">
        <v>118</v>
      </c>
      <c r="AG17" s="72" t="s">
        <v>119</v>
      </c>
      <c r="AH17" s="72" t="s">
        <v>120</v>
      </c>
      <c r="AI17" s="72" t="s">
        <v>121</v>
      </c>
      <c r="AJ17" s="72" t="s">
        <v>122</v>
      </c>
      <c r="AK17" s="72" t="s">
        <v>123</v>
      </c>
      <c r="AL17" s="72" t="s">
        <v>124</v>
      </c>
      <c r="AM17" s="72" t="s">
        <v>125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Y17" s="76" t="s">
        <v>106</v>
      </c>
      <c r="FZ17" s="75">
        <f t="shared" si="0"/>
        <v>16</v>
      </c>
      <c r="GA17" s="75"/>
      <c r="GB17" s="75"/>
      <c r="GC17" s="75"/>
      <c r="GD17" s="75"/>
      <c r="GE17" s="75"/>
      <c r="GF17" s="75"/>
      <c r="GG17" s="75"/>
      <c r="GH17" s="75"/>
      <c r="GI17" s="75"/>
      <c r="GJ17" s="75">
        <f t="shared" si="1"/>
        <v>16</v>
      </c>
      <c r="GK17" s="75">
        <f t="shared" si="2"/>
        <v>0</v>
      </c>
      <c r="GL17" s="75"/>
      <c r="GM17" s="75"/>
      <c r="GN17" s="75"/>
      <c r="GO17" s="75"/>
      <c r="GP17" s="75">
        <v>1</v>
      </c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</row>
    <row r="18" spans="1:212" ht="15">
      <c r="A18" s="54"/>
      <c r="B18" s="61" t="s">
        <v>126</v>
      </c>
      <c r="C18" s="69"/>
      <c r="D18" s="69">
        <f aca="true" t="shared" si="4" ref="D18:AM18">IF(D16&gt;=1,IF(D15=1,$D$14,0))*IF(C22&lt;1,0,1)</f>
        <v>0</v>
      </c>
      <c r="E18" s="69">
        <f t="shared" si="4"/>
        <v>0</v>
      </c>
      <c r="F18" s="69">
        <f t="shared" si="4"/>
        <v>0</v>
      </c>
      <c r="G18" s="69">
        <f t="shared" si="4"/>
        <v>0</v>
      </c>
      <c r="H18" s="69">
        <f t="shared" si="4"/>
        <v>0</v>
      </c>
      <c r="I18" s="69">
        <f t="shared" si="4"/>
        <v>0</v>
      </c>
      <c r="J18" s="69">
        <f t="shared" si="4"/>
        <v>0</v>
      </c>
      <c r="K18" s="69">
        <f t="shared" si="4"/>
        <v>0</v>
      </c>
      <c r="L18" s="69">
        <f t="shared" si="4"/>
        <v>0</v>
      </c>
      <c r="M18" s="69">
        <f t="shared" si="4"/>
        <v>0</v>
      </c>
      <c r="N18" s="69">
        <f t="shared" si="4"/>
        <v>0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>
        <f t="shared" si="4"/>
        <v>0</v>
      </c>
      <c r="S18" s="69">
        <f t="shared" si="4"/>
        <v>0</v>
      </c>
      <c r="T18" s="69">
        <f t="shared" si="4"/>
        <v>0</v>
      </c>
      <c r="U18" s="69">
        <f t="shared" si="4"/>
        <v>0</v>
      </c>
      <c r="V18" s="69">
        <f t="shared" si="4"/>
        <v>0</v>
      </c>
      <c r="W18" s="69">
        <f t="shared" si="4"/>
        <v>0</v>
      </c>
      <c r="X18" s="69">
        <f t="shared" si="4"/>
        <v>0</v>
      </c>
      <c r="Y18" s="69">
        <f t="shared" si="4"/>
        <v>0</v>
      </c>
      <c r="Z18" s="69">
        <f t="shared" si="4"/>
        <v>0</v>
      </c>
      <c r="AA18" s="69">
        <f t="shared" si="4"/>
        <v>0</v>
      </c>
      <c r="AB18" s="69">
        <f t="shared" si="4"/>
        <v>0</v>
      </c>
      <c r="AC18" s="69">
        <f t="shared" si="4"/>
        <v>0</v>
      </c>
      <c r="AD18" s="69">
        <f t="shared" si="4"/>
        <v>0</v>
      </c>
      <c r="AE18" s="69">
        <f t="shared" si="4"/>
        <v>0</v>
      </c>
      <c r="AF18" s="69">
        <f t="shared" si="4"/>
        <v>0</v>
      </c>
      <c r="AG18" s="69">
        <f t="shared" si="4"/>
        <v>0</v>
      </c>
      <c r="AH18" s="69">
        <f t="shared" si="4"/>
        <v>0</v>
      </c>
      <c r="AI18" s="69">
        <f t="shared" si="4"/>
        <v>0</v>
      </c>
      <c r="AJ18" s="69">
        <f t="shared" si="4"/>
        <v>0</v>
      </c>
      <c r="AK18" s="69">
        <f t="shared" si="4"/>
        <v>0</v>
      </c>
      <c r="AL18" s="69">
        <f t="shared" si="4"/>
        <v>0</v>
      </c>
      <c r="AM18" s="69">
        <f t="shared" si="4"/>
        <v>0</v>
      </c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Y18" s="76" t="s">
        <v>107</v>
      </c>
      <c r="FZ18" s="75">
        <f t="shared" si="0"/>
        <v>17</v>
      </c>
      <c r="GA18" s="75"/>
      <c r="GB18" s="75"/>
      <c r="GC18" s="75"/>
      <c r="GD18" s="75"/>
      <c r="GE18" s="75"/>
      <c r="GF18" s="75"/>
      <c r="GG18" s="75"/>
      <c r="GH18" s="75"/>
      <c r="GI18" s="75"/>
      <c r="GJ18" s="75">
        <f t="shared" si="1"/>
        <v>17</v>
      </c>
      <c r="GK18" s="75">
        <f t="shared" si="2"/>
        <v>0</v>
      </c>
      <c r="GL18" s="75"/>
      <c r="GM18" s="75"/>
      <c r="GN18" s="75"/>
      <c r="GO18" s="75">
        <v>1</v>
      </c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</row>
    <row r="19" spans="1:212" ht="15">
      <c r="A19" s="54"/>
      <c r="B19" s="61" t="s">
        <v>127</v>
      </c>
      <c r="C19" s="69"/>
      <c r="D19" s="69">
        <f aca="true" t="shared" si="5" ref="D19:I19">D18-D21</f>
        <v>0</v>
      </c>
      <c r="E19" s="69">
        <f t="shared" si="5"/>
        <v>0</v>
      </c>
      <c r="F19" s="69">
        <f t="shared" si="5"/>
        <v>0</v>
      </c>
      <c r="G19" s="69">
        <f t="shared" si="5"/>
        <v>0</v>
      </c>
      <c r="H19" s="69">
        <f t="shared" si="5"/>
        <v>0</v>
      </c>
      <c r="I19" s="69">
        <f t="shared" si="5"/>
        <v>0</v>
      </c>
      <c r="J19" s="69">
        <f>J18-J21</f>
        <v>0</v>
      </c>
      <c r="K19" s="69">
        <f aca="true" t="shared" si="6" ref="K19:AM19">K18-K21</f>
        <v>0</v>
      </c>
      <c r="L19" s="69">
        <f t="shared" si="6"/>
        <v>0</v>
      </c>
      <c r="M19" s="69">
        <f t="shared" si="6"/>
        <v>0</v>
      </c>
      <c r="N19" s="69">
        <f t="shared" si="6"/>
        <v>0</v>
      </c>
      <c r="O19" s="69">
        <f t="shared" si="6"/>
        <v>0</v>
      </c>
      <c r="P19" s="69">
        <f t="shared" si="6"/>
        <v>0</v>
      </c>
      <c r="Q19" s="69">
        <f t="shared" si="6"/>
        <v>0</v>
      </c>
      <c r="R19" s="69">
        <f t="shared" si="6"/>
        <v>0</v>
      </c>
      <c r="S19" s="69">
        <f t="shared" si="6"/>
        <v>0</v>
      </c>
      <c r="T19" s="69">
        <f t="shared" si="6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6"/>
        <v>0</v>
      </c>
      <c r="AI19" s="69">
        <f t="shared" si="6"/>
        <v>0</v>
      </c>
      <c r="AJ19" s="69">
        <f t="shared" si="6"/>
        <v>0</v>
      </c>
      <c r="AK19" s="69">
        <f t="shared" si="6"/>
        <v>0</v>
      </c>
      <c r="AL19" s="69">
        <f t="shared" si="6"/>
        <v>0</v>
      </c>
      <c r="AM19" s="69">
        <f t="shared" si="6"/>
        <v>0</v>
      </c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Y19" s="76" t="s">
        <v>108</v>
      </c>
      <c r="FZ19" s="75">
        <f t="shared" si="0"/>
        <v>18</v>
      </c>
      <c r="GA19" s="75"/>
      <c r="GB19" s="75"/>
      <c r="GC19" s="75"/>
      <c r="GD19" s="75"/>
      <c r="GE19" s="75"/>
      <c r="GF19" s="75"/>
      <c r="GG19" s="75"/>
      <c r="GH19" s="75"/>
      <c r="GI19" s="75"/>
      <c r="GJ19" s="75">
        <f t="shared" si="1"/>
        <v>18</v>
      </c>
      <c r="GK19" s="75">
        <f t="shared" si="2"/>
        <v>0</v>
      </c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</row>
    <row r="20" spans="1:212" ht="15">
      <c r="A20" s="54"/>
      <c r="B20" s="61" t="s">
        <v>128</v>
      </c>
      <c r="C20" s="69"/>
      <c r="D20" s="69">
        <f aca="true" t="shared" si="7" ref="D20:AM20">D19+C20*(IF(C22&lt;1,0,1))</f>
        <v>0</v>
      </c>
      <c r="E20" s="69">
        <f t="shared" si="7"/>
        <v>0</v>
      </c>
      <c r="F20" s="69">
        <f t="shared" si="7"/>
        <v>0</v>
      </c>
      <c r="G20" s="69">
        <f t="shared" si="7"/>
        <v>0</v>
      </c>
      <c r="H20" s="69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69">
        <f t="shared" si="7"/>
        <v>0</v>
      </c>
      <c r="AF20" s="69">
        <f t="shared" si="7"/>
        <v>0</v>
      </c>
      <c r="AG20" s="69">
        <f t="shared" si="7"/>
        <v>0</v>
      </c>
      <c r="AH20" s="69">
        <f t="shared" si="7"/>
        <v>0</v>
      </c>
      <c r="AI20" s="69">
        <f t="shared" si="7"/>
        <v>0</v>
      </c>
      <c r="AJ20" s="69">
        <f t="shared" si="7"/>
        <v>0</v>
      </c>
      <c r="AK20" s="69">
        <f t="shared" si="7"/>
        <v>0</v>
      </c>
      <c r="AL20" s="69">
        <f t="shared" si="7"/>
        <v>0</v>
      </c>
      <c r="AM20" s="69">
        <f t="shared" si="7"/>
        <v>0</v>
      </c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Y20" s="76" t="s">
        <v>109</v>
      </c>
      <c r="FZ20" s="75">
        <f t="shared" si="0"/>
        <v>19</v>
      </c>
      <c r="GA20" s="75"/>
      <c r="GB20" s="75"/>
      <c r="GC20" s="75"/>
      <c r="GD20" s="75"/>
      <c r="GE20" s="75"/>
      <c r="GF20" s="75"/>
      <c r="GG20" s="75"/>
      <c r="GH20" s="75"/>
      <c r="GI20" s="75"/>
      <c r="GJ20" s="75">
        <f t="shared" si="1"/>
        <v>19</v>
      </c>
      <c r="GK20" s="75">
        <f t="shared" si="2"/>
        <v>0</v>
      </c>
      <c r="GL20" s="75"/>
      <c r="GM20" s="75"/>
      <c r="GN20" s="75">
        <v>1</v>
      </c>
      <c r="GO20" s="75"/>
      <c r="GP20" s="75">
        <v>1</v>
      </c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</row>
    <row r="21" spans="1:212" ht="15">
      <c r="A21" s="54"/>
      <c r="B21" s="61" t="s">
        <v>129</v>
      </c>
      <c r="C21" s="69">
        <f aca="true" t="shared" si="8" ref="C21:AM21">IF(C18&gt;0,B22*$D$12,0)</f>
        <v>0</v>
      </c>
      <c r="D21" s="69">
        <f t="shared" si="8"/>
        <v>0</v>
      </c>
      <c r="E21" s="69">
        <f t="shared" si="8"/>
        <v>0</v>
      </c>
      <c r="F21" s="69">
        <f t="shared" si="8"/>
        <v>0</v>
      </c>
      <c r="G21" s="69">
        <f t="shared" si="8"/>
        <v>0</v>
      </c>
      <c r="H21" s="69">
        <f t="shared" si="8"/>
        <v>0</v>
      </c>
      <c r="I21" s="69">
        <f t="shared" si="8"/>
        <v>0</v>
      </c>
      <c r="J21" s="69">
        <f t="shared" si="8"/>
        <v>0</v>
      </c>
      <c r="K21" s="69">
        <f t="shared" si="8"/>
        <v>0</v>
      </c>
      <c r="L21" s="69">
        <f t="shared" si="8"/>
        <v>0</v>
      </c>
      <c r="M21" s="69">
        <f t="shared" si="8"/>
        <v>0</v>
      </c>
      <c r="N21" s="69">
        <f t="shared" si="8"/>
        <v>0</v>
      </c>
      <c r="O21" s="69">
        <f t="shared" si="8"/>
        <v>0</v>
      </c>
      <c r="P21" s="69">
        <f t="shared" si="8"/>
        <v>0</v>
      </c>
      <c r="Q21" s="69">
        <f t="shared" si="8"/>
        <v>0</v>
      </c>
      <c r="R21" s="69">
        <f t="shared" si="8"/>
        <v>0</v>
      </c>
      <c r="S21" s="69">
        <f t="shared" si="8"/>
        <v>0</v>
      </c>
      <c r="T21" s="69">
        <f t="shared" si="8"/>
        <v>0</v>
      </c>
      <c r="U21" s="69">
        <f t="shared" si="8"/>
        <v>0</v>
      </c>
      <c r="V21" s="69">
        <f t="shared" si="8"/>
        <v>0</v>
      </c>
      <c r="W21" s="69">
        <f t="shared" si="8"/>
        <v>0</v>
      </c>
      <c r="X21" s="69">
        <f t="shared" si="8"/>
        <v>0</v>
      </c>
      <c r="Y21" s="69">
        <f t="shared" si="8"/>
        <v>0</v>
      </c>
      <c r="Z21" s="69">
        <f t="shared" si="8"/>
        <v>0</v>
      </c>
      <c r="AA21" s="69">
        <f t="shared" si="8"/>
        <v>0</v>
      </c>
      <c r="AB21" s="69">
        <f t="shared" si="8"/>
        <v>0</v>
      </c>
      <c r="AC21" s="69">
        <f t="shared" si="8"/>
        <v>0</v>
      </c>
      <c r="AD21" s="69">
        <f t="shared" si="8"/>
        <v>0</v>
      </c>
      <c r="AE21" s="69">
        <f t="shared" si="8"/>
        <v>0</v>
      </c>
      <c r="AF21" s="69">
        <f t="shared" si="8"/>
        <v>0</v>
      </c>
      <c r="AG21" s="69">
        <f t="shared" si="8"/>
        <v>0</v>
      </c>
      <c r="AH21" s="69">
        <f t="shared" si="8"/>
        <v>0</v>
      </c>
      <c r="AI21" s="69">
        <f t="shared" si="8"/>
        <v>0</v>
      </c>
      <c r="AJ21" s="69">
        <f t="shared" si="8"/>
        <v>0</v>
      </c>
      <c r="AK21" s="69">
        <f t="shared" si="8"/>
        <v>0</v>
      </c>
      <c r="AL21" s="69">
        <f t="shared" si="8"/>
        <v>0</v>
      </c>
      <c r="AM21" s="69">
        <f t="shared" si="8"/>
        <v>0</v>
      </c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Y21" s="76" t="s">
        <v>110</v>
      </c>
      <c r="FZ21" s="75">
        <f t="shared" si="0"/>
        <v>20</v>
      </c>
      <c r="GA21" s="75"/>
      <c r="GB21" s="75"/>
      <c r="GC21" s="75"/>
      <c r="GD21" s="75"/>
      <c r="GE21" s="75"/>
      <c r="GF21" s="75"/>
      <c r="GG21" s="75"/>
      <c r="GH21" s="75"/>
      <c r="GI21" s="75"/>
      <c r="GJ21" s="75">
        <f t="shared" si="1"/>
        <v>20</v>
      </c>
      <c r="GK21" s="75">
        <f t="shared" si="2"/>
        <v>0</v>
      </c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</row>
    <row r="22" spans="1:212" ht="15">
      <c r="A22" s="54"/>
      <c r="B22" s="73" t="s">
        <v>130</v>
      </c>
      <c r="C22" s="69">
        <f>IF(D17=$C$4,$C$7,IF(C20=0,0,$C$7-C20))</f>
        <v>0</v>
      </c>
      <c r="D22" s="69">
        <f aca="true" t="shared" si="9" ref="D22:AM22">IF(E17=$C$4,$C$7,IF(D20=0,0,$C$7-D20))</f>
        <v>0</v>
      </c>
      <c r="E22" s="69">
        <f t="shared" si="9"/>
        <v>0</v>
      </c>
      <c r="F22" s="69">
        <f t="shared" si="9"/>
        <v>0</v>
      </c>
      <c r="G22" s="69">
        <f t="shared" si="9"/>
        <v>0</v>
      </c>
      <c r="H22" s="69">
        <f t="shared" si="9"/>
        <v>0</v>
      </c>
      <c r="I22" s="69">
        <f t="shared" si="9"/>
        <v>0</v>
      </c>
      <c r="J22" s="69">
        <f t="shared" si="9"/>
        <v>0</v>
      </c>
      <c r="K22" s="69">
        <f t="shared" si="9"/>
        <v>0</v>
      </c>
      <c r="L22" s="69">
        <f t="shared" si="9"/>
        <v>0</v>
      </c>
      <c r="M22" s="69">
        <f t="shared" si="9"/>
        <v>0</v>
      </c>
      <c r="N22" s="69">
        <f t="shared" si="9"/>
        <v>0</v>
      </c>
      <c r="O22" s="69">
        <f t="shared" si="9"/>
        <v>0</v>
      </c>
      <c r="P22" s="69">
        <f t="shared" si="9"/>
        <v>0</v>
      </c>
      <c r="Q22" s="69">
        <f t="shared" si="9"/>
        <v>0</v>
      </c>
      <c r="R22" s="69">
        <f t="shared" si="9"/>
        <v>0</v>
      </c>
      <c r="S22" s="69">
        <f t="shared" si="9"/>
        <v>0</v>
      </c>
      <c r="T22" s="69">
        <f t="shared" si="9"/>
        <v>0</v>
      </c>
      <c r="U22" s="69">
        <f t="shared" si="9"/>
        <v>0</v>
      </c>
      <c r="V22" s="69">
        <f t="shared" si="9"/>
        <v>0</v>
      </c>
      <c r="W22" s="69">
        <f t="shared" si="9"/>
        <v>0</v>
      </c>
      <c r="X22" s="69">
        <f t="shared" si="9"/>
        <v>0</v>
      </c>
      <c r="Y22" s="69">
        <f t="shared" si="9"/>
        <v>0</v>
      </c>
      <c r="Z22" s="69">
        <f t="shared" si="9"/>
        <v>0</v>
      </c>
      <c r="AA22" s="69">
        <f t="shared" si="9"/>
        <v>0</v>
      </c>
      <c r="AB22" s="69">
        <f t="shared" si="9"/>
        <v>0</v>
      </c>
      <c r="AC22" s="69">
        <f t="shared" si="9"/>
        <v>0</v>
      </c>
      <c r="AD22" s="69">
        <f t="shared" si="9"/>
        <v>0</v>
      </c>
      <c r="AE22" s="69">
        <f t="shared" si="9"/>
        <v>0</v>
      </c>
      <c r="AF22" s="69">
        <f t="shared" si="9"/>
        <v>0</v>
      </c>
      <c r="AG22" s="69">
        <f t="shared" si="9"/>
        <v>0</v>
      </c>
      <c r="AH22" s="69">
        <f t="shared" si="9"/>
        <v>0</v>
      </c>
      <c r="AI22" s="69">
        <f t="shared" si="9"/>
        <v>0</v>
      </c>
      <c r="AJ22" s="69">
        <f t="shared" si="9"/>
        <v>0</v>
      </c>
      <c r="AK22" s="69">
        <f t="shared" si="9"/>
        <v>0</v>
      </c>
      <c r="AL22" s="69">
        <f t="shared" si="9"/>
        <v>0</v>
      </c>
      <c r="AM22" s="69">
        <f t="shared" si="9"/>
        <v>0</v>
      </c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Y22" s="76" t="s">
        <v>111</v>
      </c>
      <c r="FZ22" s="75">
        <f t="shared" si="0"/>
        <v>21</v>
      </c>
      <c r="GA22" s="75"/>
      <c r="GB22" s="75"/>
      <c r="GC22" s="75"/>
      <c r="GD22" s="75"/>
      <c r="GE22" s="75"/>
      <c r="GF22" s="75"/>
      <c r="GG22" s="75"/>
      <c r="GH22" s="75"/>
      <c r="GI22" s="75"/>
      <c r="GJ22" s="75">
        <f t="shared" si="1"/>
        <v>21</v>
      </c>
      <c r="GK22" s="75">
        <f t="shared" si="2"/>
        <v>0</v>
      </c>
      <c r="GL22" s="75"/>
      <c r="GM22" s="75"/>
      <c r="GN22" s="75"/>
      <c r="GO22" s="75">
        <v>1</v>
      </c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</row>
    <row r="23" spans="1:212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FY23" s="76" t="s">
        <v>112</v>
      </c>
      <c r="FZ23" s="75">
        <f t="shared" si="0"/>
        <v>22</v>
      </c>
      <c r="GA23" s="75"/>
      <c r="GB23" s="75"/>
      <c r="GC23" s="75"/>
      <c r="GD23" s="75"/>
      <c r="GE23" s="75"/>
      <c r="GF23" s="75"/>
      <c r="GG23" s="75"/>
      <c r="GH23" s="75"/>
      <c r="GI23" s="75"/>
      <c r="GJ23" s="75">
        <f t="shared" si="1"/>
        <v>22</v>
      </c>
      <c r="GK23" s="75">
        <f t="shared" si="2"/>
        <v>0</v>
      </c>
      <c r="GL23" s="75"/>
      <c r="GM23" s="75"/>
      <c r="GN23" s="75"/>
      <c r="GO23" s="75"/>
      <c r="GP23" s="75">
        <v>1</v>
      </c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</row>
    <row r="24" spans="1:212" ht="15">
      <c r="A24" s="54"/>
      <c r="B24" s="54"/>
      <c r="C24" s="54"/>
      <c r="D24" s="54"/>
      <c r="E24" s="54"/>
      <c r="F24" s="81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FY24" s="76" t="s">
        <v>113</v>
      </c>
      <c r="FZ24" s="75">
        <f t="shared" si="0"/>
        <v>23</v>
      </c>
      <c r="GA24" s="75"/>
      <c r="GB24" s="75"/>
      <c r="GC24" s="75"/>
      <c r="GD24" s="75"/>
      <c r="GE24" s="75"/>
      <c r="GF24" s="75"/>
      <c r="GG24" s="75"/>
      <c r="GH24" s="75"/>
      <c r="GI24" s="75"/>
      <c r="GJ24" s="75">
        <f t="shared" si="1"/>
        <v>23</v>
      </c>
      <c r="GK24" s="75">
        <f t="shared" si="2"/>
        <v>0</v>
      </c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</row>
    <row r="25" spans="1:212" ht="15">
      <c r="A25" s="54"/>
      <c r="C25" s="54"/>
      <c r="D25" s="74">
        <f>+D17</f>
        <v>0</v>
      </c>
      <c r="E25" s="74" t="str">
        <f aca="true" t="shared" si="10" ref="E25:AM25">+E17</f>
        <v>A1</v>
      </c>
      <c r="F25" s="74" t="str">
        <f t="shared" si="10"/>
        <v>A2</v>
      </c>
      <c r="G25" s="74" t="str">
        <f t="shared" si="10"/>
        <v>A3</v>
      </c>
      <c r="H25" s="74" t="str">
        <f t="shared" si="10"/>
        <v>A4</v>
      </c>
      <c r="I25" s="74" t="str">
        <f t="shared" si="10"/>
        <v>A5</v>
      </c>
      <c r="J25" s="74" t="str">
        <f t="shared" si="10"/>
        <v>A6</v>
      </c>
      <c r="K25" s="74" t="str">
        <f t="shared" si="10"/>
        <v>A7</v>
      </c>
      <c r="L25" s="74" t="str">
        <f t="shared" si="10"/>
        <v>A8</v>
      </c>
      <c r="M25" s="74" t="str">
        <f t="shared" si="10"/>
        <v>A9</v>
      </c>
      <c r="N25" s="74" t="str">
        <f t="shared" si="10"/>
        <v>A10</v>
      </c>
      <c r="O25" s="74" t="str">
        <f t="shared" si="10"/>
        <v>A11</v>
      </c>
      <c r="P25" s="74" t="str">
        <f t="shared" si="10"/>
        <v>A12</v>
      </c>
      <c r="Q25" s="74" t="str">
        <f t="shared" si="10"/>
        <v>A13</v>
      </c>
      <c r="R25" s="74" t="str">
        <f t="shared" si="10"/>
        <v>A14</v>
      </c>
      <c r="S25" s="74" t="str">
        <f t="shared" si="10"/>
        <v>A15</v>
      </c>
      <c r="T25" s="74" t="str">
        <f t="shared" si="10"/>
        <v>A16</v>
      </c>
      <c r="U25" s="74" t="str">
        <f t="shared" si="10"/>
        <v>A17</v>
      </c>
      <c r="V25" s="74" t="str">
        <f t="shared" si="10"/>
        <v>A18</v>
      </c>
      <c r="W25" s="74" t="str">
        <f t="shared" si="10"/>
        <v>A19</v>
      </c>
      <c r="X25" s="74" t="str">
        <f t="shared" si="10"/>
        <v>A20</v>
      </c>
      <c r="Y25" s="74" t="str">
        <f t="shared" si="10"/>
        <v>A21</v>
      </c>
      <c r="Z25" s="74" t="str">
        <f t="shared" si="10"/>
        <v>A22</v>
      </c>
      <c r="AA25" s="74" t="str">
        <f t="shared" si="10"/>
        <v>A23</v>
      </c>
      <c r="AB25" s="74" t="str">
        <f t="shared" si="10"/>
        <v>A24</v>
      </c>
      <c r="AC25" s="74" t="str">
        <f t="shared" si="10"/>
        <v>A25</v>
      </c>
      <c r="AD25" s="74" t="str">
        <f t="shared" si="10"/>
        <v>A26</v>
      </c>
      <c r="AE25" s="74" t="str">
        <f t="shared" si="10"/>
        <v>A27</v>
      </c>
      <c r="AF25" s="74" t="str">
        <f t="shared" si="10"/>
        <v>A28</v>
      </c>
      <c r="AG25" s="74" t="str">
        <f t="shared" si="10"/>
        <v>A29</v>
      </c>
      <c r="AH25" s="74" t="str">
        <f t="shared" si="10"/>
        <v>A30</v>
      </c>
      <c r="AI25" s="74" t="str">
        <f t="shared" si="10"/>
        <v>A31</v>
      </c>
      <c r="AJ25" s="74" t="str">
        <f t="shared" si="10"/>
        <v>A32</v>
      </c>
      <c r="AK25" s="74" t="str">
        <f t="shared" si="10"/>
        <v>A33</v>
      </c>
      <c r="AL25" s="74" t="str">
        <f t="shared" si="10"/>
        <v>A34</v>
      </c>
      <c r="AM25" s="74" t="str">
        <f t="shared" si="10"/>
        <v>A35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FY25" s="76" t="s">
        <v>114</v>
      </c>
      <c r="FZ25" s="75">
        <f t="shared" si="0"/>
        <v>24</v>
      </c>
      <c r="GA25" s="75"/>
      <c r="GB25" s="75"/>
      <c r="GC25" s="75"/>
      <c r="GD25" s="75"/>
      <c r="GE25" s="75"/>
      <c r="GF25" s="75"/>
      <c r="GG25" s="75"/>
      <c r="GH25" s="75"/>
      <c r="GI25" s="75"/>
      <c r="GJ25" s="75">
        <f t="shared" si="1"/>
        <v>24</v>
      </c>
      <c r="GK25" s="75">
        <f t="shared" si="2"/>
        <v>0</v>
      </c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</row>
    <row r="26" spans="1:212" ht="15">
      <c r="A26" s="54" t="s">
        <v>131</v>
      </c>
      <c r="B26" s="71" t="s">
        <v>132</v>
      </c>
      <c r="C26" s="54"/>
      <c r="D26" s="69">
        <f aca="true" t="shared" si="11" ref="D26:I26">+D22-D28</f>
        <v>0</v>
      </c>
      <c r="E26" s="69">
        <f t="shared" si="11"/>
        <v>0</v>
      </c>
      <c r="F26" s="69">
        <f>+F22-F28</f>
        <v>0</v>
      </c>
      <c r="G26" s="69">
        <f t="shared" si="11"/>
        <v>0</v>
      </c>
      <c r="H26" s="69">
        <f t="shared" si="11"/>
        <v>0</v>
      </c>
      <c r="I26" s="69">
        <f t="shared" si="11"/>
        <v>0</v>
      </c>
      <c r="J26" s="69">
        <f>+J22-SUM($I$28:J28)</f>
        <v>0</v>
      </c>
      <c r="K26" s="69">
        <f>+K22-SUM($I$28:K28)</f>
        <v>0</v>
      </c>
      <c r="L26" s="69">
        <f>+L22-SUM($I$28:L28)</f>
        <v>0</v>
      </c>
      <c r="M26" s="69">
        <f>+M22-SUM($I$28:M28)</f>
        <v>0</v>
      </c>
      <c r="N26" s="69">
        <f>+N22-SUM($I$28:N28)</f>
        <v>0</v>
      </c>
      <c r="O26" s="69">
        <f>+O22-SUM($I$28:O28)</f>
        <v>0</v>
      </c>
      <c r="P26" s="69">
        <f>+P22-SUM($I$28:P28)</f>
        <v>0</v>
      </c>
      <c r="Q26" s="69">
        <f>+Q22-SUM($I$28:Q28)</f>
        <v>0</v>
      </c>
      <c r="R26" s="69">
        <f>+R22-SUM($I$28:R28)</f>
        <v>0</v>
      </c>
      <c r="S26" s="69">
        <f>+S22-SUM($I$28:S28)</f>
        <v>0</v>
      </c>
      <c r="T26" s="69">
        <f>+T22-SUM($I$28:T28)</f>
        <v>0</v>
      </c>
      <c r="U26" s="69">
        <f>+U22-SUM($I$28:U28)</f>
        <v>0</v>
      </c>
      <c r="V26" s="69">
        <f>+V22-SUM($I$28:V28)</f>
        <v>0</v>
      </c>
      <c r="W26" s="69">
        <f>+W22-SUM($I$28:W28)</f>
        <v>0</v>
      </c>
      <c r="X26" s="69">
        <f>+X22-SUM($I$28:X28)</f>
        <v>0</v>
      </c>
      <c r="Y26" s="69">
        <f>+Y22-SUM($I$28:Y28)</f>
        <v>0</v>
      </c>
      <c r="Z26" s="69">
        <f>+Z22-SUM($I$28:Z28)</f>
        <v>0</v>
      </c>
      <c r="AA26" s="69">
        <f>+AA22-SUM($I$28:AA28)</f>
        <v>0</v>
      </c>
      <c r="AB26" s="69">
        <f>+AB22-SUM($I$28:AB28)</f>
        <v>0</v>
      </c>
      <c r="AC26" s="69">
        <f>+AC22-SUM($I$28:AC28)</f>
        <v>0</v>
      </c>
      <c r="AD26" s="69">
        <f>+AD22-SUM($I$28:AD28)</f>
        <v>0</v>
      </c>
      <c r="AE26" s="69">
        <f>+AE22-SUM($I$28:AE28)</f>
        <v>0</v>
      </c>
      <c r="AF26" s="69">
        <f>+AF22-SUM($I$28:AF28)</f>
        <v>0</v>
      </c>
      <c r="AG26" s="69">
        <f>+AG22-SUM($I$28:AG28)</f>
        <v>0</v>
      </c>
      <c r="AH26" s="69">
        <f>+AH22-SUM($I$28:AH28)</f>
        <v>0</v>
      </c>
      <c r="AI26" s="69">
        <f>+AI22-SUM($I$28:AI28)</f>
        <v>0</v>
      </c>
      <c r="AJ26" s="69">
        <f>+AJ22-SUM($I$28:AJ28)</f>
        <v>0</v>
      </c>
      <c r="AK26" s="69">
        <f>+AK22-SUM($I$28:AK28)</f>
        <v>0</v>
      </c>
      <c r="AL26" s="69">
        <f>+AL22-SUM($I$28:AL28)</f>
        <v>0</v>
      </c>
      <c r="AM26" s="69">
        <f>+AM22-SUM($I$28:AM28)</f>
        <v>0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FY26" s="76" t="s">
        <v>115</v>
      </c>
      <c r="FZ26" s="75">
        <f t="shared" si="0"/>
        <v>25</v>
      </c>
      <c r="GA26" s="75"/>
      <c r="GB26" s="75"/>
      <c r="GC26" s="75"/>
      <c r="GD26" s="75"/>
      <c r="GE26" s="75"/>
      <c r="GF26" s="75"/>
      <c r="GG26" s="75"/>
      <c r="GH26" s="75"/>
      <c r="GI26" s="75"/>
      <c r="GJ26" s="75">
        <f t="shared" si="1"/>
        <v>25</v>
      </c>
      <c r="GK26" s="75">
        <f t="shared" si="2"/>
        <v>1</v>
      </c>
      <c r="GL26" s="75"/>
      <c r="GM26" s="75">
        <v>1</v>
      </c>
      <c r="GN26" s="75">
        <v>1</v>
      </c>
      <c r="GO26" s="75">
        <v>1</v>
      </c>
      <c r="GP26" s="75">
        <v>1</v>
      </c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</row>
    <row r="27" spans="1:212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FY27" s="76" t="s">
        <v>116</v>
      </c>
      <c r="FZ27" s="75">
        <f t="shared" si="0"/>
        <v>26</v>
      </c>
      <c r="GA27" s="75"/>
      <c r="GB27" s="75"/>
      <c r="GC27" s="75"/>
      <c r="GD27" s="75"/>
      <c r="GE27" s="75"/>
      <c r="GF27" s="75"/>
      <c r="GG27" s="75"/>
      <c r="GH27" s="75"/>
      <c r="GI27" s="75"/>
      <c r="GJ27" s="75">
        <f t="shared" si="1"/>
        <v>26</v>
      </c>
      <c r="GK27" s="75">
        <f t="shared" si="2"/>
        <v>0</v>
      </c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</row>
    <row r="28" spans="1:212" ht="15">
      <c r="A28" s="54" t="s">
        <v>133</v>
      </c>
      <c r="B28" s="71" t="s">
        <v>134</v>
      </c>
      <c r="C28" s="54"/>
      <c r="D28" s="69">
        <f>+D21</f>
        <v>0</v>
      </c>
      <c r="E28" s="69">
        <f aca="true" t="shared" si="12" ref="E28:AM28">+E21</f>
        <v>0</v>
      </c>
      <c r="F28" s="69">
        <f t="shared" si="12"/>
        <v>0</v>
      </c>
      <c r="G28" s="69">
        <f t="shared" si="12"/>
        <v>0</v>
      </c>
      <c r="H28" s="69">
        <f t="shared" si="12"/>
        <v>0</v>
      </c>
      <c r="I28" s="69">
        <f t="shared" si="12"/>
        <v>0</v>
      </c>
      <c r="J28" s="69">
        <f t="shared" si="12"/>
        <v>0</v>
      </c>
      <c r="K28" s="69">
        <f t="shared" si="12"/>
        <v>0</v>
      </c>
      <c r="L28" s="69">
        <f t="shared" si="12"/>
        <v>0</v>
      </c>
      <c r="M28" s="69">
        <f t="shared" si="12"/>
        <v>0</v>
      </c>
      <c r="N28" s="69">
        <f t="shared" si="12"/>
        <v>0</v>
      </c>
      <c r="O28" s="69">
        <f t="shared" si="12"/>
        <v>0</v>
      </c>
      <c r="P28" s="69">
        <f t="shared" si="12"/>
        <v>0</v>
      </c>
      <c r="Q28" s="69">
        <f t="shared" si="12"/>
        <v>0</v>
      </c>
      <c r="R28" s="69">
        <f t="shared" si="12"/>
        <v>0</v>
      </c>
      <c r="S28" s="69">
        <f t="shared" si="12"/>
        <v>0</v>
      </c>
      <c r="T28" s="69">
        <f t="shared" si="12"/>
        <v>0</v>
      </c>
      <c r="U28" s="69">
        <f t="shared" si="12"/>
        <v>0</v>
      </c>
      <c r="V28" s="69">
        <f t="shared" si="12"/>
        <v>0</v>
      </c>
      <c r="W28" s="69">
        <f t="shared" si="12"/>
        <v>0</v>
      </c>
      <c r="X28" s="69">
        <f t="shared" si="12"/>
        <v>0</v>
      </c>
      <c r="Y28" s="69">
        <f t="shared" si="12"/>
        <v>0</v>
      </c>
      <c r="Z28" s="69">
        <f t="shared" si="12"/>
        <v>0</v>
      </c>
      <c r="AA28" s="69">
        <f t="shared" si="12"/>
        <v>0</v>
      </c>
      <c r="AB28" s="69">
        <f t="shared" si="12"/>
        <v>0</v>
      </c>
      <c r="AC28" s="69">
        <f t="shared" si="12"/>
        <v>0</v>
      </c>
      <c r="AD28" s="69">
        <f t="shared" si="12"/>
        <v>0</v>
      </c>
      <c r="AE28" s="69">
        <f t="shared" si="12"/>
        <v>0</v>
      </c>
      <c r="AF28" s="69">
        <f t="shared" si="12"/>
        <v>0</v>
      </c>
      <c r="AG28" s="69">
        <f t="shared" si="12"/>
        <v>0</v>
      </c>
      <c r="AH28" s="69">
        <f t="shared" si="12"/>
        <v>0</v>
      </c>
      <c r="AI28" s="69">
        <f t="shared" si="12"/>
        <v>0</v>
      </c>
      <c r="AJ28" s="69">
        <f t="shared" si="12"/>
        <v>0</v>
      </c>
      <c r="AK28" s="69">
        <f t="shared" si="12"/>
        <v>0</v>
      </c>
      <c r="AL28" s="69">
        <f t="shared" si="12"/>
        <v>0</v>
      </c>
      <c r="AM28" s="69">
        <f t="shared" si="12"/>
        <v>0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FY28" s="76" t="s">
        <v>117</v>
      </c>
      <c r="FZ28" s="75">
        <f t="shared" si="0"/>
        <v>27</v>
      </c>
      <c r="GA28" s="75"/>
      <c r="GB28" s="75"/>
      <c r="GC28" s="75"/>
      <c r="GD28" s="75"/>
      <c r="GE28" s="75"/>
      <c r="GF28" s="75"/>
      <c r="GG28" s="75"/>
      <c r="GH28" s="75"/>
      <c r="GI28" s="75"/>
      <c r="GJ28" s="75">
        <f t="shared" si="1"/>
        <v>27</v>
      </c>
      <c r="GK28" s="75">
        <f t="shared" si="2"/>
        <v>0</v>
      </c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</row>
    <row r="29" spans="1:212" ht="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FY29" s="76" t="s">
        <v>118</v>
      </c>
      <c r="FZ29" s="75">
        <f t="shared" si="0"/>
        <v>28</v>
      </c>
      <c r="GA29" s="75"/>
      <c r="GB29" s="75"/>
      <c r="GC29" s="75"/>
      <c r="GD29" s="75"/>
      <c r="GE29" s="75"/>
      <c r="GF29" s="75"/>
      <c r="GG29" s="75"/>
      <c r="GH29" s="75"/>
      <c r="GI29" s="75"/>
      <c r="GJ29" s="75">
        <f t="shared" si="1"/>
        <v>28</v>
      </c>
      <c r="GK29" s="75">
        <f t="shared" si="2"/>
        <v>0</v>
      </c>
      <c r="GL29" s="75"/>
      <c r="GM29" s="75"/>
      <c r="GN29" s="75"/>
      <c r="GO29" s="75"/>
      <c r="GP29" s="75">
        <v>1</v>
      </c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</row>
    <row r="30" spans="1:212" ht="15">
      <c r="A30" s="54"/>
      <c r="B30" s="54"/>
      <c r="C30" s="54"/>
      <c r="D30" s="54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FY30" s="76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</row>
    <row r="31" spans="1:212" ht="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FY31" s="76" t="s">
        <v>120</v>
      </c>
      <c r="FZ31" s="75">
        <f t="shared" si="0"/>
        <v>1</v>
      </c>
      <c r="GA31" s="75"/>
      <c r="GB31" s="75"/>
      <c r="GC31" s="75"/>
      <c r="GD31" s="75"/>
      <c r="GE31" s="75"/>
      <c r="GF31" s="75"/>
      <c r="GG31" s="75"/>
      <c r="GH31" s="75"/>
      <c r="GI31" s="75"/>
      <c r="GJ31" s="75">
        <f t="shared" si="1"/>
        <v>1</v>
      </c>
      <c r="GK31" s="75">
        <f t="shared" si="2"/>
        <v>0</v>
      </c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</row>
    <row r="32" spans="1:212" ht="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FY32" s="76" t="s">
        <v>121</v>
      </c>
      <c r="FZ32" s="75">
        <f t="shared" si="0"/>
        <v>2</v>
      </c>
      <c r="GA32" s="75"/>
      <c r="GB32" s="75"/>
      <c r="GC32" s="75"/>
      <c r="GD32" s="75"/>
      <c r="GE32" s="75"/>
      <c r="GF32" s="75"/>
      <c r="GG32" s="75"/>
      <c r="GH32" s="75"/>
      <c r="GI32" s="75"/>
      <c r="GJ32" s="75">
        <f t="shared" si="1"/>
        <v>2</v>
      </c>
      <c r="GK32" s="75">
        <f t="shared" si="2"/>
        <v>0</v>
      </c>
      <c r="GL32" s="75"/>
      <c r="GM32" s="75"/>
      <c r="GN32" s="75">
        <v>1</v>
      </c>
      <c r="GO32" s="75"/>
      <c r="GP32" s="75">
        <v>1</v>
      </c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</row>
    <row r="33" spans="1:212" ht="15">
      <c r="A33" s="54"/>
      <c r="B33" s="54" t="s">
        <v>34</v>
      </c>
      <c r="C33" s="54"/>
      <c r="D33" s="54"/>
      <c r="E33" s="82">
        <f>+IF(E22-E21&gt;0,E22-E21,0)</f>
        <v>0</v>
      </c>
      <c r="F33" s="82">
        <f>+IF(F22-F21-E22&gt;0,F22-F21-E22,0)</f>
        <v>0</v>
      </c>
      <c r="G33" s="82">
        <f aca="true" t="shared" si="13" ref="G33:L33">+IF(G22-G21-F22&gt;0,G22-G21-G19,0)</f>
        <v>0</v>
      </c>
      <c r="H33" s="82">
        <f t="shared" si="13"/>
        <v>0</v>
      </c>
      <c r="I33" s="82">
        <f t="shared" si="13"/>
        <v>0</v>
      </c>
      <c r="J33" s="82">
        <f t="shared" si="13"/>
        <v>0</v>
      </c>
      <c r="K33" s="82">
        <f t="shared" si="13"/>
        <v>0</v>
      </c>
      <c r="L33" s="82">
        <f t="shared" si="13"/>
        <v>0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FY33" s="76" t="s">
        <v>122</v>
      </c>
      <c r="FZ33" s="75">
        <f t="shared" si="0"/>
        <v>3</v>
      </c>
      <c r="GA33" s="75"/>
      <c r="GB33" s="75"/>
      <c r="GC33" s="75"/>
      <c r="GD33" s="75"/>
      <c r="GE33" s="75"/>
      <c r="GF33" s="75"/>
      <c r="GG33" s="75"/>
      <c r="GH33" s="75"/>
      <c r="GI33" s="75"/>
      <c r="GJ33" s="75">
        <f t="shared" si="1"/>
        <v>3</v>
      </c>
      <c r="GK33" s="75">
        <f t="shared" si="2"/>
        <v>0</v>
      </c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</row>
    <row r="34" spans="1:212" ht="15">
      <c r="A34" s="54"/>
      <c r="B34" s="54" t="s">
        <v>37</v>
      </c>
      <c r="C34" s="54"/>
      <c r="D34" s="54"/>
      <c r="E34" s="82">
        <f>+IF(E22-E21-E19&lt;0,E22-E21-E19,0)</f>
        <v>0</v>
      </c>
      <c r="F34" s="82">
        <f>+IF(F22-F21-E22&lt;0,-(F22-F21-E22),0)</f>
        <v>0</v>
      </c>
      <c r="G34" s="82">
        <f aca="true" t="shared" si="14" ref="G34:L34">+IF(G22-G21-F22&lt;0,-(G22-G21-F22),0)</f>
        <v>0</v>
      </c>
      <c r="H34" s="82">
        <f t="shared" si="14"/>
        <v>0</v>
      </c>
      <c r="I34" s="82">
        <f t="shared" si="14"/>
        <v>0</v>
      </c>
      <c r="J34" s="82">
        <f t="shared" si="14"/>
        <v>0</v>
      </c>
      <c r="K34" s="82">
        <f t="shared" si="14"/>
        <v>0</v>
      </c>
      <c r="L34" s="82">
        <f t="shared" si="14"/>
        <v>0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FY34" s="76" t="s">
        <v>123</v>
      </c>
      <c r="FZ34" s="75">
        <f t="shared" si="0"/>
        <v>4</v>
      </c>
      <c r="GA34" s="75"/>
      <c r="GB34" s="75"/>
      <c r="GC34" s="75"/>
      <c r="GD34" s="75"/>
      <c r="GE34" s="75"/>
      <c r="GF34" s="75"/>
      <c r="GG34" s="75"/>
      <c r="GH34" s="75"/>
      <c r="GI34" s="75"/>
      <c r="GJ34" s="75">
        <f t="shared" si="1"/>
        <v>4</v>
      </c>
      <c r="GK34" s="75">
        <f t="shared" si="2"/>
        <v>0</v>
      </c>
      <c r="GL34" s="75"/>
      <c r="GM34" s="75"/>
      <c r="GN34" s="75"/>
      <c r="GO34" s="75">
        <v>1</v>
      </c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</row>
    <row r="35" spans="1:212" ht="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FY35" s="76" t="s">
        <v>124</v>
      </c>
      <c r="FZ35" s="75">
        <f t="shared" si="0"/>
        <v>5</v>
      </c>
      <c r="GA35" s="75"/>
      <c r="GB35" s="75"/>
      <c r="GC35" s="75"/>
      <c r="GD35" s="75"/>
      <c r="GE35" s="75"/>
      <c r="GF35" s="75"/>
      <c r="GG35" s="75"/>
      <c r="GH35" s="75"/>
      <c r="GI35" s="75"/>
      <c r="GJ35" s="75">
        <f t="shared" si="1"/>
        <v>5</v>
      </c>
      <c r="GK35" s="75">
        <f t="shared" si="2"/>
        <v>0</v>
      </c>
      <c r="GL35" s="75"/>
      <c r="GM35" s="75"/>
      <c r="GN35" s="75"/>
      <c r="GO35" s="75"/>
      <c r="GP35" s="75">
        <v>1</v>
      </c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</row>
    <row r="36" spans="1:212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FY36" s="76" t="s">
        <v>125</v>
      </c>
      <c r="FZ36" s="75">
        <f t="shared" si="0"/>
        <v>6</v>
      </c>
      <c r="GA36" s="75"/>
      <c r="GB36" s="75"/>
      <c r="GC36" s="75"/>
      <c r="GD36" s="75"/>
      <c r="GE36" s="75"/>
      <c r="GF36" s="75"/>
      <c r="GG36" s="75"/>
      <c r="GH36" s="75"/>
      <c r="GI36" s="75"/>
      <c r="GJ36" s="75">
        <f t="shared" si="1"/>
        <v>6</v>
      </c>
      <c r="GK36" s="75">
        <f t="shared" si="2"/>
        <v>0</v>
      </c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</row>
    <row r="37" spans="1:212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FY37" s="76" t="s">
        <v>138</v>
      </c>
      <c r="FZ37" s="75">
        <f t="shared" si="0"/>
        <v>7</v>
      </c>
      <c r="GA37" s="75"/>
      <c r="GB37" s="75"/>
      <c r="GC37" s="75"/>
      <c r="GD37" s="75"/>
      <c r="GE37" s="75"/>
      <c r="GF37" s="75"/>
      <c r="GG37" s="75"/>
      <c r="GH37" s="75"/>
      <c r="GI37" s="75"/>
      <c r="GJ37" s="75">
        <f t="shared" si="1"/>
        <v>7</v>
      </c>
      <c r="GK37" s="75">
        <f t="shared" si="2"/>
        <v>0</v>
      </c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</row>
    <row r="38" spans="1:212" ht="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FY38" s="76" t="s">
        <v>139</v>
      </c>
      <c r="FZ38" s="75">
        <f t="shared" si="0"/>
        <v>8</v>
      </c>
      <c r="GA38" s="75"/>
      <c r="GB38" s="75"/>
      <c r="GC38" s="75"/>
      <c r="GD38" s="75"/>
      <c r="GE38" s="75"/>
      <c r="GF38" s="75"/>
      <c r="GG38" s="75"/>
      <c r="GH38" s="75"/>
      <c r="GI38" s="75"/>
      <c r="GJ38" s="75">
        <f t="shared" si="1"/>
        <v>8</v>
      </c>
      <c r="GK38" s="75">
        <f t="shared" si="2"/>
        <v>1</v>
      </c>
      <c r="GL38" s="75"/>
      <c r="GM38" s="75">
        <v>1</v>
      </c>
      <c r="GN38" s="75">
        <v>1</v>
      </c>
      <c r="GO38" s="75">
        <v>1</v>
      </c>
      <c r="GP38" s="75">
        <v>1</v>
      </c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</row>
    <row r="39" spans="1:212" ht="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FY39" s="76" t="s">
        <v>140</v>
      </c>
      <c r="FZ39" s="75">
        <f t="shared" si="0"/>
        <v>9</v>
      </c>
      <c r="GA39" s="75"/>
      <c r="GB39" s="75"/>
      <c r="GC39" s="75"/>
      <c r="GD39" s="75"/>
      <c r="GE39" s="75"/>
      <c r="GF39" s="75"/>
      <c r="GG39" s="75"/>
      <c r="GH39" s="75"/>
      <c r="GI39" s="75"/>
      <c r="GJ39" s="75">
        <f t="shared" si="1"/>
        <v>9</v>
      </c>
      <c r="GK39" s="75">
        <f t="shared" si="2"/>
        <v>0</v>
      </c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</row>
    <row r="40" spans="1:212" ht="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FY40" s="76" t="s">
        <v>141</v>
      </c>
      <c r="FZ40" s="75">
        <f t="shared" si="0"/>
        <v>10</v>
      </c>
      <c r="GA40" s="75"/>
      <c r="GB40" s="75"/>
      <c r="GC40" s="75"/>
      <c r="GD40" s="75"/>
      <c r="GE40" s="75"/>
      <c r="GF40" s="75"/>
      <c r="GG40" s="75"/>
      <c r="GH40" s="75"/>
      <c r="GI40" s="75"/>
      <c r="GJ40" s="75">
        <f t="shared" si="1"/>
        <v>10</v>
      </c>
      <c r="GK40" s="75">
        <f t="shared" si="2"/>
        <v>0</v>
      </c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</row>
    <row r="41" spans="1:212" ht="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FY41" s="76" t="s">
        <v>142</v>
      </c>
      <c r="FZ41" s="75">
        <f t="shared" si="0"/>
        <v>11</v>
      </c>
      <c r="GA41" s="75"/>
      <c r="GB41" s="75"/>
      <c r="GC41" s="75"/>
      <c r="GD41" s="75"/>
      <c r="GE41" s="75"/>
      <c r="GF41" s="75"/>
      <c r="GG41" s="75"/>
      <c r="GH41" s="75"/>
      <c r="GI41" s="75"/>
      <c r="GJ41" s="75">
        <f t="shared" si="1"/>
        <v>11</v>
      </c>
      <c r="GK41" s="75">
        <f t="shared" si="2"/>
        <v>0</v>
      </c>
      <c r="GL41" s="75"/>
      <c r="GM41" s="75"/>
      <c r="GN41" s="75"/>
      <c r="GO41" s="75"/>
      <c r="GP41" s="75">
        <v>1</v>
      </c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</row>
    <row r="42" spans="1:212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FY42" s="76" t="s">
        <v>143</v>
      </c>
      <c r="FZ42" s="75">
        <f t="shared" si="0"/>
        <v>12</v>
      </c>
      <c r="GA42" s="75"/>
      <c r="GB42" s="75"/>
      <c r="GC42" s="75"/>
      <c r="GD42" s="75"/>
      <c r="GE42" s="75"/>
      <c r="GF42" s="75"/>
      <c r="GG42" s="75"/>
      <c r="GH42" s="75"/>
      <c r="GI42" s="75"/>
      <c r="GJ42" s="75">
        <f t="shared" si="1"/>
        <v>12</v>
      </c>
      <c r="GK42" s="75">
        <f t="shared" si="2"/>
        <v>0</v>
      </c>
      <c r="GL42" s="75"/>
      <c r="GM42" s="75"/>
      <c r="GN42" s="75"/>
      <c r="GO42" s="75">
        <v>1</v>
      </c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</row>
    <row r="43" spans="1:212" ht="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FY43" s="76" t="s">
        <v>144</v>
      </c>
      <c r="FZ43" s="75">
        <f t="shared" si="0"/>
        <v>13</v>
      </c>
      <c r="GA43" s="75"/>
      <c r="GB43" s="75"/>
      <c r="GC43" s="75"/>
      <c r="GD43" s="75"/>
      <c r="GE43" s="75"/>
      <c r="GF43" s="75"/>
      <c r="GG43" s="75"/>
      <c r="GH43" s="75"/>
      <c r="GI43" s="75"/>
      <c r="GJ43" s="75">
        <f t="shared" si="1"/>
        <v>13</v>
      </c>
      <c r="GK43" s="75">
        <f t="shared" si="2"/>
        <v>0</v>
      </c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</row>
    <row r="44" spans="1:212" ht="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FY44" s="76" t="s">
        <v>145</v>
      </c>
      <c r="FZ44" s="75">
        <f t="shared" si="0"/>
        <v>14</v>
      </c>
      <c r="GA44" s="75"/>
      <c r="GB44" s="75"/>
      <c r="GC44" s="75"/>
      <c r="GD44" s="75"/>
      <c r="GE44" s="75"/>
      <c r="GF44" s="75"/>
      <c r="GG44" s="75"/>
      <c r="GH44" s="75"/>
      <c r="GI44" s="75"/>
      <c r="GJ44" s="75">
        <f t="shared" si="1"/>
        <v>14</v>
      </c>
      <c r="GK44" s="75">
        <f t="shared" si="2"/>
        <v>0</v>
      </c>
      <c r="GL44" s="75"/>
      <c r="GM44" s="75"/>
      <c r="GN44" s="75">
        <v>1</v>
      </c>
      <c r="GO44" s="75"/>
      <c r="GP44" s="75">
        <v>1</v>
      </c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</row>
    <row r="45" spans="1:212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FY45" s="76" t="s">
        <v>146</v>
      </c>
      <c r="FZ45" s="75">
        <f t="shared" si="0"/>
        <v>15</v>
      </c>
      <c r="GA45" s="75"/>
      <c r="GB45" s="75"/>
      <c r="GC45" s="75"/>
      <c r="GD45" s="75"/>
      <c r="GE45" s="75"/>
      <c r="GF45" s="75"/>
      <c r="GG45" s="75"/>
      <c r="GH45" s="75"/>
      <c r="GI45" s="75"/>
      <c r="GJ45" s="75">
        <f t="shared" si="1"/>
        <v>15</v>
      </c>
      <c r="GK45" s="75">
        <f t="shared" si="2"/>
        <v>0</v>
      </c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</row>
    <row r="46" spans="1:212" ht="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FY46" s="76" t="s">
        <v>147</v>
      </c>
      <c r="FZ46" s="75">
        <f t="shared" si="0"/>
        <v>16</v>
      </c>
      <c r="GA46" s="75"/>
      <c r="GB46" s="75"/>
      <c r="GC46" s="75"/>
      <c r="GD46" s="75"/>
      <c r="GE46" s="75"/>
      <c r="GF46" s="75"/>
      <c r="GG46" s="75"/>
      <c r="GH46" s="75"/>
      <c r="GI46" s="75"/>
      <c r="GJ46" s="75">
        <f t="shared" si="1"/>
        <v>16</v>
      </c>
      <c r="GK46" s="75">
        <f t="shared" si="2"/>
        <v>0</v>
      </c>
      <c r="GL46" s="75"/>
      <c r="GM46" s="75"/>
      <c r="GN46" s="75"/>
      <c r="GO46" s="75">
        <v>1</v>
      </c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</row>
    <row r="47" spans="1:212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FY47" s="76" t="s">
        <v>148</v>
      </c>
      <c r="FZ47" s="75">
        <f t="shared" si="0"/>
        <v>17</v>
      </c>
      <c r="GA47" s="75"/>
      <c r="GB47" s="75"/>
      <c r="GC47" s="75"/>
      <c r="GD47" s="75"/>
      <c r="GE47" s="75"/>
      <c r="GF47" s="75"/>
      <c r="GG47" s="75"/>
      <c r="GH47" s="75"/>
      <c r="GI47" s="75"/>
      <c r="GJ47" s="75">
        <f t="shared" si="1"/>
        <v>17</v>
      </c>
      <c r="GK47" s="75">
        <f t="shared" si="2"/>
        <v>0</v>
      </c>
      <c r="GL47" s="75"/>
      <c r="GM47" s="75"/>
      <c r="GN47" s="75"/>
      <c r="GO47" s="75"/>
      <c r="GP47" s="75">
        <v>1</v>
      </c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</row>
    <row r="48" spans="1:212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FY48" s="76" t="s">
        <v>149</v>
      </c>
      <c r="FZ48" s="75">
        <f t="shared" si="0"/>
        <v>18</v>
      </c>
      <c r="GA48" s="75"/>
      <c r="GB48" s="75"/>
      <c r="GC48" s="75"/>
      <c r="GD48" s="75"/>
      <c r="GE48" s="75"/>
      <c r="GF48" s="75"/>
      <c r="GG48" s="75"/>
      <c r="GH48" s="75"/>
      <c r="GI48" s="75"/>
      <c r="GJ48" s="75">
        <f t="shared" si="1"/>
        <v>18</v>
      </c>
      <c r="GK48" s="75">
        <f t="shared" si="2"/>
        <v>0</v>
      </c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</row>
    <row r="49" spans="1:212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FY49" s="76" t="s">
        <v>150</v>
      </c>
      <c r="FZ49" s="75">
        <f t="shared" si="0"/>
        <v>19</v>
      </c>
      <c r="GA49" s="75"/>
      <c r="GB49" s="75"/>
      <c r="GC49" s="75"/>
      <c r="GD49" s="75"/>
      <c r="GE49" s="75"/>
      <c r="GF49" s="75"/>
      <c r="GG49" s="75"/>
      <c r="GH49" s="75"/>
      <c r="GI49" s="75"/>
      <c r="GJ49" s="75">
        <f t="shared" si="1"/>
        <v>19</v>
      </c>
      <c r="GK49" s="75">
        <f t="shared" si="2"/>
        <v>0</v>
      </c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</row>
    <row r="50" spans="1:212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FY50" s="76" t="s">
        <v>151</v>
      </c>
      <c r="FZ50" s="75">
        <f t="shared" si="0"/>
        <v>20</v>
      </c>
      <c r="GA50" s="75"/>
      <c r="GB50" s="75"/>
      <c r="GC50" s="75"/>
      <c r="GD50" s="75"/>
      <c r="GE50" s="75"/>
      <c r="GF50" s="75"/>
      <c r="GG50" s="75"/>
      <c r="GH50" s="75"/>
      <c r="GI50" s="75"/>
      <c r="GJ50" s="75">
        <f t="shared" si="1"/>
        <v>20</v>
      </c>
      <c r="GK50" s="75">
        <f t="shared" si="2"/>
        <v>1</v>
      </c>
      <c r="GL50" s="75"/>
      <c r="GM50" s="75">
        <v>1</v>
      </c>
      <c r="GN50" s="75">
        <v>1</v>
      </c>
      <c r="GO50" s="75">
        <v>1</v>
      </c>
      <c r="GP50" s="75">
        <v>1</v>
      </c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</row>
    <row r="51" spans="1:212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FY51" s="76" t="s">
        <v>152</v>
      </c>
      <c r="FZ51" s="75">
        <f t="shared" si="0"/>
        <v>21</v>
      </c>
      <c r="GA51" s="75"/>
      <c r="GB51" s="75"/>
      <c r="GC51" s="75"/>
      <c r="GD51" s="75"/>
      <c r="GE51" s="75"/>
      <c r="GF51" s="75"/>
      <c r="GG51" s="75"/>
      <c r="GH51" s="75"/>
      <c r="GI51" s="75"/>
      <c r="GJ51" s="75">
        <f t="shared" si="1"/>
        <v>21</v>
      </c>
      <c r="GK51" s="75">
        <f t="shared" si="2"/>
        <v>0</v>
      </c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</row>
    <row r="52" spans="1:212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FY52" s="76" t="s">
        <v>153</v>
      </c>
      <c r="FZ52" s="75">
        <f t="shared" si="0"/>
        <v>22</v>
      </c>
      <c r="GA52" s="75"/>
      <c r="GB52" s="75"/>
      <c r="GC52" s="75"/>
      <c r="GD52" s="75"/>
      <c r="GE52" s="75"/>
      <c r="GF52" s="75"/>
      <c r="GG52" s="75"/>
      <c r="GH52" s="75"/>
      <c r="GI52" s="75"/>
      <c r="GJ52" s="75">
        <f t="shared" si="1"/>
        <v>22</v>
      </c>
      <c r="GK52" s="75">
        <f t="shared" si="2"/>
        <v>0</v>
      </c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</row>
    <row r="53" spans="1:212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FY53" s="76" t="s">
        <v>154</v>
      </c>
      <c r="FZ53" s="75">
        <f t="shared" si="0"/>
        <v>23</v>
      </c>
      <c r="GA53" s="75"/>
      <c r="GB53" s="75"/>
      <c r="GC53" s="75"/>
      <c r="GD53" s="75"/>
      <c r="GE53" s="75"/>
      <c r="GF53" s="75"/>
      <c r="GG53" s="75"/>
      <c r="GH53" s="75"/>
      <c r="GI53" s="75"/>
      <c r="GJ53" s="75">
        <f t="shared" si="1"/>
        <v>23</v>
      </c>
      <c r="GK53" s="75">
        <f t="shared" si="2"/>
        <v>0</v>
      </c>
      <c r="GL53" s="75"/>
      <c r="GM53" s="75"/>
      <c r="GN53" s="75"/>
      <c r="GO53" s="75"/>
      <c r="GP53" s="75">
        <v>1</v>
      </c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</row>
    <row r="54" spans="1:212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FY54" s="76" t="s">
        <v>155</v>
      </c>
      <c r="FZ54" s="75">
        <f t="shared" si="0"/>
        <v>24</v>
      </c>
      <c r="GA54" s="75"/>
      <c r="GB54" s="75"/>
      <c r="GC54" s="75"/>
      <c r="GD54" s="75"/>
      <c r="GE54" s="75"/>
      <c r="GF54" s="75"/>
      <c r="GG54" s="75"/>
      <c r="GH54" s="75"/>
      <c r="GI54" s="75"/>
      <c r="GJ54" s="75">
        <f t="shared" si="1"/>
        <v>24</v>
      </c>
      <c r="GK54" s="75">
        <f t="shared" si="2"/>
        <v>0</v>
      </c>
      <c r="GL54" s="75"/>
      <c r="GM54" s="75"/>
      <c r="GN54" s="75"/>
      <c r="GO54" s="75">
        <v>1</v>
      </c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</row>
    <row r="55" spans="1:212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FY55" s="76" t="s">
        <v>156</v>
      </c>
      <c r="FZ55" s="75">
        <f t="shared" si="0"/>
        <v>25</v>
      </c>
      <c r="GA55" s="75"/>
      <c r="GB55" s="75"/>
      <c r="GC55" s="75"/>
      <c r="GD55" s="75"/>
      <c r="GE55" s="75"/>
      <c r="GF55" s="75"/>
      <c r="GG55" s="75"/>
      <c r="GH55" s="75"/>
      <c r="GI55" s="75"/>
      <c r="GJ55" s="75">
        <f t="shared" si="1"/>
        <v>25</v>
      </c>
      <c r="GK55" s="75">
        <f t="shared" si="2"/>
        <v>0</v>
      </c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</row>
    <row r="56" spans="1:212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FY56" s="76" t="s">
        <v>157</v>
      </c>
      <c r="FZ56" s="75">
        <f t="shared" si="0"/>
        <v>26</v>
      </c>
      <c r="GA56" s="75"/>
      <c r="GB56" s="75"/>
      <c r="GC56" s="75"/>
      <c r="GD56" s="75"/>
      <c r="GE56" s="75"/>
      <c r="GF56" s="75"/>
      <c r="GG56" s="75"/>
      <c r="GH56" s="75"/>
      <c r="GI56" s="75"/>
      <c r="GJ56" s="75">
        <f t="shared" si="1"/>
        <v>26</v>
      </c>
      <c r="GK56" s="75">
        <f t="shared" si="2"/>
        <v>0</v>
      </c>
      <c r="GL56" s="75"/>
      <c r="GM56" s="75"/>
      <c r="GN56" s="75">
        <v>1</v>
      </c>
      <c r="GO56" s="75"/>
      <c r="GP56" s="75">
        <v>1</v>
      </c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</row>
    <row r="57" spans="1:212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FY57" s="76" t="s">
        <v>158</v>
      </c>
      <c r="FZ57" s="75">
        <f t="shared" si="0"/>
        <v>27</v>
      </c>
      <c r="GA57" s="75"/>
      <c r="GB57" s="75"/>
      <c r="GC57" s="75"/>
      <c r="GD57" s="75"/>
      <c r="GE57" s="75"/>
      <c r="GF57" s="75"/>
      <c r="GG57" s="75"/>
      <c r="GH57" s="75"/>
      <c r="GI57" s="75"/>
      <c r="GJ57" s="75">
        <f t="shared" si="1"/>
        <v>27</v>
      </c>
      <c r="GK57" s="75">
        <f t="shared" si="2"/>
        <v>0</v>
      </c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</row>
    <row r="58" spans="1:212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FY58" s="76" t="s">
        <v>159</v>
      </c>
      <c r="FZ58" s="75">
        <f t="shared" si="0"/>
        <v>28</v>
      </c>
      <c r="GA58" s="75"/>
      <c r="GB58" s="75"/>
      <c r="GC58" s="75"/>
      <c r="GD58" s="75"/>
      <c r="GE58" s="75"/>
      <c r="GF58" s="75"/>
      <c r="GG58" s="75"/>
      <c r="GH58" s="75"/>
      <c r="GI58" s="75"/>
      <c r="GJ58" s="75">
        <f t="shared" si="1"/>
        <v>28</v>
      </c>
      <c r="GK58" s="75">
        <f t="shared" si="2"/>
        <v>0</v>
      </c>
      <c r="GL58" s="75"/>
      <c r="GM58" s="75"/>
      <c r="GN58" s="75"/>
      <c r="GO58" s="75">
        <v>1</v>
      </c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</row>
    <row r="59" spans="1:212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FY59" s="76" t="s">
        <v>160</v>
      </c>
      <c r="FZ59" s="75">
        <f t="shared" si="0"/>
        <v>29</v>
      </c>
      <c r="GA59" s="75"/>
      <c r="GB59" s="75"/>
      <c r="GC59" s="75"/>
      <c r="GD59" s="75"/>
      <c r="GE59" s="75"/>
      <c r="GF59" s="75"/>
      <c r="GG59" s="75"/>
      <c r="GH59" s="75"/>
      <c r="GI59" s="75"/>
      <c r="GJ59" s="75">
        <f t="shared" si="1"/>
        <v>29</v>
      </c>
      <c r="GK59" s="75">
        <f t="shared" si="2"/>
        <v>0</v>
      </c>
      <c r="GL59" s="75"/>
      <c r="GM59" s="75"/>
      <c r="GN59" s="75"/>
      <c r="GO59" s="75"/>
      <c r="GP59" s="75">
        <v>1</v>
      </c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</row>
    <row r="60" spans="1:212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FY60" s="76" t="s">
        <v>161</v>
      </c>
      <c r="FZ60" s="75">
        <f t="shared" si="0"/>
        <v>30</v>
      </c>
      <c r="GA60" s="75"/>
      <c r="GB60" s="75"/>
      <c r="GC60" s="75"/>
      <c r="GD60" s="75"/>
      <c r="GE60" s="75"/>
      <c r="GF60" s="75"/>
      <c r="GG60" s="75"/>
      <c r="GH60" s="75"/>
      <c r="GI60" s="75"/>
      <c r="GJ60" s="75">
        <f t="shared" si="1"/>
        <v>30</v>
      </c>
      <c r="GK60" s="75">
        <f t="shared" si="2"/>
        <v>0</v>
      </c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</row>
    <row r="61" spans="1:212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FY61" s="76" t="s">
        <v>162</v>
      </c>
      <c r="FZ61" s="75">
        <f t="shared" si="0"/>
        <v>31</v>
      </c>
      <c r="GA61" s="75"/>
      <c r="GB61" s="75"/>
      <c r="GC61" s="75"/>
      <c r="GD61" s="75"/>
      <c r="GE61" s="75"/>
      <c r="GF61" s="75"/>
      <c r="GG61" s="75"/>
      <c r="GH61" s="75"/>
      <c r="GI61" s="75"/>
      <c r="GJ61" s="75">
        <f t="shared" si="1"/>
        <v>31</v>
      </c>
      <c r="GK61" s="75">
        <f t="shared" si="2"/>
        <v>0</v>
      </c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</row>
    <row r="62" spans="1:212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FY62" s="76" t="s">
        <v>163</v>
      </c>
      <c r="FZ62" s="75">
        <f t="shared" si="0"/>
        <v>32</v>
      </c>
      <c r="GA62" s="75"/>
      <c r="GB62" s="75"/>
      <c r="GC62" s="75"/>
      <c r="GD62" s="75"/>
      <c r="GE62" s="75"/>
      <c r="GF62" s="75"/>
      <c r="GG62" s="75"/>
      <c r="GH62" s="75"/>
      <c r="GI62" s="75"/>
      <c r="GJ62" s="75">
        <f t="shared" si="1"/>
        <v>32</v>
      </c>
      <c r="GK62" s="75">
        <f t="shared" si="2"/>
        <v>1</v>
      </c>
      <c r="GL62" s="75"/>
      <c r="GM62" s="75">
        <v>1</v>
      </c>
      <c r="GN62" s="75">
        <v>1</v>
      </c>
      <c r="GO62" s="75">
        <v>1</v>
      </c>
      <c r="GP62" s="75">
        <v>1</v>
      </c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</row>
    <row r="63" spans="1:212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FY63" s="76" t="s">
        <v>164</v>
      </c>
      <c r="FZ63" s="75">
        <f t="shared" si="0"/>
        <v>33</v>
      </c>
      <c r="GA63" s="75"/>
      <c r="GB63" s="75"/>
      <c r="GC63" s="75"/>
      <c r="GD63" s="75"/>
      <c r="GE63" s="75"/>
      <c r="GF63" s="75"/>
      <c r="GG63" s="75"/>
      <c r="GH63" s="75"/>
      <c r="GI63" s="75"/>
      <c r="GJ63" s="75">
        <f t="shared" si="1"/>
        <v>33</v>
      </c>
      <c r="GK63" s="75">
        <f t="shared" si="2"/>
        <v>0</v>
      </c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</row>
    <row r="64" spans="1:212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FY64" s="76" t="s">
        <v>165</v>
      </c>
      <c r="FZ64" s="75">
        <f t="shared" si="0"/>
        <v>34</v>
      </c>
      <c r="GA64" s="75"/>
      <c r="GB64" s="75"/>
      <c r="GC64" s="75"/>
      <c r="GD64" s="75"/>
      <c r="GE64" s="75"/>
      <c r="GF64" s="75"/>
      <c r="GG64" s="75"/>
      <c r="GH64" s="75"/>
      <c r="GI64" s="75"/>
      <c r="GJ64" s="75">
        <f t="shared" si="1"/>
        <v>34</v>
      </c>
      <c r="GK64" s="75">
        <f t="shared" si="2"/>
        <v>0</v>
      </c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</row>
    <row r="65" spans="1:212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FY65" s="76" t="s">
        <v>166</v>
      </c>
      <c r="FZ65" s="75">
        <f t="shared" si="0"/>
        <v>35</v>
      </c>
      <c r="GA65" s="75"/>
      <c r="GB65" s="75"/>
      <c r="GC65" s="75"/>
      <c r="GD65" s="75"/>
      <c r="GE65" s="75"/>
      <c r="GF65" s="75"/>
      <c r="GG65" s="75"/>
      <c r="GH65" s="75"/>
      <c r="GI65" s="75"/>
      <c r="GJ65" s="75">
        <f t="shared" si="1"/>
        <v>35</v>
      </c>
      <c r="GK65" s="75">
        <f t="shared" si="2"/>
        <v>0</v>
      </c>
      <c r="GL65" s="75"/>
      <c r="GM65" s="75"/>
      <c r="GN65" s="75"/>
      <c r="GO65" s="75"/>
      <c r="GP65" s="75">
        <v>1</v>
      </c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</row>
    <row r="66" spans="1:212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FY66" s="76" t="s">
        <v>167</v>
      </c>
      <c r="FZ66" s="75">
        <f t="shared" si="0"/>
        <v>36</v>
      </c>
      <c r="GA66" s="75"/>
      <c r="GB66" s="75"/>
      <c r="GC66" s="75"/>
      <c r="GD66" s="75"/>
      <c r="GE66" s="75"/>
      <c r="GF66" s="75"/>
      <c r="GG66" s="75"/>
      <c r="GH66" s="75"/>
      <c r="GI66" s="75"/>
      <c r="GJ66" s="75">
        <f t="shared" si="1"/>
        <v>36</v>
      </c>
      <c r="GK66" s="75">
        <f t="shared" si="2"/>
        <v>0</v>
      </c>
      <c r="GL66" s="75"/>
      <c r="GM66" s="75"/>
      <c r="GN66" s="75"/>
      <c r="GO66" s="75">
        <v>1</v>
      </c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</row>
    <row r="67" spans="1:212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FY67" s="76" t="s">
        <v>168</v>
      </c>
      <c r="FZ67" s="75">
        <f t="shared" si="0"/>
        <v>37</v>
      </c>
      <c r="GA67" s="75"/>
      <c r="GB67" s="75"/>
      <c r="GC67" s="75"/>
      <c r="GD67" s="75"/>
      <c r="GE67" s="75"/>
      <c r="GF67" s="75"/>
      <c r="GG67" s="75"/>
      <c r="GH67" s="75"/>
      <c r="GI67" s="75"/>
      <c r="GJ67" s="75">
        <f t="shared" si="1"/>
        <v>37</v>
      </c>
      <c r="GK67" s="75">
        <f t="shared" si="2"/>
        <v>0</v>
      </c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</row>
    <row r="68" spans="1:212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FY68" s="76" t="s">
        <v>169</v>
      </c>
      <c r="FZ68" s="75">
        <f aca="true" t="shared" si="15" ref="FZ68:FZ121">1+FZ67</f>
        <v>38</v>
      </c>
      <c r="GA68" s="75"/>
      <c r="GB68" s="75"/>
      <c r="GC68" s="75"/>
      <c r="GD68" s="75"/>
      <c r="GE68" s="75"/>
      <c r="GF68" s="75"/>
      <c r="GG68" s="75"/>
      <c r="GH68" s="75"/>
      <c r="GI68" s="75"/>
      <c r="GJ68" s="75">
        <f aca="true" t="shared" si="16" ref="GJ68:GJ131">+GJ67+1</f>
        <v>38</v>
      </c>
      <c r="GK68" s="75">
        <f t="shared" si="2"/>
        <v>0</v>
      </c>
      <c r="GL68" s="75"/>
      <c r="GM68" s="75"/>
      <c r="GN68" s="75">
        <v>1</v>
      </c>
      <c r="GO68" s="75"/>
      <c r="GP68" s="75">
        <v>1</v>
      </c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</row>
    <row r="69" spans="1:212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FY69" s="76" t="s">
        <v>170</v>
      </c>
      <c r="FZ69" s="75">
        <f t="shared" si="15"/>
        <v>39</v>
      </c>
      <c r="GA69" s="75"/>
      <c r="GB69" s="75"/>
      <c r="GC69" s="75"/>
      <c r="GD69" s="75"/>
      <c r="GE69" s="75"/>
      <c r="GF69" s="75"/>
      <c r="GG69" s="75"/>
      <c r="GH69" s="75"/>
      <c r="GI69" s="75"/>
      <c r="GJ69" s="75">
        <f t="shared" si="16"/>
        <v>39</v>
      </c>
      <c r="GK69" s="75">
        <f aca="true" t="shared" si="17" ref="GK69:GK132">+IF($C$8=$GM$1,GM69,IF($C$8=$GN$1,GN69,IF($C$8=$GO$1,GO69,IF($C$8=$GP$1,GP69,0))))</f>
        <v>0</v>
      </c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</row>
    <row r="70" spans="1:212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FY70" s="76" t="s">
        <v>171</v>
      </c>
      <c r="FZ70" s="75">
        <f t="shared" si="15"/>
        <v>40</v>
      </c>
      <c r="GA70" s="75"/>
      <c r="GB70" s="75"/>
      <c r="GC70" s="75"/>
      <c r="GD70" s="75"/>
      <c r="GE70" s="75"/>
      <c r="GF70" s="75"/>
      <c r="GG70" s="75"/>
      <c r="GH70" s="75"/>
      <c r="GI70" s="75"/>
      <c r="GJ70" s="75">
        <f t="shared" si="16"/>
        <v>40</v>
      </c>
      <c r="GK70" s="75">
        <f t="shared" si="17"/>
        <v>0</v>
      </c>
      <c r="GL70" s="75"/>
      <c r="GM70" s="75"/>
      <c r="GN70" s="75"/>
      <c r="GO70" s="75">
        <v>1</v>
      </c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</row>
    <row r="71" spans="1:212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FY71" s="76" t="s">
        <v>172</v>
      </c>
      <c r="FZ71" s="75">
        <f t="shared" si="15"/>
        <v>41</v>
      </c>
      <c r="GA71" s="75"/>
      <c r="GB71" s="75"/>
      <c r="GC71" s="75"/>
      <c r="GD71" s="75"/>
      <c r="GE71" s="75"/>
      <c r="GF71" s="75"/>
      <c r="GG71" s="75"/>
      <c r="GH71" s="75"/>
      <c r="GI71" s="75"/>
      <c r="GJ71" s="75">
        <f t="shared" si="16"/>
        <v>41</v>
      </c>
      <c r="GK71" s="75">
        <f t="shared" si="17"/>
        <v>0</v>
      </c>
      <c r="GL71" s="75"/>
      <c r="GM71" s="75"/>
      <c r="GN71" s="75"/>
      <c r="GO71" s="75"/>
      <c r="GP71" s="75">
        <v>1</v>
      </c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</row>
    <row r="72" spans="1:212" ht="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FY72" s="76" t="s">
        <v>173</v>
      </c>
      <c r="FZ72" s="75">
        <f t="shared" si="15"/>
        <v>42</v>
      </c>
      <c r="GA72" s="75"/>
      <c r="GB72" s="75"/>
      <c r="GC72" s="75"/>
      <c r="GD72" s="75"/>
      <c r="GE72" s="75"/>
      <c r="GF72" s="75"/>
      <c r="GG72" s="75"/>
      <c r="GH72" s="75"/>
      <c r="GI72" s="75"/>
      <c r="GJ72" s="75">
        <f t="shared" si="16"/>
        <v>42</v>
      </c>
      <c r="GK72" s="75">
        <f t="shared" si="17"/>
        <v>0</v>
      </c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</row>
    <row r="73" spans="1:212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FY73" s="76" t="s">
        <v>174</v>
      </c>
      <c r="FZ73" s="75">
        <f t="shared" si="15"/>
        <v>43</v>
      </c>
      <c r="GA73" s="75"/>
      <c r="GB73" s="75"/>
      <c r="GC73" s="75"/>
      <c r="GD73" s="75"/>
      <c r="GE73" s="75"/>
      <c r="GF73" s="75"/>
      <c r="GG73" s="75"/>
      <c r="GH73" s="75"/>
      <c r="GI73" s="75"/>
      <c r="GJ73" s="75">
        <f t="shared" si="16"/>
        <v>43</v>
      </c>
      <c r="GK73" s="75">
        <f t="shared" si="17"/>
        <v>0</v>
      </c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</row>
    <row r="74" spans="1:212" ht="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FY74" s="76" t="s">
        <v>175</v>
      </c>
      <c r="FZ74" s="75">
        <f t="shared" si="15"/>
        <v>44</v>
      </c>
      <c r="GA74" s="75"/>
      <c r="GB74" s="75"/>
      <c r="GC74" s="75"/>
      <c r="GD74" s="75"/>
      <c r="GE74" s="75"/>
      <c r="GF74" s="75"/>
      <c r="GG74" s="75"/>
      <c r="GH74" s="75"/>
      <c r="GI74" s="75"/>
      <c r="GJ74" s="75">
        <f t="shared" si="16"/>
        <v>44</v>
      </c>
      <c r="GK74" s="75">
        <f t="shared" si="17"/>
        <v>1</v>
      </c>
      <c r="GL74" s="75"/>
      <c r="GM74" s="75">
        <v>1</v>
      </c>
      <c r="GN74" s="75">
        <v>1</v>
      </c>
      <c r="GO74" s="75">
        <v>1</v>
      </c>
      <c r="GP74" s="75">
        <v>1</v>
      </c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</row>
    <row r="75" spans="1:212" ht="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FY75" s="76" t="s">
        <v>176</v>
      </c>
      <c r="FZ75" s="75">
        <f t="shared" si="15"/>
        <v>45</v>
      </c>
      <c r="GA75" s="75"/>
      <c r="GB75" s="75"/>
      <c r="GC75" s="75"/>
      <c r="GD75" s="75"/>
      <c r="GE75" s="75"/>
      <c r="GF75" s="75"/>
      <c r="GG75" s="75"/>
      <c r="GH75" s="75"/>
      <c r="GI75" s="75"/>
      <c r="GJ75" s="75">
        <f t="shared" si="16"/>
        <v>45</v>
      </c>
      <c r="GK75" s="75">
        <f t="shared" si="17"/>
        <v>0</v>
      </c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</row>
    <row r="76" spans="1:212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FY76" s="76" t="s">
        <v>177</v>
      </c>
      <c r="FZ76" s="75">
        <f t="shared" si="15"/>
        <v>46</v>
      </c>
      <c r="GA76" s="75"/>
      <c r="GB76" s="75"/>
      <c r="GC76" s="75"/>
      <c r="GD76" s="75"/>
      <c r="GE76" s="75"/>
      <c r="GF76" s="75"/>
      <c r="GG76" s="75"/>
      <c r="GH76" s="75"/>
      <c r="GI76" s="75"/>
      <c r="GJ76" s="75">
        <f t="shared" si="16"/>
        <v>46</v>
      </c>
      <c r="GK76" s="75">
        <f t="shared" si="17"/>
        <v>0</v>
      </c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</row>
    <row r="77" spans="1:212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FY77" s="76" t="s">
        <v>178</v>
      </c>
      <c r="FZ77" s="75">
        <f t="shared" si="15"/>
        <v>47</v>
      </c>
      <c r="GA77" s="75"/>
      <c r="GB77" s="75"/>
      <c r="GC77" s="75"/>
      <c r="GD77" s="75"/>
      <c r="GE77" s="75"/>
      <c r="GF77" s="75"/>
      <c r="GG77" s="75"/>
      <c r="GH77" s="75"/>
      <c r="GI77" s="75"/>
      <c r="GJ77" s="75">
        <f t="shared" si="16"/>
        <v>47</v>
      </c>
      <c r="GK77" s="75">
        <f t="shared" si="17"/>
        <v>0</v>
      </c>
      <c r="GL77" s="75"/>
      <c r="GM77" s="75"/>
      <c r="GN77" s="75"/>
      <c r="GO77" s="75"/>
      <c r="GP77" s="75">
        <v>1</v>
      </c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</row>
    <row r="78" spans="1:212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FY78" s="76" t="s">
        <v>179</v>
      </c>
      <c r="FZ78" s="75">
        <f t="shared" si="15"/>
        <v>48</v>
      </c>
      <c r="GA78" s="75"/>
      <c r="GB78" s="75"/>
      <c r="GC78" s="75"/>
      <c r="GD78" s="75"/>
      <c r="GE78" s="75"/>
      <c r="GF78" s="75"/>
      <c r="GG78" s="75"/>
      <c r="GH78" s="75"/>
      <c r="GI78" s="75"/>
      <c r="GJ78" s="75">
        <f t="shared" si="16"/>
        <v>48</v>
      </c>
      <c r="GK78" s="75">
        <f t="shared" si="17"/>
        <v>0</v>
      </c>
      <c r="GL78" s="75"/>
      <c r="GM78" s="75"/>
      <c r="GN78" s="75"/>
      <c r="GO78" s="75">
        <v>1</v>
      </c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</row>
    <row r="79" spans="1:212" ht="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FY79" s="76" t="s">
        <v>180</v>
      </c>
      <c r="FZ79" s="75">
        <f t="shared" si="15"/>
        <v>49</v>
      </c>
      <c r="GA79" s="75"/>
      <c r="GB79" s="75"/>
      <c r="GC79" s="75"/>
      <c r="GD79" s="75"/>
      <c r="GE79" s="75"/>
      <c r="GF79" s="75"/>
      <c r="GG79" s="75"/>
      <c r="GH79" s="75"/>
      <c r="GI79" s="75"/>
      <c r="GJ79" s="75">
        <f t="shared" si="16"/>
        <v>49</v>
      </c>
      <c r="GK79" s="75">
        <f t="shared" si="17"/>
        <v>0</v>
      </c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</row>
    <row r="80" spans="1:212" ht="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FY80" s="76" t="s">
        <v>181</v>
      </c>
      <c r="FZ80" s="75">
        <f t="shared" si="15"/>
        <v>50</v>
      </c>
      <c r="GA80" s="75"/>
      <c r="GB80" s="75"/>
      <c r="GC80" s="75"/>
      <c r="GD80" s="75"/>
      <c r="GE80" s="75"/>
      <c r="GF80" s="75"/>
      <c r="GG80" s="75"/>
      <c r="GH80" s="75"/>
      <c r="GI80" s="75"/>
      <c r="GJ80" s="75">
        <f t="shared" si="16"/>
        <v>50</v>
      </c>
      <c r="GK80" s="75">
        <f t="shared" si="17"/>
        <v>0</v>
      </c>
      <c r="GL80" s="75"/>
      <c r="GM80" s="75"/>
      <c r="GN80" s="75">
        <v>1</v>
      </c>
      <c r="GO80" s="75"/>
      <c r="GP80" s="75">
        <v>1</v>
      </c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</row>
    <row r="81" spans="1:212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FY81" s="76" t="s">
        <v>182</v>
      </c>
      <c r="FZ81" s="75">
        <f t="shared" si="15"/>
        <v>51</v>
      </c>
      <c r="GA81" s="75"/>
      <c r="GB81" s="75"/>
      <c r="GC81" s="75"/>
      <c r="GD81" s="75"/>
      <c r="GE81" s="75"/>
      <c r="GF81" s="75"/>
      <c r="GG81" s="75"/>
      <c r="GH81" s="75"/>
      <c r="GI81" s="75"/>
      <c r="GJ81" s="75">
        <f t="shared" si="16"/>
        <v>51</v>
      </c>
      <c r="GK81" s="75">
        <f t="shared" si="17"/>
        <v>0</v>
      </c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</row>
    <row r="82" spans="1:212" ht="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FY82" s="76" t="s">
        <v>183</v>
      </c>
      <c r="FZ82" s="75">
        <f t="shared" si="15"/>
        <v>52</v>
      </c>
      <c r="GA82" s="75"/>
      <c r="GB82" s="75"/>
      <c r="GC82" s="75"/>
      <c r="GD82" s="75"/>
      <c r="GE82" s="75"/>
      <c r="GF82" s="75"/>
      <c r="GG82" s="75"/>
      <c r="GH82" s="75"/>
      <c r="GI82" s="75"/>
      <c r="GJ82" s="75">
        <f t="shared" si="16"/>
        <v>52</v>
      </c>
      <c r="GK82" s="75">
        <f t="shared" si="17"/>
        <v>0</v>
      </c>
      <c r="GL82" s="75"/>
      <c r="GM82" s="75"/>
      <c r="GN82" s="75"/>
      <c r="GO82" s="75">
        <v>1</v>
      </c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</row>
    <row r="83" spans="1:212" ht="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FY83" s="76" t="s">
        <v>184</v>
      </c>
      <c r="FZ83" s="75">
        <f t="shared" si="15"/>
        <v>53</v>
      </c>
      <c r="GA83" s="75"/>
      <c r="GB83" s="75"/>
      <c r="GC83" s="75"/>
      <c r="GD83" s="75"/>
      <c r="GE83" s="75"/>
      <c r="GF83" s="75"/>
      <c r="GG83" s="75"/>
      <c r="GH83" s="75"/>
      <c r="GI83" s="75"/>
      <c r="GJ83" s="75">
        <f t="shared" si="16"/>
        <v>53</v>
      </c>
      <c r="GK83" s="75">
        <f t="shared" si="17"/>
        <v>0</v>
      </c>
      <c r="GL83" s="75"/>
      <c r="GM83" s="75"/>
      <c r="GN83" s="75"/>
      <c r="GO83" s="75"/>
      <c r="GP83" s="75">
        <v>1</v>
      </c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</row>
    <row r="84" spans="1:212" ht="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FY84" s="76" t="s">
        <v>185</v>
      </c>
      <c r="FZ84" s="75">
        <f t="shared" si="15"/>
        <v>54</v>
      </c>
      <c r="GA84" s="75"/>
      <c r="GB84" s="75"/>
      <c r="GC84" s="75"/>
      <c r="GD84" s="75"/>
      <c r="GE84" s="75"/>
      <c r="GF84" s="75"/>
      <c r="GG84" s="75"/>
      <c r="GH84" s="75"/>
      <c r="GI84" s="75"/>
      <c r="GJ84" s="75">
        <f t="shared" si="16"/>
        <v>54</v>
      </c>
      <c r="GK84" s="75">
        <f t="shared" si="17"/>
        <v>0</v>
      </c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</row>
    <row r="85" spans="1:212" ht="1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FY85" s="76" t="s">
        <v>186</v>
      </c>
      <c r="FZ85" s="75">
        <f t="shared" si="15"/>
        <v>55</v>
      </c>
      <c r="GA85" s="75"/>
      <c r="GB85" s="75"/>
      <c r="GC85" s="75"/>
      <c r="GD85" s="75"/>
      <c r="GE85" s="75"/>
      <c r="GF85" s="75"/>
      <c r="GG85" s="75"/>
      <c r="GH85" s="75"/>
      <c r="GI85" s="75"/>
      <c r="GJ85" s="75">
        <f t="shared" si="16"/>
        <v>55</v>
      </c>
      <c r="GK85" s="75">
        <f t="shared" si="17"/>
        <v>0</v>
      </c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</row>
    <row r="86" spans="1:212" ht="1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FY86" s="76" t="s">
        <v>187</v>
      </c>
      <c r="FZ86" s="75">
        <f t="shared" si="15"/>
        <v>56</v>
      </c>
      <c r="GA86" s="75"/>
      <c r="GB86" s="75"/>
      <c r="GC86" s="75"/>
      <c r="GD86" s="75"/>
      <c r="GE86" s="75"/>
      <c r="GF86" s="75"/>
      <c r="GG86" s="75"/>
      <c r="GH86" s="75"/>
      <c r="GI86" s="75"/>
      <c r="GJ86" s="75">
        <f t="shared" si="16"/>
        <v>56</v>
      </c>
      <c r="GK86" s="75">
        <f t="shared" si="17"/>
        <v>1</v>
      </c>
      <c r="GL86" s="75"/>
      <c r="GM86" s="75">
        <v>1</v>
      </c>
      <c r="GN86" s="75">
        <v>1</v>
      </c>
      <c r="GO86" s="75">
        <v>1</v>
      </c>
      <c r="GP86" s="75">
        <v>1</v>
      </c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</row>
    <row r="87" spans="1:212" ht="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FY87" s="76" t="s">
        <v>188</v>
      </c>
      <c r="FZ87" s="75">
        <f t="shared" si="15"/>
        <v>57</v>
      </c>
      <c r="GA87" s="75"/>
      <c r="GB87" s="75"/>
      <c r="GC87" s="75"/>
      <c r="GD87" s="75"/>
      <c r="GE87" s="75"/>
      <c r="GF87" s="75"/>
      <c r="GG87" s="75"/>
      <c r="GH87" s="75"/>
      <c r="GI87" s="75"/>
      <c r="GJ87" s="75">
        <f t="shared" si="16"/>
        <v>57</v>
      </c>
      <c r="GK87" s="75">
        <f t="shared" si="17"/>
        <v>0</v>
      </c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</row>
    <row r="88" spans="1:212" ht="1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FY88" s="76" t="s">
        <v>189</v>
      </c>
      <c r="FZ88" s="75">
        <f t="shared" si="15"/>
        <v>58</v>
      </c>
      <c r="GA88" s="75"/>
      <c r="GB88" s="75"/>
      <c r="GC88" s="75"/>
      <c r="GD88" s="75"/>
      <c r="GE88" s="75"/>
      <c r="GF88" s="75"/>
      <c r="GG88" s="75"/>
      <c r="GH88" s="75"/>
      <c r="GI88" s="75"/>
      <c r="GJ88" s="75">
        <f t="shared" si="16"/>
        <v>58</v>
      </c>
      <c r="GK88" s="75">
        <f t="shared" si="17"/>
        <v>0</v>
      </c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</row>
    <row r="89" spans="1:212" ht="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FY89" s="76" t="s">
        <v>190</v>
      </c>
      <c r="FZ89" s="75">
        <f t="shared" si="15"/>
        <v>59</v>
      </c>
      <c r="GA89" s="75"/>
      <c r="GB89" s="75"/>
      <c r="GC89" s="75"/>
      <c r="GD89" s="75"/>
      <c r="GE89" s="75"/>
      <c r="GF89" s="75"/>
      <c r="GG89" s="75"/>
      <c r="GH89" s="75"/>
      <c r="GI89" s="75"/>
      <c r="GJ89" s="75">
        <f t="shared" si="16"/>
        <v>59</v>
      </c>
      <c r="GK89" s="75">
        <f t="shared" si="17"/>
        <v>0</v>
      </c>
      <c r="GL89" s="75"/>
      <c r="GM89" s="75"/>
      <c r="GN89" s="75"/>
      <c r="GO89" s="75"/>
      <c r="GP89" s="75">
        <v>1</v>
      </c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</row>
    <row r="90" spans="1:212" ht="1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FY90" s="76" t="s">
        <v>191</v>
      </c>
      <c r="FZ90" s="75">
        <f t="shared" si="15"/>
        <v>60</v>
      </c>
      <c r="GA90" s="75"/>
      <c r="GB90" s="75"/>
      <c r="GC90" s="75"/>
      <c r="GD90" s="75"/>
      <c r="GE90" s="75"/>
      <c r="GF90" s="75"/>
      <c r="GG90" s="75"/>
      <c r="GH90" s="75"/>
      <c r="GI90" s="75"/>
      <c r="GJ90" s="75">
        <f t="shared" si="16"/>
        <v>60</v>
      </c>
      <c r="GK90" s="75">
        <f t="shared" si="17"/>
        <v>0</v>
      </c>
      <c r="GL90" s="75"/>
      <c r="GM90" s="75"/>
      <c r="GN90" s="75"/>
      <c r="GO90" s="75">
        <v>1</v>
      </c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</row>
    <row r="91" spans="1:212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FY91" s="76" t="s">
        <v>192</v>
      </c>
      <c r="FZ91" s="75">
        <f t="shared" si="15"/>
        <v>61</v>
      </c>
      <c r="GA91" s="75"/>
      <c r="GB91" s="75"/>
      <c r="GC91" s="75"/>
      <c r="GD91" s="75"/>
      <c r="GE91" s="75"/>
      <c r="GF91" s="75"/>
      <c r="GG91" s="75"/>
      <c r="GH91" s="75"/>
      <c r="GI91" s="75"/>
      <c r="GJ91" s="75">
        <f t="shared" si="16"/>
        <v>61</v>
      </c>
      <c r="GK91" s="75">
        <f t="shared" si="17"/>
        <v>0</v>
      </c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</row>
    <row r="92" spans="1:212" ht="1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FY92" s="76" t="s">
        <v>193</v>
      </c>
      <c r="FZ92" s="75">
        <f t="shared" si="15"/>
        <v>62</v>
      </c>
      <c r="GA92" s="75"/>
      <c r="GB92" s="75"/>
      <c r="GC92" s="75"/>
      <c r="GD92" s="75"/>
      <c r="GE92" s="75"/>
      <c r="GF92" s="75"/>
      <c r="GG92" s="75"/>
      <c r="GH92" s="75"/>
      <c r="GI92" s="75"/>
      <c r="GJ92" s="75">
        <f t="shared" si="16"/>
        <v>62</v>
      </c>
      <c r="GK92" s="75">
        <f t="shared" si="17"/>
        <v>0</v>
      </c>
      <c r="GL92" s="75"/>
      <c r="GM92" s="75"/>
      <c r="GN92" s="75">
        <v>1</v>
      </c>
      <c r="GO92" s="75"/>
      <c r="GP92" s="75">
        <v>1</v>
      </c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</row>
    <row r="93" spans="1:212" ht="1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FY93" s="76" t="s">
        <v>194</v>
      </c>
      <c r="FZ93" s="75">
        <f t="shared" si="15"/>
        <v>63</v>
      </c>
      <c r="GA93" s="75"/>
      <c r="GB93" s="75"/>
      <c r="GC93" s="75"/>
      <c r="GD93" s="75"/>
      <c r="GE93" s="75"/>
      <c r="GF93" s="75"/>
      <c r="GG93" s="75"/>
      <c r="GH93" s="75"/>
      <c r="GI93" s="75"/>
      <c r="GJ93" s="75">
        <f t="shared" si="16"/>
        <v>63</v>
      </c>
      <c r="GK93" s="75">
        <f t="shared" si="17"/>
        <v>0</v>
      </c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</row>
    <row r="94" spans="1:212" ht="1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FY94" s="76" t="s">
        <v>195</v>
      </c>
      <c r="FZ94" s="75">
        <f t="shared" si="15"/>
        <v>64</v>
      </c>
      <c r="GA94" s="75"/>
      <c r="GB94" s="75"/>
      <c r="GC94" s="75"/>
      <c r="GD94" s="75"/>
      <c r="GE94" s="75"/>
      <c r="GF94" s="75"/>
      <c r="GG94" s="75"/>
      <c r="GH94" s="75"/>
      <c r="GI94" s="75"/>
      <c r="GJ94" s="75">
        <f t="shared" si="16"/>
        <v>64</v>
      </c>
      <c r="GK94" s="75">
        <f t="shared" si="17"/>
        <v>0</v>
      </c>
      <c r="GL94" s="75"/>
      <c r="GM94" s="75"/>
      <c r="GN94" s="75"/>
      <c r="GO94" s="75">
        <v>1</v>
      </c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</row>
    <row r="95" spans="1:212" ht="1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FY95" s="76" t="s">
        <v>196</v>
      </c>
      <c r="FZ95" s="75">
        <f t="shared" si="15"/>
        <v>65</v>
      </c>
      <c r="GA95" s="75"/>
      <c r="GB95" s="75"/>
      <c r="GC95" s="75"/>
      <c r="GD95" s="75"/>
      <c r="GE95" s="75"/>
      <c r="GF95" s="75"/>
      <c r="GG95" s="75"/>
      <c r="GH95" s="75"/>
      <c r="GI95" s="75"/>
      <c r="GJ95" s="75">
        <f t="shared" si="16"/>
        <v>65</v>
      </c>
      <c r="GK95" s="75">
        <f t="shared" si="17"/>
        <v>0</v>
      </c>
      <c r="GL95" s="75"/>
      <c r="GM95" s="75"/>
      <c r="GN95" s="75"/>
      <c r="GO95" s="75"/>
      <c r="GP95" s="75">
        <v>1</v>
      </c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</row>
    <row r="96" spans="1:212" ht="1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FY96" s="76" t="s">
        <v>197</v>
      </c>
      <c r="FZ96" s="75">
        <f t="shared" si="15"/>
        <v>66</v>
      </c>
      <c r="GA96" s="75"/>
      <c r="GB96" s="75"/>
      <c r="GC96" s="75"/>
      <c r="GD96" s="75"/>
      <c r="GE96" s="75"/>
      <c r="GF96" s="75"/>
      <c r="GG96" s="75"/>
      <c r="GH96" s="75"/>
      <c r="GI96" s="75"/>
      <c r="GJ96" s="75">
        <f t="shared" si="16"/>
        <v>66</v>
      </c>
      <c r="GK96" s="75">
        <f t="shared" si="17"/>
        <v>0</v>
      </c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</row>
    <row r="97" spans="1:212" ht="1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FY97" s="76" t="s">
        <v>198</v>
      </c>
      <c r="FZ97" s="75">
        <f t="shared" si="15"/>
        <v>67</v>
      </c>
      <c r="GA97" s="75"/>
      <c r="GB97" s="75"/>
      <c r="GC97" s="75"/>
      <c r="GD97" s="75"/>
      <c r="GE97" s="75"/>
      <c r="GF97" s="75"/>
      <c r="GG97" s="75"/>
      <c r="GH97" s="75"/>
      <c r="GI97" s="75"/>
      <c r="GJ97" s="75">
        <f t="shared" si="16"/>
        <v>67</v>
      </c>
      <c r="GK97" s="75">
        <f t="shared" si="17"/>
        <v>0</v>
      </c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</row>
    <row r="98" spans="1:212" ht="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FY98" s="76" t="s">
        <v>199</v>
      </c>
      <c r="FZ98" s="75">
        <f t="shared" si="15"/>
        <v>68</v>
      </c>
      <c r="GA98" s="75"/>
      <c r="GB98" s="75"/>
      <c r="GC98" s="75"/>
      <c r="GD98" s="75"/>
      <c r="GE98" s="75"/>
      <c r="GF98" s="75"/>
      <c r="GG98" s="75"/>
      <c r="GH98" s="75"/>
      <c r="GI98" s="75"/>
      <c r="GJ98" s="75">
        <f t="shared" si="16"/>
        <v>68</v>
      </c>
      <c r="GK98" s="75">
        <f t="shared" si="17"/>
        <v>1</v>
      </c>
      <c r="GL98" s="75"/>
      <c r="GM98" s="75">
        <v>1</v>
      </c>
      <c r="GN98" s="75">
        <v>1</v>
      </c>
      <c r="GO98" s="75">
        <v>1</v>
      </c>
      <c r="GP98" s="75">
        <v>1</v>
      </c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</row>
    <row r="99" spans="1:212" ht="1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FY99" s="76" t="s">
        <v>200</v>
      </c>
      <c r="FZ99" s="75">
        <f t="shared" si="15"/>
        <v>69</v>
      </c>
      <c r="GA99" s="75"/>
      <c r="GB99" s="75"/>
      <c r="GC99" s="75"/>
      <c r="GD99" s="75"/>
      <c r="GE99" s="75"/>
      <c r="GF99" s="75"/>
      <c r="GG99" s="75"/>
      <c r="GH99" s="75"/>
      <c r="GI99" s="75"/>
      <c r="GJ99" s="75">
        <f t="shared" si="16"/>
        <v>69</v>
      </c>
      <c r="GK99" s="75">
        <f t="shared" si="17"/>
        <v>0</v>
      </c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</row>
    <row r="100" spans="1:212" ht="1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FY100" s="76" t="s">
        <v>201</v>
      </c>
      <c r="FZ100" s="75">
        <f t="shared" si="15"/>
        <v>70</v>
      </c>
      <c r="GA100" s="75"/>
      <c r="GB100" s="75"/>
      <c r="GC100" s="75"/>
      <c r="GD100" s="75"/>
      <c r="GE100" s="75"/>
      <c r="GF100" s="75"/>
      <c r="GG100" s="75"/>
      <c r="GH100" s="75"/>
      <c r="GI100" s="75"/>
      <c r="GJ100" s="75">
        <f t="shared" si="16"/>
        <v>70</v>
      </c>
      <c r="GK100" s="75">
        <f t="shared" si="17"/>
        <v>0</v>
      </c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</row>
    <row r="101" spans="1:212" ht="1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FY101" s="76" t="s">
        <v>202</v>
      </c>
      <c r="FZ101" s="75">
        <f t="shared" si="15"/>
        <v>71</v>
      </c>
      <c r="GA101" s="75"/>
      <c r="GB101" s="75"/>
      <c r="GC101" s="75"/>
      <c r="GD101" s="75"/>
      <c r="GE101" s="75"/>
      <c r="GF101" s="75"/>
      <c r="GG101" s="75"/>
      <c r="GH101" s="75"/>
      <c r="GI101" s="75"/>
      <c r="GJ101" s="75">
        <f t="shared" si="16"/>
        <v>71</v>
      </c>
      <c r="GK101" s="75">
        <f t="shared" si="17"/>
        <v>0</v>
      </c>
      <c r="GL101" s="75"/>
      <c r="GM101" s="75"/>
      <c r="GN101" s="75"/>
      <c r="GO101" s="75"/>
      <c r="GP101" s="75">
        <v>1</v>
      </c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</row>
    <row r="102" spans="1:212" ht="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FY102" s="76" t="s">
        <v>203</v>
      </c>
      <c r="FZ102" s="75">
        <f t="shared" si="15"/>
        <v>72</v>
      </c>
      <c r="GA102" s="75"/>
      <c r="GB102" s="75"/>
      <c r="GC102" s="75"/>
      <c r="GD102" s="75"/>
      <c r="GE102" s="75"/>
      <c r="GF102" s="75"/>
      <c r="GG102" s="75"/>
      <c r="GH102" s="75"/>
      <c r="GI102" s="75"/>
      <c r="GJ102" s="75">
        <f t="shared" si="16"/>
        <v>72</v>
      </c>
      <c r="GK102" s="75">
        <f t="shared" si="17"/>
        <v>0</v>
      </c>
      <c r="GL102" s="75"/>
      <c r="GM102" s="75"/>
      <c r="GN102" s="75"/>
      <c r="GO102" s="75">
        <v>1</v>
      </c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</row>
    <row r="103" spans="1:212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FY103" s="76" t="s">
        <v>204</v>
      </c>
      <c r="FZ103" s="75">
        <f t="shared" si="15"/>
        <v>73</v>
      </c>
      <c r="GA103" s="75"/>
      <c r="GB103" s="75"/>
      <c r="GC103" s="75"/>
      <c r="GD103" s="75"/>
      <c r="GE103" s="75"/>
      <c r="GF103" s="75"/>
      <c r="GG103" s="75"/>
      <c r="GH103" s="75"/>
      <c r="GI103" s="75"/>
      <c r="GJ103" s="75">
        <f t="shared" si="16"/>
        <v>73</v>
      </c>
      <c r="GK103" s="75">
        <f t="shared" si="17"/>
        <v>0</v>
      </c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</row>
    <row r="104" spans="1:212" ht="1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FY104" s="76" t="s">
        <v>205</v>
      </c>
      <c r="FZ104" s="75">
        <f t="shared" si="15"/>
        <v>74</v>
      </c>
      <c r="GA104" s="75"/>
      <c r="GB104" s="75"/>
      <c r="GC104" s="75"/>
      <c r="GD104" s="75"/>
      <c r="GE104" s="75"/>
      <c r="GF104" s="75"/>
      <c r="GG104" s="75"/>
      <c r="GH104" s="75"/>
      <c r="GI104" s="75"/>
      <c r="GJ104" s="75">
        <f t="shared" si="16"/>
        <v>74</v>
      </c>
      <c r="GK104" s="75">
        <f t="shared" si="17"/>
        <v>0</v>
      </c>
      <c r="GL104" s="75"/>
      <c r="GM104" s="75"/>
      <c r="GN104" s="75">
        <v>1</v>
      </c>
      <c r="GO104" s="75"/>
      <c r="GP104" s="75">
        <v>1</v>
      </c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</row>
    <row r="105" spans="1:212" ht="1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FY105" s="76" t="s">
        <v>206</v>
      </c>
      <c r="FZ105" s="75">
        <f t="shared" si="15"/>
        <v>75</v>
      </c>
      <c r="GA105" s="75"/>
      <c r="GB105" s="75"/>
      <c r="GC105" s="75"/>
      <c r="GD105" s="75"/>
      <c r="GE105" s="75"/>
      <c r="GF105" s="75"/>
      <c r="GG105" s="75"/>
      <c r="GH105" s="75"/>
      <c r="GI105" s="75"/>
      <c r="GJ105" s="75">
        <f t="shared" si="16"/>
        <v>75</v>
      </c>
      <c r="GK105" s="75">
        <f t="shared" si="17"/>
        <v>0</v>
      </c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</row>
    <row r="106" spans="1:212" ht="1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FY106" s="76" t="s">
        <v>207</v>
      </c>
      <c r="FZ106" s="75">
        <f t="shared" si="15"/>
        <v>76</v>
      </c>
      <c r="GA106" s="75"/>
      <c r="GB106" s="75"/>
      <c r="GC106" s="75"/>
      <c r="GD106" s="75"/>
      <c r="GE106" s="75"/>
      <c r="GF106" s="75"/>
      <c r="GG106" s="75"/>
      <c r="GH106" s="75"/>
      <c r="GI106" s="75"/>
      <c r="GJ106" s="75">
        <f t="shared" si="16"/>
        <v>76</v>
      </c>
      <c r="GK106" s="75">
        <f t="shared" si="17"/>
        <v>0</v>
      </c>
      <c r="GL106" s="75"/>
      <c r="GM106" s="75"/>
      <c r="GN106" s="75"/>
      <c r="GO106" s="75">
        <v>1</v>
      </c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</row>
    <row r="107" spans="1:212" ht="1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FY107" s="76" t="s">
        <v>208</v>
      </c>
      <c r="FZ107" s="75">
        <f t="shared" si="15"/>
        <v>77</v>
      </c>
      <c r="GA107" s="75"/>
      <c r="GB107" s="75"/>
      <c r="GC107" s="75"/>
      <c r="GD107" s="75"/>
      <c r="GE107" s="75"/>
      <c r="GF107" s="75"/>
      <c r="GG107" s="75"/>
      <c r="GH107" s="75"/>
      <c r="GI107" s="75"/>
      <c r="GJ107" s="75">
        <f t="shared" si="16"/>
        <v>77</v>
      </c>
      <c r="GK107" s="75">
        <f t="shared" si="17"/>
        <v>0</v>
      </c>
      <c r="GL107" s="75"/>
      <c r="GM107" s="75"/>
      <c r="GN107" s="75"/>
      <c r="GO107" s="75"/>
      <c r="GP107" s="75">
        <v>1</v>
      </c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</row>
    <row r="108" spans="1:212" ht="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FY108" s="76" t="s">
        <v>209</v>
      </c>
      <c r="FZ108" s="75">
        <f t="shared" si="15"/>
        <v>78</v>
      </c>
      <c r="GA108" s="75"/>
      <c r="GB108" s="75"/>
      <c r="GC108" s="75"/>
      <c r="GD108" s="75"/>
      <c r="GE108" s="75"/>
      <c r="GF108" s="75"/>
      <c r="GG108" s="75"/>
      <c r="GH108" s="75"/>
      <c r="GI108" s="75"/>
      <c r="GJ108" s="75">
        <f t="shared" si="16"/>
        <v>78</v>
      </c>
      <c r="GK108" s="75">
        <f t="shared" si="17"/>
        <v>0</v>
      </c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</row>
    <row r="109" spans="1:212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FY109" s="76" t="s">
        <v>210</v>
      </c>
      <c r="FZ109" s="75">
        <f t="shared" si="15"/>
        <v>79</v>
      </c>
      <c r="GA109" s="75"/>
      <c r="GB109" s="75"/>
      <c r="GC109" s="75"/>
      <c r="GD109" s="75"/>
      <c r="GE109" s="75"/>
      <c r="GF109" s="75"/>
      <c r="GG109" s="75"/>
      <c r="GH109" s="75"/>
      <c r="GI109" s="75"/>
      <c r="GJ109" s="75">
        <f t="shared" si="16"/>
        <v>79</v>
      </c>
      <c r="GK109" s="75">
        <f t="shared" si="17"/>
        <v>0</v>
      </c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</row>
    <row r="110" spans="1:212" ht="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FY110" s="76" t="s">
        <v>211</v>
      </c>
      <c r="FZ110" s="75">
        <f t="shared" si="15"/>
        <v>80</v>
      </c>
      <c r="GA110" s="75"/>
      <c r="GB110" s="75"/>
      <c r="GC110" s="75"/>
      <c r="GD110" s="75"/>
      <c r="GE110" s="75"/>
      <c r="GF110" s="75"/>
      <c r="GG110" s="75"/>
      <c r="GH110" s="75"/>
      <c r="GI110" s="75"/>
      <c r="GJ110" s="75">
        <f t="shared" si="16"/>
        <v>80</v>
      </c>
      <c r="GK110" s="75">
        <f t="shared" si="17"/>
        <v>1</v>
      </c>
      <c r="GL110" s="75"/>
      <c r="GM110" s="75">
        <v>1</v>
      </c>
      <c r="GN110" s="75">
        <v>1</v>
      </c>
      <c r="GO110" s="75">
        <v>1</v>
      </c>
      <c r="GP110" s="75">
        <v>1</v>
      </c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</row>
    <row r="111" spans="1:212" ht="1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FY111" s="76" t="s">
        <v>212</v>
      </c>
      <c r="FZ111" s="75">
        <f t="shared" si="15"/>
        <v>81</v>
      </c>
      <c r="GA111" s="75"/>
      <c r="GB111" s="75"/>
      <c r="GC111" s="75"/>
      <c r="GD111" s="75"/>
      <c r="GE111" s="75"/>
      <c r="GF111" s="75"/>
      <c r="GG111" s="75"/>
      <c r="GH111" s="75"/>
      <c r="GI111" s="75"/>
      <c r="GJ111" s="75">
        <f t="shared" si="16"/>
        <v>81</v>
      </c>
      <c r="GK111" s="75">
        <f t="shared" si="17"/>
        <v>0</v>
      </c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</row>
    <row r="112" spans="1:212" ht="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FY112" s="76" t="s">
        <v>213</v>
      </c>
      <c r="FZ112" s="75">
        <f t="shared" si="15"/>
        <v>82</v>
      </c>
      <c r="GA112" s="75"/>
      <c r="GB112" s="75"/>
      <c r="GC112" s="75"/>
      <c r="GD112" s="75"/>
      <c r="GE112" s="75"/>
      <c r="GF112" s="75"/>
      <c r="GG112" s="75"/>
      <c r="GH112" s="75"/>
      <c r="GI112" s="75"/>
      <c r="GJ112" s="75">
        <f t="shared" si="16"/>
        <v>82</v>
      </c>
      <c r="GK112" s="75">
        <f t="shared" si="17"/>
        <v>0</v>
      </c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</row>
    <row r="113" spans="1:212" ht="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FY113" s="76" t="s">
        <v>214</v>
      </c>
      <c r="FZ113" s="75">
        <f t="shared" si="15"/>
        <v>83</v>
      </c>
      <c r="GA113" s="75"/>
      <c r="GB113" s="75"/>
      <c r="GC113" s="75"/>
      <c r="GD113" s="75"/>
      <c r="GE113" s="75"/>
      <c r="GF113" s="75"/>
      <c r="GG113" s="75"/>
      <c r="GH113" s="75"/>
      <c r="GI113" s="75"/>
      <c r="GJ113" s="75">
        <f t="shared" si="16"/>
        <v>83</v>
      </c>
      <c r="GK113" s="75">
        <f t="shared" si="17"/>
        <v>0</v>
      </c>
      <c r="GL113" s="75"/>
      <c r="GM113" s="75"/>
      <c r="GN113" s="75"/>
      <c r="GO113" s="75"/>
      <c r="GP113" s="75">
        <v>1</v>
      </c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</row>
    <row r="114" spans="1:212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FY114" s="76" t="s">
        <v>215</v>
      </c>
      <c r="FZ114" s="75">
        <f t="shared" si="15"/>
        <v>84</v>
      </c>
      <c r="GA114" s="75"/>
      <c r="GB114" s="75"/>
      <c r="GC114" s="75"/>
      <c r="GD114" s="75"/>
      <c r="GE114" s="75"/>
      <c r="GF114" s="75"/>
      <c r="GG114" s="75"/>
      <c r="GH114" s="75"/>
      <c r="GI114" s="75"/>
      <c r="GJ114" s="75">
        <f t="shared" si="16"/>
        <v>84</v>
      </c>
      <c r="GK114" s="75">
        <f t="shared" si="17"/>
        <v>0</v>
      </c>
      <c r="GL114" s="75"/>
      <c r="GM114" s="75"/>
      <c r="GN114" s="75"/>
      <c r="GO114" s="75">
        <v>1</v>
      </c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</row>
    <row r="115" spans="1:212" ht="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FY115" s="76" t="s">
        <v>216</v>
      </c>
      <c r="FZ115" s="75">
        <f t="shared" si="15"/>
        <v>85</v>
      </c>
      <c r="GA115" s="75"/>
      <c r="GB115" s="75"/>
      <c r="GC115" s="75"/>
      <c r="GD115" s="75"/>
      <c r="GE115" s="75"/>
      <c r="GF115" s="75"/>
      <c r="GG115" s="75"/>
      <c r="GH115" s="75"/>
      <c r="GI115" s="75"/>
      <c r="GJ115" s="75">
        <f t="shared" si="16"/>
        <v>85</v>
      </c>
      <c r="GK115" s="75">
        <f t="shared" si="17"/>
        <v>0</v>
      </c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</row>
    <row r="116" spans="1:212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FY116" s="76" t="s">
        <v>217</v>
      </c>
      <c r="FZ116" s="75">
        <f t="shared" si="15"/>
        <v>86</v>
      </c>
      <c r="GA116" s="75"/>
      <c r="GB116" s="75"/>
      <c r="GC116" s="75"/>
      <c r="GD116" s="75"/>
      <c r="GE116" s="75"/>
      <c r="GF116" s="75"/>
      <c r="GG116" s="75"/>
      <c r="GH116" s="75"/>
      <c r="GI116" s="75"/>
      <c r="GJ116" s="75">
        <f t="shared" si="16"/>
        <v>86</v>
      </c>
      <c r="GK116" s="75">
        <f t="shared" si="17"/>
        <v>0</v>
      </c>
      <c r="GL116" s="75"/>
      <c r="GM116" s="75"/>
      <c r="GN116" s="75">
        <v>1</v>
      </c>
      <c r="GO116" s="75"/>
      <c r="GP116" s="75">
        <v>1</v>
      </c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</row>
    <row r="117" spans="1:212" ht="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FY117" s="76" t="s">
        <v>218</v>
      </c>
      <c r="FZ117" s="75">
        <f t="shared" si="15"/>
        <v>87</v>
      </c>
      <c r="GA117" s="75"/>
      <c r="GB117" s="75"/>
      <c r="GC117" s="75"/>
      <c r="GD117" s="75"/>
      <c r="GE117" s="75"/>
      <c r="GF117" s="75"/>
      <c r="GG117" s="75"/>
      <c r="GH117" s="75"/>
      <c r="GI117" s="75"/>
      <c r="GJ117" s="75">
        <f t="shared" si="16"/>
        <v>87</v>
      </c>
      <c r="GK117" s="75">
        <f t="shared" si="17"/>
        <v>0</v>
      </c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</row>
    <row r="118" spans="1:212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FY118" s="76" t="s">
        <v>219</v>
      </c>
      <c r="FZ118" s="75">
        <f t="shared" si="15"/>
        <v>88</v>
      </c>
      <c r="GA118" s="75"/>
      <c r="GB118" s="75"/>
      <c r="GC118" s="75"/>
      <c r="GD118" s="75"/>
      <c r="GE118" s="75"/>
      <c r="GF118" s="75"/>
      <c r="GG118" s="75"/>
      <c r="GH118" s="75"/>
      <c r="GI118" s="75"/>
      <c r="GJ118" s="75">
        <f t="shared" si="16"/>
        <v>88</v>
      </c>
      <c r="GK118" s="75">
        <f t="shared" si="17"/>
        <v>0</v>
      </c>
      <c r="GL118" s="75"/>
      <c r="GM118" s="75"/>
      <c r="GN118" s="75"/>
      <c r="GO118" s="75">
        <v>1</v>
      </c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</row>
    <row r="119" spans="1:212" ht="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FY119" s="76" t="s">
        <v>220</v>
      </c>
      <c r="FZ119" s="75">
        <f t="shared" si="15"/>
        <v>89</v>
      </c>
      <c r="GA119" s="75"/>
      <c r="GB119" s="75"/>
      <c r="GC119" s="75"/>
      <c r="GD119" s="75"/>
      <c r="GE119" s="75"/>
      <c r="GF119" s="75"/>
      <c r="GG119" s="75"/>
      <c r="GH119" s="75"/>
      <c r="GI119" s="75"/>
      <c r="GJ119" s="75">
        <f t="shared" si="16"/>
        <v>89</v>
      </c>
      <c r="GK119" s="75">
        <f t="shared" si="17"/>
        <v>0</v>
      </c>
      <c r="GL119" s="75"/>
      <c r="GM119" s="75"/>
      <c r="GN119" s="75"/>
      <c r="GO119" s="75"/>
      <c r="GP119" s="75">
        <v>1</v>
      </c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</row>
    <row r="120" spans="1:212" ht="1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FY120" s="76" t="s">
        <v>221</v>
      </c>
      <c r="FZ120" s="75">
        <f t="shared" si="15"/>
        <v>90</v>
      </c>
      <c r="GA120" s="75"/>
      <c r="GB120" s="75"/>
      <c r="GC120" s="75"/>
      <c r="GD120" s="75"/>
      <c r="GE120" s="75"/>
      <c r="GF120" s="75"/>
      <c r="GG120" s="75"/>
      <c r="GH120" s="75"/>
      <c r="GI120" s="75"/>
      <c r="GJ120" s="75">
        <f t="shared" si="16"/>
        <v>90</v>
      </c>
      <c r="GK120" s="75">
        <f t="shared" si="17"/>
        <v>0</v>
      </c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</row>
    <row r="121" spans="1:212" ht="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FY121" s="76" t="s">
        <v>222</v>
      </c>
      <c r="FZ121" s="75">
        <f t="shared" si="15"/>
        <v>91</v>
      </c>
      <c r="GA121" s="75"/>
      <c r="GB121" s="75"/>
      <c r="GC121" s="75"/>
      <c r="GD121" s="75"/>
      <c r="GE121" s="75"/>
      <c r="GF121" s="75"/>
      <c r="GG121" s="75"/>
      <c r="GH121" s="75"/>
      <c r="GI121" s="75"/>
      <c r="GJ121" s="75">
        <f t="shared" si="16"/>
        <v>91</v>
      </c>
      <c r="GK121" s="75">
        <f t="shared" si="17"/>
        <v>0</v>
      </c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</row>
    <row r="122" spans="1:212" ht="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FY122" s="76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>
        <f t="shared" si="16"/>
        <v>92</v>
      </c>
      <c r="GK122" s="75">
        <f t="shared" si="17"/>
        <v>1</v>
      </c>
      <c r="GL122" s="75"/>
      <c r="GM122" s="75">
        <v>1</v>
      </c>
      <c r="GN122" s="75">
        <v>1</v>
      </c>
      <c r="GO122" s="75">
        <v>1</v>
      </c>
      <c r="GP122" s="75">
        <v>1</v>
      </c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</row>
    <row r="123" spans="1:212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FY123" s="76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>
        <f t="shared" si="16"/>
        <v>93</v>
      </c>
      <c r="GK123" s="75">
        <f t="shared" si="17"/>
        <v>0</v>
      </c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</row>
    <row r="124" spans="1:212" ht="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FY124" s="76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>
        <f t="shared" si="16"/>
        <v>94</v>
      </c>
      <c r="GK124" s="75">
        <f t="shared" si="17"/>
        <v>0</v>
      </c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</row>
    <row r="125" spans="1:212" ht="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FY125" s="76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>
        <f t="shared" si="16"/>
        <v>95</v>
      </c>
      <c r="GK125" s="75">
        <f t="shared" si="17"/>
        <v>0</v>
      </c>
      <c r="GL125" s="75"/>
      <c r="GM125" s="75"/>
      <c r="GN125" s="75"/>
      <c r="GO125" s="75"/>
      <c r="GP125" s="75">
        <v>1</v>
      </c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</row>
    <row r="126" spans="1:212" ht="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FY126" s="76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>
        <f t="shared" si="16"/>
        <v>96</v>
      </c>
      <c r="GK126" s="75">
        <f t="shared" si="17"/>
        <v>0</v>
      </c>
      <c r="GL126" s="75"/>
      <c r="GM126" s="75"/>
      <c r="GN126" s="75"/>
      <c r="GO126" s="75">
        <v>1</v>
      </c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</row>
    <row r="127" spans="1:212" ht="1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FY127" s="76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>
        <f t="shared" si="16"/>
        <v>97</v>
      </c>
      <c r="GK127" s="75">
        <f t="shared" si="17"/>
        <v>0</v>
      </c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</row>
    <row r="128" spans="1:212" ht="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FY128" s="76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>
        <f t="shared" si="16"/>
        <v>98</v>
      </c>
      <c r="GK128" s="75">
        <f t="shared" si="17"/>
        <v>0</v>
      </c>
      <c r="GL128" s="75"/>
      <c r="GM128" s="75"/>
      <c r="GN128" s="75">
        <v>1</v>
      </c>
      <c r="GO128" s="75"/>
      <c r="GP128" s="75">
        <v>1</v>
      </c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</row>
    <row r="129" spans="1:212" ht="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FY129" s="76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>
        <f t="shared" si="16"/>
        <v>99</v>
      </c>
      <c r="GK129" s="75">
        <f t="shared" si="17"/>
        <v>0</v>
      </c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</row>
    <row r="130" spans="1:212" ht="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FY130" s="76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>
        <f t="shared" si="16"/>
        <v>100</v>
      </c>
      <c r="GK130" s="75">
        <f t="shared" si="17"/>
        <v>0</v>
      </c>
      <c r="GL130" s="75"/>
      <c r="GM130" s="75"/>
      <c r="GN130" s="75"/>
      <c r="GO130" s="75">
        <v>1</v>
      </c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</row>
    <row r="131" spans="1:212" ht="1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FY131" s="76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>
        <f t="shared" si="16"/>
        <v>101</v>
      </c>
      <c r="GK131" s="75">
        <f t="shared" si="17"/>
        <v>0</v>
      </c>
      <c r="GL131" s="75"/>
      <c r="GM131" s="75"/>
      <c r="GN131" s="75"/>
      <c r="GO131" s="75"/>
      <c r="GP131" s="75">
        <v>1</v>
      </c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</row>
    <row r="132" spans="1:212" ht="1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FY132" s="76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>
        <f aca="true" t="shared" si="18" ref="GJ132:GJ173">+GJ131+1</f>
        <v>102</v>
      </c>
      <c r="GK132" s="75">
        <f t="shared" si="17"/>
        <v>0</v>
      </c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</row>
    <row r="133" spans="1:212" ht="1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FY133" s="76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>
        <f t="shared" si="18"/>
        <v>103</v>
      </c>
      <c r="GK133" s="75">
        <f aca="true" t="shared" si="19" ref="GK133:GK173">+IF($C$8=$GM$1,GM133,IF($C$8=$GN$1,GN133,IF($C$8=$GO$1,GO133,IF($C$8=$GP$1,GP133,0))))</f>
        <v>0</v>
      </c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</row>
    <row r="134" spans="1:212" ht="1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FY134" s="76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>
        <f t="shared" si="18"/>
        <v>104</v>
      </c>
      <c r="GK134" s="75">
        <f t="shared" si="19"/>
        <v>1</v>
      </c>
      <c r="GL134" s="75"/>
      <c r="GM134" s="75">
        <v>1</v>
      </c>
      <c r="GN134" s="75">
        <v>1</v>
      </c>
      <c r="GO134" s="75">
        <v>1</v>
      </c>
      <c r="GP134" s="75">
        <v>1</v>
      </c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</row>
    <row r="135" spans="1:212" ht="1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FY135" s="76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>
        <f t="shared" si="18"/>
        <v>105</v>
      </c>
      <c r="GK135" s="75">
        <f t="shared" si="19"/>
        <v>0</v>
      </c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</row>
    <row r="136" spans="1:212" ht="1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FY136" s="76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>
        <f t="shared" si="18"/>
        <v>106</v>
      </c>
      <c r="GK136" s="75">
        <f t="shared" si="19"/>
        <v>0</v>
      </c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</row>
    <row r="137" spans="1:212" ht="1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FY137" s="76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>
        <f t="shared" si="18"/>
        <v>107</v>
      </c>
      <c r="GK137" s="75">
        <f t="shared" si="19"/>
        <v>0</v>
      </c>
      <c r="GL137" s="75"/>
      <c r="GM137" s="75"/>
      <c r="GN137" s="75"/>
      <c r="GO137" s="75"/>
      <c r="GP137" s="75">
        <v>1</v>
      </c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</row>
    <row r="138" spans="1:212" ht="1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FY138" s="76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>
        <f t="shared" si="18"/>
        <v>108</v>
      </c>
      <c r="GK138" s="75">
        <f t="shared" si="19"/>
        <v>0</v>
      </c>
      <c r="GL138" s="75"/>
      <c r="GM138" s="75"/>
      <c r="GN138" s="75"/>
      <c r="GO138" s="75">
        <v>1</v>
      </c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</row>
    <row r="139" spans="1:212" ht="1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FY139" s="76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>
        <f t="shared" si="18"/>
        <v>109</v>
      </c>
      <c r="GK139" s="75">
        <f t="shared" si="19"/>
        <v>0</v>
      </c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</row>
    <row r="140" spans="1:212" ht="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FY140" s="76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>
        <f t="shared" si="18"/>
        <v>110</v>
      </c>
      <c r="GK140" s="75">
        <f t="shared" si="19"/>
        <v>0</v>
      </c>
      <c r="GL140" s="75"/>
      <c r="GM140" s="75"/>
      <c r="GN140" s="75">
        <v>1</v>
      </c>
      <c r="GO140" s="75"/>
      <c r="GP140" s="75">
        <v>1</v>
      </c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</row>
    <row r="141" spans="1:212" ht="1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FY141" s="76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>
        <f t="shared" si="18"/>
        <v>111</v>
      </c>
      <c r="GK141" s="75">
        <f t="shared" si="19"/>
        <v>0</v>
      </c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</row>
    <row r="142" spans="1:212" ht="1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FY142" s="76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>
        <f t="shared" si="18"/>
        <v>112</v>
      </c>
      <c r="GK142" s="75">
        <f t="shared" si="19"/>
        <v>0</v>
      </c>
      <c r="GL142" s="75"/>
      <c r="GM142" s="75"/>
      <c r="GN142" s="75"/>
      <c r="GO142" s="75">
        <v>1</v>
      </c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</row>
    <row r="143" spans="1:212" ht="1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FY143" s="76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>
        <f t="shared" si="18"/>
        <v>113</v>
      </c>
      <c r="GK143" s="75">
        <f t="shared" si="19"/>
        <v>0</v>
      </c>
      <c r="GL143" s="75"/>
      <c r="GM143" s="75"/>
      <c r="GN143" s="75"/>
      <c r="GO143" s="75"/>
      <c r="GP143" s="75">
        <v>1</v>
      </c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</row>
    <row r="144" spans="1:212" ht="1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FY144" s="76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>
        <f t="shared" si="18"/>
        <v>114</v>
      </c>
      <c r="GK144" s="75">
        <f t="shared" si="19"/>
        <v>0</v>
      </c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</row>
    <row r="145" spans="1:212" ht="1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FY145" s="76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>
        <f t="shared" si="18"/>
        <v>115</v>
      </c>
      <c r="GK145" s="75">
        <f t="shared" si="19"/>
        <v>0</v>
      </c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</row>
    <row r="146" spans="1:212" ht="1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FY146" s="76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>
        <f t="shared" si="18"/>
        <v>116</v>
      </c>
      <c r="GK146" s="75">
        <f t="shared" si="19"/>
        <v>1</v>
      </c>
      <c r="GL146" s="75"/>
      <c r="GM146" s="75">
        <v>1</v>
      </c>
      <c r="GN146" s="75">
        <v>1</v>
      </c>
      <c r="GO146" s="75">
        <v>1</v>
      </c>
      <c r="GP146" s="75">
        <v>1</v>
      </c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</row>
    <row r="147" spans="1:212" ht="1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FY147" s="76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>
        <f t="shared" si="18"/>
        <v>117</v>
      </c>
      <c r="GK147" s="75">
        <f t="shared" si="19"/>
        <v>0</v>
      </c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</row>
    <row r="148" spans="1:212" ht="1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FY148" s="76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>
        <f t="shared" si="18"/>
        <v>118</v>
      </c>
      <c r="GK148" s="75">
        <f t="shared" si="19"/>
        <v>0</v>
      </c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</row>
    <row r="149" spans="1:212" ht="1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FY149" s="76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>
        <f t="shared" si="18"/>
        <v>119</v>
      </c>
      <c r="GK149" s="75">
        <f t="shared" si="19"/>
        <v>0</v>
      </c>
      <c r="GL149" s="75"/>
      <c r="GM149" s="75"/>
      <c r="GN149" s="75"/>
      <c r="GO149" s="75"/>
      <c r="GP149" s="75">
        <v>1</v>
      </c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</row>
    <row r="150" spans="1:212" ht="1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FY150" s="76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>
        <f t="shared" si="18"/>
        <v>120</v>
      </c>
      <c r="GK150" s="75">
        <f t="shared" si="19"/>
        <v>0</v>
      </c>
      <c r="GL150" s="75"/>
      <c r="GM150" s="75"/>
      <c r="GN150" s="75"/>
      <c r="GO150" s="75">
        <v>1</v>
      </c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</row>
    <row r="151" spans="1:212" ht="1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FY151" s="76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>
        <f t="shared" si="18"/>
        <v>121</v>
      </c>
      <c r="GK151" s="75">
        <f t="shared" si="19"/>
        <v>0</v>
      </c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</row>
    <row r="152" spans="1:212" ht="1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FY152" s="76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>
        <f t="shared" si="18"/>
        <v>122</v>
      </c>
      <c r="GK152" s="75">
        <f t="shared" si="19"/>
        <v>0</v>
      </c>
      <c r="GL152" s="75"/>
      <c r="GM152" s="75"/>
      <c r="GN152" s="75">
        <v>1</v>
      </c>
      <c r="GO152" s="75"/>
      <c r="GP152" s="75">
        <v>1</v>
      </c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</row>
    <row r="153" spans="1:212" ht="1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FY153" s="76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>
        <f t="shared" si="18"/>
        <v>123</v>
      </c>
      <c r="GK153" s="75">
        <f t="shared" si="19"/>
        <v>0</v>
      </c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</row>
    <row r="154" spans="1:212" ht="1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FY154" s="76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>
        <f t="shared" si="18"/>
        <v>124</v>
      </c>
      <c r="GK154" s="75">
        <f t="shared" si="19"/>
        <v>0</v>
      </c>
      <c r="GL154" s="75"/>
      <c r="GM154" s="75"/>
      <c r="GN154" s="75"/>
      <c r="GO154" s="75">
        <v>1</v>
      </c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</row>
    <row r="155" spans="1:212" ht="1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FY155" s="76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>
        <f t="shared" si="18"/>
        <v>125</v>
      </c>
      <c r="GK155" s="75">
        <f t="shared" si="19"/>
        <v>0</v>
      </c>
      <c r="GL155" s="75"/>
      <c r="GM155" s="75"/>
      <c r="GN155" s="75"/>
      <c r="GO155" s="75"/>
      <c r="GP155" s="75">
        <v>1</v>
      </c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</row>
    <row r="156" spans="1:212" ht="1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FY156" s="76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>
        <f t="shared" si="18"/>
        <v>126</v>
      </c>
      <c r="GK156" s="75">
        <f t="shared" si="19"/>
        <v>0</v>
      </c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</row>
    <row r="157" spans="1:212" ht="1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FY157" s="76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>
        <f t="shared" si="18"/>
        <v>127</v>
      </c>
      <c r="GK157" s="75">
        <f t="shared" si="19"/>
        <v>0</v>
      </c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</row>
    <row r="158" spans="1:212" ht="1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FY158" s="76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>
        <f t="shared" si="18"/>
        <v>128</v>
      </c>
      <c r="GK158" s="75">
        <f t="shared" si="19"/>
        <v>1</v>
      </c>
      <c r="GL158" s="75"/>
      <c r="GM158" s="75">
        <v>1</v>
      </c>
      <c r="GN158" s="75">
        <v>1</v>
      </c>
      <c r="GO158" s="75">
        <v>1</v>
      </c>
      <c r="GP158" s="75">
        <v>1</v>
      </c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</row>
    <row r="159" spans="1:212" ht="1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FY159" s="76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>
        <f t="shared" si="18"/>
        <v>129</v>
      </c>
      <c r="GK159" s="75">
        <f t="shared" si="19"/>
        <v>0</v>
      </c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</row>
    <row r="160" spans="1:212" ht="1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FY160" s="76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>
        <f t="shared" si="18"/>
        <v>130</v>
      </c>
      <c r="GK160" s="75">
        <f t="shared" si="19"/>
        <v>0</v>
      </c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</row>
    <row r="161" spans="1:212" ht="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FY161" s="76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>
        <f t="shared" si="18"/>
        <v>131</v>
      </c>
      <c r="GK161" s="75">
        <f t="shared" si="19"/>
        <v>0</v>
      </c>
      <c r="GL161" s="75"/>
      <c r="GM161" s="75"/>
      <c r="GN161" s="75"/>
      <c r="GO161" s="75"/>
      <c r="GP161" s="75">
        <v>1</v>
      </c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</row>
    <row r="162" spans="1:212" ht="1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FY162" s="76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>
        <f t="shared" si="18"/>
        <v>132</v>
      </c>
      <c r="GK162" s="75">
        <f t="shared" si="19"/>
        <v>0</v>
      </c>
      <c r="GL162" s="75"/>
      <c r="GM162" s="75"/>
      <c r="GN162" s="75"/>
      <c r="GO162" s="75">
        <v>1</v>
      </c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</row>
    <row r="163" spans="1:212" ht="1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FY163" s="76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>
        <f t="shared" si="18"/>
        <v>133</v>
      </c>
      <c r="GK163" s="75">
        <f t="shared" si="19"/>
        <v>0</v>
      </c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</row>
    <row r="164" spans="1:212" ht="1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FY164" s="76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>
        <f t="shared" si="18"/>
        <v>134</v>
      </c>
      <c r="GK164" s="75">
        <f t="shared" si="19"/>
        <v>0</v>
      </c>
      <c r="GL164" s="75"/>
      <c r="GM164" s="75"/>
      <c r="GN164" s="75">
        <v>1</v>
      </c>
      <c r="GO164" s="75"/>
      <c r="GP164" s="75">
        <v>1</v>
      </c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</row>
    <row r="165" spans="1:212" ht="1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FY165" s="76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>
        <f t="shared" si="18"/>
        <v>135</v>
      </c>
      <c r="GK165" s="75">
        <f t="shared" si="19"/>
        <v>0</v>
      </c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</row>
    <row r="166" spans="1:212" ht="1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FY166" s="76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>
        <f t="shared" si="18"/>
        <v>136</v>
      </c>
      <c r="GK166" s="75">
        <f t="shared" si="19"/>
        <v>0</v>
      </c>
      <c r="GL166" s="75"/>
      <c r="GM166" s="75"/>
      <c r="GN166" s="75"/>
      <c r="GO166" s="75">
        <v>1</v>
      </c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</row>
    <row r="167" spans="1:212" ht="1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FY167" s="76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>
        <f t="shared" si="18"/>
        <v>137</v>
      </c>
      <c r="GK167" s="75">
        <f t="shared" si="19"/>
        <v>0</v>
      </c>
      <c r="GL167" s="75"/>
      <c r="GM167" s="75"/>
      <c r="GN167" s="75"/>
      <c r="GO167" s="75"/>
      <c r="GP167" s="75">
        <v>1</v>
      </c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</row>
    <row r="168" spans="1:212" ht="1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FY168" s="76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>
        <f t="shared" si="18"/>
        <v>138</v>
      </c>
      <c r="GK168" s="75">
        <f t="shared" si="19"/>
        <v>0</v>
      </c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</row>
    <row r="169" spans="1:212" ht="1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FY169" s="76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>
        <f t="shared" si="18"/>
        <v>139</v>
      </c>
      <c r="GK169" s="75">
        <f t="shared" si="19"/>
        <v>0</v>
      </c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</row>
    <row r="170" spans="1:212" ht="1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FY170" s="76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>
        <f t="shared" si="18"/>
        <v>140</v>
      </c>
      <c r="GK170" s="75">
        <f t="shared" si="19"/>
        <v>1</v>
      </c>
      <c r="GL170" s="75"/>
      <c r="GM170" s="75">
        <v>1</v>
      </c>
      <c r="GN170" s="75">
        <v>1</v>
      </c>
      <c r="GO170" s="75">
        <v>1</v>
      </c>
      <c r="GP170" s="75">
        <v>1</v>
      </c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</row>
    <row r="171" spans="1:212" ht="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FY171" s="76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>
        <f t="shared" si="18"/>
        <v>141</v>
      </c>
      <c r="GK171" s="75">
        <f t="shared" si="19"/>
        <v>0</v>
      </c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</row>
    <row r="172" spans="1:212" ht="1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FY172" s="76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>
        <f t="shared" si="18"/>
        <v>142</v>
      </c>
      <c r="GK172" s="75">
        <f t="shared" si="19"/>
        <v>0</v>
      </c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</row>
    <row r="173" spans="1:212" ht="1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FY173" s="76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>
        <f t="shared" si="18"/>
        <v>143</v>
      </c>
      <c r="GK173" s="75">
        <f t="shared" si="19"/>
        <v>0</v>
      </c>
      <c r="GL173" s="75"/>
      <c r="GM173" s="75"/>
      <c r="GN173" s="75"/>
      <c r="GO173" s="75"/>
      <c r="GP173" s="75">
        <v>1</v>
      </c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</row>
    <row r="174" spans="1:212" ht="1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FY174" s="76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>
        <v>1</v>
      </c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</row>
    <row r="175" spans="1:212" ht="1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FY175" s="76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</row>
    <row r="176" spans="1:212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FY176" s="76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>
        <v>1</v>
      </c>
      <c r="GO176" s="75"/>
      <c r="GP176" s="75">
        <v>1</v>
      </c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</row>
    <row r="177" spans="1:212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FY177" s="76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</row>
    <row r="178" spans="1:212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FY178" s="76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>
        <v>1</v>
      </c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</row>
    <row r="179" spans="1:212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FY179" s="76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>
        <v>1</v>
      </c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</row>
    <row r="180" spans="1:212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FY180" s="76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</row>
    <row r="181" spans="1:212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FY181" s="76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</row>
    <row r="182" spans="1:212" ht="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FY182" s="76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>
        <v>1</v>
      </c>
      <c r="GN182" s="75">
        <v>1</v>
      </c>
      <c r="GO182" s="75">
        <v>1</v>
      </c>
      <c r="GP182" s="75">
        <v>1</v>
      </c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</row>
    <row r="183" spans="1:212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FY183" s="76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>
        <v>1</v>
      </c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</row>
    <row r="184" spans="1:212" ht="1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FY184" s="76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>
        <v>1</v>
      </c>
      <c r="GN184" s="75">
        <v>1</v>
      </c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</row>
    <row r="185" spans="1:212" ht="1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FY185" s="76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>
        <v>1</v>
      </c>
      <c r="GN185" s="75"/>
      <c r="GO185" s="75">
        <v>1</v>
      </c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</row>
    <row r="186" spans="1:212" ht="1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FY186" s="76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>
        <v>1</v>
      </c>
      <c r="GN186" s="75">
        <v>1</v>
      </c>
      <c r="GO186" s="75"/>
      <c r="GP186" s="75">
        <v>1</v>
      </c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</row>
    <row r="187" spans="1:212" ht="1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FY187" s="76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>
        <v>1</v>
      </c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</row>
    <row r="188" spans="1:212" ht="1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FY188" s="76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>
        <v>1</v>
      </c>
      <c r="GN188" s="75">
        <v>1</v>
      </c>
      <c r="GO188" s="75">
        <v>1</v>
      </c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</row>
    <row r="189" spans="1:212" ht="1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FY189" s="76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>
        <v>1</v>
      </c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</row>
    <row r="190" spans="1:212" ht="1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FY190" s="76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>
        <v>1</v>
      </c>
      <c r="GN190" s="75">
        <v>1</v>
      </c>
      <c r="GO190" s="75"/>
      <c r="GP190" s="75">
        <v>1</v>
      </c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</row>
    <row r="191" spans="1:212" ht="1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FY191" s="76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>
        <v>1</v>
      </c>
      <c r="GN191" s="75"/>
      <c r="GO191" s="75">
        <v>1</v>
      </c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</row>
    <row r="192" spans="1:212" ht="1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FY192" s="76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>
        <v>1</v>
      </c>
      <c r="GN192" s="75">
        <v>1</v>
      </c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</row>
    <row r="193" spans="1:212" ht="1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FY193" s="76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>
        <v>1</v>
      </c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</row>
    <row r="194" spans="1:212" ht="1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FY194" s="76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>
        <v>1</v>
      </c>
      <c r="GN194" s="75">
        <v>1</v>
      </c>
      <c r="GO194" s="75">
        <v>1</v>
      </c>
      <c r="GP194" s="75">
        <v>1</v>
      </c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</row>
    <row r="195" spans="1:212" ht="1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FY195" s="76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>
        <v>1</v>
      </c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</row>
    <row r="196" spans="1:212" ht="1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FY196" s="76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>
        <v>1</v>
      </c>
      <c r="GN196" s="75">
        <v>1</v>
      </c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</row>
    <row r="197" spans="1:212" ht="1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FY197" s="76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>
        <v>1</v>
      </c>
      <c r="GN197" s="75"/>
      <c r="GO197" s="75">
        <v>1</v>
      </c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</row>
    <row r="198" spans="1:212" ht="1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FY198" s="76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>
        <v>1</v>
      </c>
      <c r="GN198" s="75">
        <v>1</v>
      </c>
      <c r="GO198" s="75"/>
      <c r="GP198" s="75">
        <v>1</v>
      </c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</row>
    <row r="199" spans="1:212" ht="1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FY199" s="76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>
        <v>1</v>
      </c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</row>
    <row r="200" spans="1:212" ht="1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FY200" s="76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>
        <v>1</v>
      </c>
      <c r="GN200" s="75">
        <v>1</v>
      </c>
      <c r="GO200" s="75">
        <v>1</v>
      </c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</row>
    <row r="201" spans="1:212" ht="1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FY201" s="76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>
        <v>1</v>
      </c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</row>
    <row r="202" spans="1:212" ht="1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FY202" s="76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>
        <v>1</v>
      </c>
      <c r="GN202" s="75">
        <v>1</v>
      </c>
      <c r="GO202" s="75"/>
      <c r="GP202" s="75">
        <v>1</v>
      </c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</row>
    <row r="203" spans="1:212" ht="1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FY203" s="76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>
        <v>1</v>
      </c>
      <c r="GN203" s="75"/>
      <c r="GO203" s="75">
        <v>1</v>
      </c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</row>
    <row r="204" spans="1:212" ht="1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FY204" s="76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>
        <v>1</v>
      </c>
      <c r="GN204" s="75">
        <v>1</v>
      </c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</row>
    <row r="205" spans="1:212" ht="1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FY205" s="76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>
        <v>1</v>
      </c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</row>
    <row r="206" spans="1:212" ht="1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FY206" s="76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>
        <v>1</v>
      </c>
      <c r="GN206" s="75">
        <v>1</v>
      </c>
      <c r="GO206" s="75">
        <v>1</v>
      </c>
      <c r="GP206" s="75">
        <v>1</v>
      </c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</row>
    <row r="207" spans="1:212" ht="1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FY207" s="76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>
        <v>1</v>
      </c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</row>
    <row r="208" spans="1:212" ht="1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FY208" s="76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>
        <v>1</v>
      </c>
      <c r="GN208" s="75">
        <v>1</v>
      </c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</row>
    <row r="209" spans="1:212" ht="1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FY209" s="76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>
        <v>1</v>
      </c>
      <c r="GN209" s="75"/>
      <c r="GO209" s="75">
        <v>1</v>
      </c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</row>
    <row r="210" spans="1:212" ht="1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FY210" s="76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>
        <v>1</v>
      </c>
      <c r="GN210" s="75">
        <v>1</v>
      </c>
      <c r="GO210" s="75"/>
      <c r="GP210" s="75">
        <v>1</v>
      </c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</row>
    <row r="211" spans="1:212" ht="1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FY211" s="76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5"/>
      <c r="GK211" s="75"/>
      <c r="GL211" s="75"/>
      <c r="GM211" s="75">
        <v>1</v>
      </c>
      <c r="GN211" s="75"/>
      <c r="GO211" s="75"/>
      <c r="GP211" s="75"/>
      <c r="GQ211" s="75"/>
      <c r="GR211" s="75"/>
      <c r="GS211" s="75"/>
      <c r="GT211" s="75"/>
      <c r="GU211" s="75"/>
      <c r="GV211" s="75"/>
      <c r="GW211" s="75"/>
      <c r="GX211" s="75"/>
      <c r="GY211" s="75"/>
      <c r="GZ211" s="75"/>
      <c r="HA211" s="75"/>
      <c r="HB211" s="75"/>
      <c r="HC211" s="75"/>
      <c r="HD211" s="75"/>
    </row>
    <row r="212" spans="1:212" ht="1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FY212" s="76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>
        <v>1</v>
      </c>
      <c r="GN212" s="75">
        <v>1</v>
      </c>
      <c r="GO212" s="75">
        <v>1</v>
      </c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</row>
    <row r="213" spans="1:212" ht="1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FY213" s="76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5"/>
      <c r="GK213" s="75"/>
      <c r="GL213" s="75"/>
      <c r="GM213" s="75">
        <v>1</v>
      </c>
      <c r="GN213" s="75"/>
      <c r="GO213" s="75"/>
      <c r="GP213" s="75"/>
      <c r="GQ213" s="75"/>
      <c r="GR213" s="75"/>
      <c r="GS213" s="75"/>
      <c r="GT213" s="75"/>
      <c r="GU213" s="75"/>
      <c r="GV213" s="75"/>
      <c r="GW213" s="75"/>
      <c r="GX213" s="75"/>
      <c r="GY213" s="75"/>
      <c r="GZ213" s="75"/>
      <c r="HA213" s="75"/>
      <c r="HB213" s="75"/>
      <c r="HC213" s="75"/>
      <c r="HD213" s="75"/>
    </row>
    <row r="214" spans="1:212" ht="1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FY214" s="76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5"/>
      <c r="GK214" s="75"/>
      <c r="GL214" s="75"/>
      <c r="GM214" s="75">
        <v>1</v>
      </c>
      <c r="GN214" s="75">
        <v>1</v>
      </c>
      <c r="GO214" s="75"/>
      <c r="GP214" s="75">
        <v>1</v>
      </c>
      <c r="GQ214" s="75"/>
      <c r="GR214" s="75"/>
      <c r="GS214" s="75"/>
      <c r="GT214" s="75"/>
      <c r="GU214" s="75"/>
      <c r="GV214" s="75"/>
      <c r="GW214" s="75"/>
      <c r="GX214" s="75"/>
      <c r="GY214" s="75"/>
      <c r="GZ214" s="75"/>
      <c r="HA214" s="75"/>
      <c r="HB214" s="75"/>
      <c r="HC214" s="75"/>
      <c r="HD214" s="75"/>
    </row>
    <row r="215" spans="1:212" ht="1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FY215" s="76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>
        <v>1</v>
      </c>
      <c r="GN215" s="75"/>
      <c r="GO215" s="75">
        <v>1</v>
      </c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</row>
    <row r="216" spans="1:212" ht="1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FY216" s="76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>
        <v>1</v>
      </c>
      <c r="GN216" s="75">
        <v>1</v>
      </c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</row>
    <row r="217" spans="1:212" ht="1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FY217" s="76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5"/>
      <c r="GK217" s="75"/>
      <c r="GL217" s="75"/>
      <c r="GM217" s="75">
        <v>1</v>
      </c>
      <c r="GN217" s="75"/>
      <c r="GO217" s="75"/>
      <c r="GP217" s="75"/>
      <c r="GQ217" s="75"/>
      <c r="GR217" s="75"/>
      <c r="GS217" s="75"/>
      <c r="GT217" s="75"/>
      <c r="GU217" s="75"/>
      <c r="GV217" s="75"/>
      <c r="GW217" s="75"/>
      <c r="GX217" s="75"/>
      <c r="GY217" s="75"/>
      <c r="GZ217" s="75"/>
      <c r="HA217" s="75"/>
      <c r="HB217" s="75"/>
      <c r="HC217" s="75"/>
      <c r="HD217" s="75"/>
    </row>
    <row r="218" spans="1:212" ht="1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FY218" s="76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5"/>
      <c r="GK218" s="75"/>
      <c r="GL218" s="75"/>
      <c r="GM218" s="75">
        <v>1</v>
      </c>
      <c r="GN218" s="75">
        <v>1</v>
      </c>
      <c r="GO218" s="75">
        <v>1</v>
      </c>
      <c r="GP218" s="75">
        <v>1</v>
      </c>
      <c r="GQ218" s="75"/>
      <c r="GR218" s="75"/>
      <c r="GS218" s="75"/>
      <c r="GT218" s="75"/>
      <c r="GU218" s="75"/>
      <c r="GV218" s="75"/>
      <c r="GW218" s="75"/>
      <c r="GX218" s="75"/>
      <c r="GY218" s="75"/>
      <c r="GZ218" s="75"/>
      <c r="HA218" s="75"/>
      <c r="HB218" s="75"/>
      <c r="HC218" s="75"/>
      <c r="HD218" s="75"/>
    </row>
    <row r="219" spans="1:212" ht="1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FY219" s="76"/>
      <c r="FZ219" s="75"/>
      <c r="GA219" s="75"/>
      <c r="GB219" s="75"/>
      <c r="GC219" s="75"/>
      <c r="GD219" s="75"/>
      <c r="GE219" s="75"/>
      <c r="GF219" s="75"/>
      <c r="GG219" s="75"/>
      <c r="GH219" s="75"/>
      <c r="GI219" s="75"/>
      <c r="GJ219" s="75"/>
      <c r="GK219" s="75"/>
      <c r="GL219" s="75"/>
      <c r="GM219" s="75">
        <v>1</v>
      </c>
      <c r="GN219" s="75"/>
      <c r="GO219" s="75"/>
      <c r="GP219" s="75"/>
      <c r="GQ219" s="75"/>
      <c r="GR219" s="75"/>
      <c r="GS219" s="75"/>
      <c r="GT219" s="75"/>
      <c r="GU219" s="75"/>
      <c r="GV219" s="75"/>
      <c r="GW219" s="75"/>
      <c r="GX219" s="75"/>
      <c r="GY219" s="75"/>
      <c r="GZ219" s="75"/>
      <c r="HA219" s="75"/>
      <c r="HB219" s="75"/>
      <c r="HC219" s="75"/>
      <c r="HD219" s="75"/>
    </row>
    <row r="220" spans="1:212" ht="1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FY220" s="76"/>
      <c r="FZ220" s="75"/>
      <c r="GA220" s="75"/>
      <c r="GB220" s="75"/>
      <c r="GC220" s="75"/>
      <c r="GD220" s="75"/>
      <c r="GE220" s="75"/>
      <c r="GF220" s="75"/>
      <c r="GG220" s="75"/>
      <c r="GH220" s="75"/>
      <c r="GI220" s="75"/>
      <c r="GJ220" s="75"/>
      <c r="GK220" s="75"/>
      <c r="GL220" s="75"/>
      <c r="GM220" s="75">
        <v>1</v>
      </c>
      <c r="GN220" s="75">
        <v>1</v>
      </c>
      <c r="GO220" s="75"/>
      <c r="GP220" s="75"/>
      <c r="GQ220" s="75"/>
      <c r="GR220" s="75"/>
      <c r="GS220" s="75"/>
      <c r="GT220" s="75"/>
      <c r="GU220" s="75"/>
      <c r="GV220" s="75"/>
      <c r="GW220" s="75"/>
      <c r="GX220" s="75"/>
      <c r="GY220" s="75"/>
      <c r="GZ220" s="75"/>
      <c r="HA220" s="75"/>
      <c r="HB220" s="75"/>
      <c r="HC220" s="75"/>
      <c r="HD220" s="75"/>
    </row>
    <row r="221" spans="1:212" ht="1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FY221" s="76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5"/>
      <c r="GK221" s="75"/>
      <c r="GL221" s="75"/>
      <c r="GM221" s="75">
        <v>1</v>
      </c>
      <c r="GN221" s="75"/>
      <c r="GO221" s="75">
        <v>1</v>
      </c>
      <c r="GP221" s="75"/>
      <c r="GQ221" s="75"/>
      <c r="GR221" s="75"/>
      <c r="GS221" s="75"/>
      <c r="GT221" s="75"/>
      <c r="GU221" s="75"/>
      <c r="GV221" s="75"/>
      <c r="GW221" s="75"/>
      <c r="GX221" s="75"/>
      <c r="GY221" s="75"/>
      <c r="GZ221" s="75"/>
      <c r="HA221" s="75"/>
      <c r="HB221" s="75"/>
      <c r="HC221" s="75"/>
      <c r="HD221" s="75"/>
    </row>
    <row r="222" spans="1:212" ht="1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FY222" s="76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>
        <v>1</v>
      </c>
      <c r="GN222" s="75"/>
      <c r="GO222" s="75"/>
      <c r="GP222" s="75">
        <v>1</v>
      </c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</row>
    <row r="223" spans="1:212" ht="1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FY223" s="76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>
        <v>1</v>
      </c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</row>
    <row r="224" spans="1:212" ht="1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FY224" s="76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>
        <v>1</v>
      </c>
      <c r="GN224" s="75"/>
      <c r="GO224" s="75">
        <v>1</v>
      </c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</row>
    <row r="225" spans="1:212" ht="1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FY225" s="76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>
        <v>1</v>
      </c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</row>
    <row r="226" spans="1:212" ht="1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FY226" s="76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5"/>
      <c r="GK226" s="75"/>
      <c r="GL226" s="75"/>
      <c r="GM226" s="75">
        <v>1</v>
      </c>
      <c r="GN226" s="75"/>
      <c r="GO226" s="75"/>
      <c r="GP226" s="75">
        <v>1</v>
      </c>
      <c r="GQ226" s="75"/>
      <c r="GR226" s="75"/>
      <c r="GS226" s="75"/>
      <c r="GT226" s="75"/>
      <c r="GU226" s="75"/>
      <c r="GV226" s="75"/>
      <c r="GW226" s="75"/>
      <c r="GX226" s="75"/>
      <c r="GY226" s="75"/>
      <c r="GZ226" s="75"/>
      <c r="HA226" s="75"/>
      <c r="HB226" s="75"/>
      <c r="HC226" s="75"/>
      <c r="HD226" s="75"/>
    </row>
    <row r="227" spans="1:212" ht="1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FY227" s="76"/>
      <c r="FZ227" s="75"/>
      <c r="GA227" s="75"/>
      <c r="GB227" s="75"/>
      <c r="GC227" s="75"/>
      <c r="GD227" s="75"/>
      <c r="GE227" s="75"/>
      <c r="GF227" s="75"/>
      <c r="GG227" s="75"/>
      <c r="GH227" s="75"/>
      <c r="GI227" s="75"/>
      <c r="GJ227" s="75"/>
      <c r="GK227" s="75"/>
      <c r="GL227" s="75"/>
      <c r="GM227" s="75">
        <v>1</v>
      </c>
      <c r="GN227" s="75"/>
      <c r="GO227" s="75">
        <v>1</v>
      </c>
      <c r="GP227" s="75"/>
      <c r="GQ227" s="75"/>
      <c r="GR227" s="75"/>
      <c r="GS227" s="75"/>
      <c r="GT227" s="75"/>
      <c r="GU227" s="75"/>
      <c r="GV227" s="75"/>
      <c r="GW227" s="75"/>
      <c r="GX227" s="75"/>
      <c r="GY227" s="75"/>
      <c r="GZ227" s="75"/>
      <c r="HA227" s="75"/>
      <c r="HB227" s="75"/>
      <c r="HC227" s="75"/>
      <c r="HD227" s="75"/>
    </row>
    <row r="228" spans="1:212" ht="1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FY228" s="76"/>
      <c r="FZ228" s="75"/>
      <c r="GA228" s="75"/>
      <c r="GB228" s="75"/>
      <c r="GC228" s="75"/>
      <c r="GD228" s="75"/>
      <c r="GE228" s="75"/>
      <c r="GF228" s="75"/>
      <c r="GG228" s="75"/>
      <c r="GH228" s="75"/>
      <c r="GI228" s="75"/>
      <c r="GJ228" s="75"/>
      <c r="GK228" s="75"/>
      <c r="GL228" s="75"/>
      <c r="GM228" s="75">
        <v>1</v>
      </c>
      <c r="GN228" s="75"/>
      <c r="GO228" s="75"/>
      <c r="GP228" s="75"/>
      <c r="GQ228" s="75"/>
      <c r="GR228" s="75"/>
      <c r="GS228" s="75"/>
      <c r="GT228" s="75"/>
      <c r="GU228" s="75"/>
      <c r="GV228" s="75"/>
      <c r="GW228" s="75"/>
      <c r="GX228" s="75"/>
      <c r="GY228" s="75"/>
      <c r="GZ228" s="75"/>
      <c r="HA228" s="75"/>
      <c r="HB228" s="75"/>
      <c r="HC228" s="75"/>
      <c r="HD228" s="75"/>
    </row>
    <row r="229" spans="1:212" ht="1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FY229" s="76"/>
      <c r="FZ229" s="75"/>
      <c r="GA229" s="75"/>
      <c r="GB229" s="75"/>
      <c r="GC229" s="75"/>
      <c r="GD229" s="75"/>
      <c r="GE229" s="75"/>
      <c r="GF229" s="75"/>
      <c r="GG229" s="75"/>
      <c r="GH229" s="75"/>
      <c r="GI229" s="75"/>
      <c r="GJ229" s="75"/>
      <c r="GK229" s="75"/>
      <c r="GL229" s="75"/>
      <c r="GM229" s="75">
        <v>1</v>
      </c>
      <c r="GN229" s="75"/>
      <c r="GO229" s="75"/>
      <c r="GP229" s="75"/>
      <c r="GQ229" s="75"/>
      <c r="GR229" s="75"/>
      <c r="GS229" s="75"/>
      <c r="GT229" s="75"/>
      <c r="GU229" s="75"/>
      <c r="GV229" s="75"/>
      <c r="GW229" s="75"/>
      <c r="GX229" s="75"/>
      <c r="GY229" s="75"/>
      <c r="GZ229" s="75"/>
      <c r="HA229" s="75"/>
      <c r="HB229" s="75"/>
      <c r="HC229" s="75"/>
      <c r="HD229" s="75"/>
    </row>
    <row r="230" spans="1:212" ht="1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FY230" s="76"/>
      <c r="FZ230" s="75"/>
      <c r="GA230" s="75"/>
      <c r="GB230" s="75"/>
      <c r="GC230" s="75"/>
      <c r="GD230" s="75"/>
      <c r="GE230" s="75"/>
      <c r="GF230" s="75"/>
      <c r="GG230" s="75"/>
      <c r="GH230" s="75"/>
      <c r="GI230" s="75"/>
      <c r="GJ230" s="75"/>
      <c r="GK230" s="75"/>
      <c r="GL230" s="75"/>
      <c r="GM230" s="75"/>
      <c r="GN230" s="75"/>
      <c r="GO230" s="75"/>
      <c r="GP230" s="75"/>
      <c r="GQ230" s="75"/>
      <c r="GR230" s="75"/>
      <c r="GS230" s="75"/>
      <c r="GT230" s="75"/>
      <c r="GU230" s="75"/>
      <c r="GV230" s="75"/>
      <c r="GW230" s="75"/>
      <c r="GX230" s="75"/>
      <c r="GY230" s="75"/>
      <c r="GZ230" s="75"/>
      <c r="HA230" s="75"/>
      <c r="HB230" s="75"/>
      <c r="HC230" s="75"/>
      <c r="HD230" s="75"/>
    </row>
    <row r="231" spans="1:212" ht="1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FY231" s="76"/>
      <c r="FZ231" s="75"/>
      <c r="GA231" s="75"/>
      <c r="GB231" s="75"/>
      <c r="GC231" s="75"/>
      <c r="GD231" s="75"/>
      <c r="GE231" s="75"/>
      <c r="GF231" s="75"/>
      <c r="GG231" s="75"/>
      <c r="GH231" s="75"/>
      <c r="GI231" s="75"/>
      <c r="GJ231" s="75"/>
      <c r="GK231" s="75"/>
      <c r="GL231" s="75"/>
      <c r="GM231" s="75"/>
      <c r="GN231" s="75"/>
      <c r="GO231" s="75">
        <v>1</v>
      </c>
      <c r="GP231" s="75">
        <v>1</v>
      </c>
      <c r="GQ231" s="75"/>
      <c r="GR231" s="75"/>
      <c r="GS231" s="75"/>
      <c r="GT231" s="75"/>
      <c r="GU231" s="75"/>
      <c r="GV231" s="75"/>
      <c r="GW231" s="75"/>
      <c r="GX231" s="75"/>
      <c r="GY231" s="75"/>
      <c r="GZ231" s="75"/>
      <c r="HA231" s="75"/>
      <c r="HB231" s="75"/>
      <c r="HC231" s="75"/>
      <c r="HD231" s="75"/>
    </row>
    <row r="232" spans="1:212" ht="1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FY232" s="76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5"/>
      <c r="GK232" s="75"/>
      <c r="GL232" s="75"/>
      <c r="GM232" s="75"/>
      <c r="GN232" s="75"/>
      <c r="GO232" s="75"/>
      <c r="GP232" s="75"/>
      <c r="GQ232" s="75"/>
      <c r="GR232" s="75"/>
      <c r="GS232" s="75"/>
      <c r="GT232" s="75"/>
      <c r="GU232" s="75"/>
      <c r="GV232" s="75"/>
      <c r="GW232" s="75"/>
      <c r="GX232" s="75"/>
      <c r="GY232" s="75"/>
      <c r="GZ232" s="75"/>
      <c r="HA232" s="75"/>
      <c r="HB232" s="75"/>
      <c r="HC232" s="75"/>
      <c r="HD232" s="75"/>
    </row>
    <row r="233" spans="1:212" ht="1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FY233" s="76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5"/>
      <c r="GK233" s="75"/>
      <c r="GL233" s="75"/>
      <c r="GM233" s="75"/>
      <c r="GN233" s="75"/>
      <c r="GO233" s="75"/>
      <c r="GP233" s="75"/>
      <c r="GQ233" s="75"/>
      <c r="GR233" s="75"/>
      <c r="GS233" s="75"/>
      <c r="GT233" s="75"/>
      <c r="GU233" s="75"/>
      <c r="GV233" s="75"/>
      <c r="GW233" s="75"/>
      <c r="GX233" s="75"/>
      <c r="GY233" s="75"/>
      <c r="GZ233" s="75"/>
      <c r="HA233" s="75"/>
      <c r="HB233" s="75"/>
      <c r="HC233" s="75"/>
      <c r="HD233" s="75"/>
    </row>
    <row r="234" spans="1:212" ht="1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FY234" s="76"/>
      <c r="FZ234" s="75"/>
      <c r="GA234" s="75"/>
      <c r="GB234" s="75"/>
      <c r="GC234" s="75"/>
      <c r="GD234" s="75"/>
      <c r="GE234" s="75"/>
      <c r="GF234" s="75"/>
      <c r="GG234" s="75"/>
      <c r="GH234" s="75"/>
      <c r="GI234" s="75"/>
      <c r="GJ234" s="75"/>
      <c r="GK234" s="75"/>
      <c r="GL234" s="75"/>
      <c r="GM234" s="75"/>
      <c r="GN234" s="75"/>
      <c r="GO234" s="75"/>
      <c r="GP234" s="75"/>
      <c r="GQ234" s="75"/>
      <c r="GR234" s="75"/>
      <c r="GS234" s="75"/>
      <c r="GT234" s="75"/>
      <c r="GU234" s="75"/>
      <c r="GV234" s="75"/>
      <c r="GW234" s="75"/>
      <c r="GX234" s="75"/>
      <c r="GY234" s="75"/>
      <c r="GZ234" s="75"/>
      <c r="HA234" s="75"/>
      <c r="HB234" s="75"/>
      <c r="HC234" s="75"/>
      <c r="HD234" s="75"/>
    </row>
    <row r="235" spans="1:212" ht="1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FY235" s="76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5"/>
      <c r="GK235" s="75"/>
      <c r="GL235" s="75"/>
      <c r="GM235" s="75"/>
      <c r="GN235" s="75"/>
      <c r="GO235" s="75"/>
      <c r="GP235" s="75"/>
      <c r="GQ235" s="75"/>
      <c r="GR235" s="75"/>
      <c r="GS235" s="75"/>
      <c r="GT235" s="75"/>
      <c r="GU235" s="75"/>
      <c r="GV235" s="75"/>
      <c r="GW235" s="75"/>
      <c r="GX235" s="75"/>
      <c r="GY235" s="75"/>
      <c r="GZ235" s="75"/>
      <c r="HA235" s="75"/>
      <c r="HB235" s="75"/>
      <c r="HC235" s="75"/>
      <c r="HD235" s="75"/>
    </row>
    <row r="236" spans="1:212" ht="1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FY236" s="76"/>
      <c r="FZ236" s="75"/>
      <c r="GA236" s="75"/>
      <c r="GB236" s="75"/>
      <c r="GC236" s="75"/>
      <c r="GD236" s="75"/>
      <c r="GE236" s="75"/>
      <c r="GF236" s="75"/>
      <c r="GG236" s="75"/>
      <c r="GH236" s="75"/>
      <c r="GI236" s="75"/>
      <c r="GJ236" s="75"/>
      <c r="GK236" s="75"/>
      <c r="GL236" s="75"/>
      <c r="GM236" s="75"/>
      <c r="GN236" s="75"/>
      <c r="GO236" s="75"/>
      <c r="GP236" s="75"/>
      <c r="GQ236" s="75"/>
      <c r="GR236" s="75"/>
      <c r="GS236" s="75"/>
      <c r="GT236" s="75"/>
      <c r="GU236" s="75"/>
      <c r="GV236" s="75"/>
      <c r="GW236" s="75"/>
      <c r="GX236" s="75"/>
      <c r="GY236" s="75"/>
      <c r="GZ236" s="75"/>
      <c r="HA236" s="75"/>
      <c r="HB236" s="75"/>
      <c r="HC236" s="75"/>
      <c r="HD236" s="75"/>
    </row>
    <row r="237" spans="1:212" ht="1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FY237" s="76"/>
      <c r="FZ237" s="75"/>
      <c r="GA237" s="75"/>
      <c r="GB237" s="75"/>
      <c r="GC237" s="75"/>
      <c r="GD237" s="75"/>
      <c r="GE237" s="75"/>
      <c r="GF237" s="75"/>
      <c r="GG237" s="75"/>
      <c r="GH237" s="75"/>
      <c r="GI237" s="75"/>
      <c r="GJ237" s="75"/>
      <c r="GK237" s="75"/>
      <c r="GL237" s="75"/>
      <c r="GM237" s="75"/>
      <c r="GN237" s="75"/>
      <c r="GO237" s="75"/>
      <c r="GP237" s="75"/>
      <c r="GQ237" s="75"/>
      <c r="GR237" s="75"/>
      <c r="GS237" s="75"/>
      <c r="GT237" s="75"/>
      <c r="GU237" s="75"/>
      <c r="GV237" s="75"/>
      <c r="GW237" s="75"/>
      <c r="GX237" s="75"/>
      <c r="GY237" s="75"/>
      <c r="GZ237" s="75"/>
      <c r="HA237" s="75"/>
      <c r="HB237" s="75"/>
      <c r="HC237" s="75"/>
      <c r="HD237" s="75"/>
    </row>
    <row r="238" spans="1:212" ht="1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FY238" s="76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5"/>
      <c r="GK238" s="75"/>
      <c r="GL238" s="75"/>
      <c r="GM238" s="75"/>
      <c r="GN238" s="75"/>
      <c r="GO238" s="75"/>
      <c r="GP238" s="75"/>
      <c r="GQ238" s="75"/>
      <c r="GR238" s="75"/>
      <c r="GS238" s="75"/>
      <c r="GT238" s="75"/>
      <c r="GU238" s="75"/>
      <c r="GV238" s="75"/>
      <c r="GW238" s="75"/>
      <c r="GX238" s="75"/>
      <c r="GY238" s="75"/>
      <c r="GZ238" s="75"/>
      <c r="HA238" s="75"/>
      <c r="HB238" s="75"/>
      <c r="HC238" s="75"/>
      <c r="HD238" s="75"/>
    </row>
    <row r="239" spans="1:212" ht="1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FY239" s="76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5"/>
      <c r="GK239" s="75"/>
      <c r="GL239" s="75"/>
      <c r="GM239" s="75"/>
      <c r="GN239" s="75"/>
      <c r="GO239" s="75"/>
      <c r="GP239" s="75"/>
      <c r="GQ239" s="75"/>
      <c r="GR239" s="75"/>
      <c r="GS239" s="75"/>
      <c r="GT239" s="75"/>
      <c r="GU239" s="75"/>
      <c r="GV239" s="75"/>
      <c r="GW239" s="75"/>
      <c r="GX239" s="75"/>
      <c r="GY239" s="75"/>
      <c r="GZ239" s="75"/>
      <c r="HA239" s="75"/>
      <c r="HB239" s="75"/>
      <c r="HC239" s="75"/>
      <c r="HD239" s="75"/>
    </row>
    <row r="240" spans="1:212" ht="1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FY240" s="76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5"/>
      <c r="GK240" s="75"/>
      <c r="GL240" s="75"/>
      <c r="GM240" s="75"/>
      <c r="GN240" s="75"/>
      <c r="GO240" s="75"/>
      <c r="GP240" s="75"/>
      <c r="GQ240" s="75"/>
      <c r="GR240" s="75"/>
      <c r="GS240" s="75"/>
      <c r="GT240" s="75"/>
      <c r="GU240" s="75"/>
      <c r="GV240" s="75"/>
      <c r="GW240" s="75"/>
      <c r="GX240" s="75"/>
      <c r="GY240" s="75"/>
      <c r="GZ240" s="75"/>
      <c r="HA240" s="75"/>
      <c r="HB240" s="75"/>
      <c r="HC240" s="75"/>
      <c r="HD240" s="75"/>
    </row>
    <row r="241" spans="1:212" ht="1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FY241" s="76"/>
      <c r="FZ241" s="75"/>
      <c r="GA241" s="75"/>
      <c r="GB241" s="75"/>
      <c r="GC241" s="75"/>
      <c r="GD241" s="75"/>
      <c r="GE241" s="75"/>
      <c r="GF241" s="75"/>
      <c r="GG241" s="75"/>
      <c r="GH241" s="75"/>
      <c r="GI241" s="75"/>
      <c r="GJ241" s="75"/>
      <c r="GK241" s="75"/>
      <c r="GL241" s="75"/>
      <c r="GM241" s="75"/>
      <c r="GN241" s="75"/>
      <c r="GO241" s="75"/>
      <c r="GP241" s="75"/>
      <c r="GQ241" s="75"/>
      <c r="GR241" s="75"/>
      <c r="GS241" s="75"/>
      <c r="GT241" s="75"/>
      <c r="GU241" s="75"/>
      <c r="GV241" s="75"/>
      <c r="GW241" s="75"/>
      <c r="GX241" s="75"/>
      <c r="GY241" s="75"/>
      <c r="GZ241" s="75"/>
      <c r="HA241" s="75"/>
      <c r="HB241" s="75"/>
      <c r="HC241" s="75"/>
      <c r="HD241" s="75"/>
    </row>
    <row r="242" spans="1:212" ht="1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FY242" s="76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5"/>
      <c r="GK242" s="75"/>
      <c r="GL242" s="75"/>
      <c r="GM242" s="75"/>
      <c r="GN242" s="75"/>
      <c r="GO242" s="75"/>
      <c r="GP242" s="75"/>
      <c r="GQ242" s="75"/>
      <c r="GR242" s="75"/>
      <c r="GS242" s="75"/>
      <c r="GT242" s="75"/>
      <c r="GU242" s="75"/>
      <c r="GV242" s="75"/>
      <c r="GW242" s="75"/>
      <c r="GX242" s="75"/>
      <c r="GY242" s="75"/>
      <c r="GZ242" s="75"/>
      <c r="HA242" s="75"/>
      <c r="HB242" s="75"/>
      <c r="HC242" s="75"/>
      <c r="HD242" s="75"/>
    </row>
    <row r="243" spans="1:212" ht="1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FY243" s="76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5"/>
      <c r="GK243" s="75"/>
      <c r="GL243" s="75"/>
      <c r="GM243" s="75"/>
      <c r="GN243" s="75"/>
      <c r="GO243" s="75"/>
      <c r="GP243" s="75"/>
      <c r="GQ243" s="75"/>
      <c r="GR243" s="75"/>
      <c r="GS243" s="75"/>
      <c r="GT243" s="75"/>
      <c r="GU243" s="75"/>
      <c r="GV243" s="75"/>
      <c r="GW243" s="75"/>
      <c r="GX243" s="75"/>
      <c r="GY243" s="75"/>
      <c r="GZ243" s="75"/>
      <c r="HA243" s="75"/>
      <c r="HB243" s="75"/>
      <c r="HC243" s="75"/>
      <c r="HD243" s="75"/>
    </row>
    <row r="244" spans="1:212" ht="1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FY244" s="76"/>
      <c r="FZ244" s="75"/>
      <c r="GA244" s="75"/>
      <c r="GB244" s="75"/>
      <c r="GC244" s="75"/>
      <c r="GD244" s="75"/>
      <c r="GE244" s="75"/>
      <c r="GF244" s="75"/>
      <c r="GG244" s="75"/>
      <c r="GH244" s="75"/>
      <c r="GI244" s="75"/>
      <c r="GJ244" s="75"/>
      <c r="GK244" s="75"/>
      <c r="GL244" s="75"/>
      <c r="GM244" s="75"/>
      <c r="GN244" s="75"/>
      <c r="GO244" s="75"/>
      <c r="GP244" s="75"/>
      <c r="GQ244" s="75"/>
      <c r="GR244" s="75"/>
      <c r="GS244" s="75"/>
      <c r="GT244" s="75"/>
      <c r="GU244" s="75"/>
      <c r="GV244" s="75"/>
      <c r="GW244" s="75"/>
      <c r="GX244" s="75"/>
      <c r="GY244" s="75"/>
      <c r="GZ244" s="75"/>
      <c r="HA244" s="75"/>
      <c r="HB244" s="75"/>
      <c r="HC244" s="75"/>
      <c r="HD244" s="75"/>
    </row>
    <row r="245" spans="1:212" ht="1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FY245" s="76"/>
      <c r="FZ245" s="75"/>
      <c r="GA245" s="75"/>
      <c r="GB245" s="75"/>
      <c r="GC245" s="75"/>
      <c r="GD245" s="75"/>
      <c r="GE245" s="75"/>
      <c r="GF245" s="75"/>
      <c r="GG245" s="75"/>
      <c r="GH245" s="75"/>
      <c r="GI245" s="75"/>
      <c r="GJ245" s="75"/>
      <c r="GK245" s="75"/>
      <c r="GL245" s="75"/>
      <c r="GM245" s="75"/>
      <c r="GN245" s="75"/>
      <c r="GO245" s="75"/>
      <c r="GP245" s="75"/>
      <c r="GQ245" s="75"/>
      <c r="GR245" s="75"/>
      <c r="GS245" s="75"/>
      <c r="GT245" s="75"/>
      <c r="GU245" s="75"/>
      <c r="GV245" s="75"/>
      <c r="GW245" s="75"/>
      <c r="GX245" s="75"/>
      <c r="GY245" s="75"/>
      <c r="GZ245" s="75"/>
      <c r="HA245" s="75"/>
      <c r="HB245" s="75"/>
      <c r="HC245" s="75"/>
      <c r="HD245" s="75"/>
    </row>
    <row r="246" spans="1:212" ht="1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FY246" s="76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5"/>
      <c r="GK246" s="75"/>
      <c r="GL246" s="75"/>
      <c r="GM246" s="75"/>
      <c r="GN246" s="75"/>
      <c r="GO246" s="75"/>
      <c r="GP246" s="75"/>
      <c r="GQ246" s="75"/>
      <c r="GR246" s="75"/>
      <c r="GS246" s="75"/>
      <c r="GT246" s="75"/>
      <c r="GU246" s="75"/>
      <c r="GV246" s="75"/>
      <c r="GW246" s="75"/>
      <c r="GX246" s="75"/>
      <c r="GY246" s="75"/>
      <c r="GZ246" s="75"/>
      <c r="HA246" s="75"/>
      <c r="HB246" s="75"/>
      <c r="HC246" s="75"/>
      <c r="HD246" s="75"/>
    </row>
    <row r="247" spans="1:212" ht="1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FY247" s="76"/>
      <c r="FZ247" s="75"/>
      <c r="GA247" s="75"/>
      <c r="GB247" s="75"/>
      <c r="GC247" s="75"/>
      <c r="GD247" s="75"/>
      <c r="GE247" s="75"/>
      <c r="GF247" s="75"/>
      <c r="GG247" s="75"/>
      <c r="GH247" s="75"/>
      <c r="GI247" s="75"/>
      <c r="GJ247" s="75"/>
      <c r="GK247" s="75"/>
      <c r="GL247" s="75"/>
      <c r="GM247" s="75"/>
      <c r="GN247" s="75"/>
      <c r="GO247" s="75"/>
      <c r="GP247" s="75"/>
      <c r="GQ247" s="75"/>
      <c r="GR247" s="75"/>
      <c r="GS247" s="75"/>
      <c r="GT247" s="75"/>
      <c r="GU247" s="75"/>
      <c r="GV247" s="75"/>
      <c r="GW247" s="75"/>
      <c r="GX247" s="75"/>
      <c r="GY247" s="75"/>
      <c r="GZ247" s="75"/>
      <c r="HA247" s="75"/>
      <c r="HB247" s="75"/>
      <c r="HC247" s="75"/>
      <c r="HD247" s="75"/>
    </row>
    <row r="248" spans="1:212" ht="1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FY248" s="76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</row>
    <row r="249" spans="1:212" ht="1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FY249" s="76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5"/>
      <c r="GK249" s="75"/>
      <c r="GL249" s="75"/>
      <c r="GM249" s="75"/>
      <c r="GN249" s="75"/>
      <c r="GO249" s="75"/>
      <c r="GP249" s="75"/>
      <c r="GQ249" s="75"/>
      <c r="GR249" s="75"/>
      <c r="GS249" s="75"/>
      <c r="GT249" s="75"/>
      <c r="GU249" s="75"/>
      <c r="GV249" s="75"/>
      <c r="GW249" s="75"/>
      <c r="GX249" s="75"/>
      <c r="GY249" s="75"/>
      <c r="GZ249" s="75"/>
      <c r="HA249" s="75"/>
      <c r="HB249" s="75"/>
      <c r="HC249" s="75"/>
      <c r="HD249" s="75"/>
    </row>
    <row r="250" spans="1:212" ht="1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FY250" s="76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5"/>
      <c r="GK250" s="75"/>
      <c r="GL250" s="75"/>
      <c r="GM250" s="75"/>
      <c r="GN250" s="75"/>
      <c r="GO250" s="75"/>
      <c r="GP250" s="75"/>
      <c r="GQ250" s="75"/>
      <c r="GR250" s="75"/>
      <c r="GS250" s="75"/>
      <c r="GT250" s="75"/>
      <c r="GU250" s="75"/>
      <c r="GV250" s="75"/>
      <c r="GW250" s="75"/>
      <c r="GX250" s="75"/>
      <c r="GY250" s="75"/>
      <c r="GZ250" s="75"/>
      <c r="HA250" s="75"/>
      <c r="HB250" s="75"/>
      <c r="HC250" s="75"/>
      <c r="HD250" s="75"/>
    </row>
    <row r="251" spans="1:212" ht="1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FY251" s="76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</row>
    <row r="252" spans="1:212" ht="1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FY252" s="76"/>
      <c r="FZ252" s="75"/>
      <c r="GA252" s="75"/>
      <c r="GB252" s="75"/>
      <c r="GC252" s="75"/>
      <c r="GD252" s="75"/>
      <c r="GE252" s="75"/>
      <c r="GF252" s="75"/>
      <c r="GG252" s="75"/>
      <c r="GH252" s="75"/>
      <c r="GI252" s="75"/>
      <c r="GJ252" s="75"/>
      <c r="GK252" s="75"/>
      <c r="GL252" s="75"/>
      <c r="GM252" s="75"/>
      <c r="GN252" s="75"/>
      <c r="GO252" s="75"/>
      <c r="GP252" s="75"/>
      <c r="GQ252" s="75"/>
      <c r="GR252" s="75"/>
      <c r="GS252" s="75"/>
      <c r="GT252" s="75"/>
      <c r="GU252" s="75"/>
      <c r="GV252" s="75"/>
      <c r="GW252" s="75"/>
      <c r="GX252" s="75"/>
      <c r="GY252" s="75"/>
      <c r="GZ252" s="75"/>
      <c r="HA252" s="75"/>
      <c r="HB252" s="75"/>
      <c r="HC252" s="75"/>
      <c r="HD252" s="75"/>
    </row>
    <row r="253" spans="1:212" ht="1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FY253" s="76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5"/>
      <c r="GK253" s="75"/>
      <c r="GL253" s="75"/>
      <c r="GM253" s="75"/>
      <c r="GN253" s="75"/>
      <c r="GO253" s="75"/>
      <c r="GP253" s="75"/>
      <c r="GQ253" s="75"/>
      <c r="GR253" s="75"/>
      <c r="GS253" s="75"/>
      <c r="GT253" s="75"/>
      <c r="GU253" s="75"/>
      <c r="GV253" s="75"/>
      <c r="GW253" s="75"/>
      <c r="GX253" s="75"/>
      <c r="GY253" s="75"/>
      <c r="GZ253" s="75"/>
      <c r="HA253" s="75"/>
      <c r="HB253" s="75"/>
      <c r="HC253" s="75"/>
      <c r="HD253" s="75"/>
    </row>
    <row r="254" spans="1:212" ht="1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FY254" s="76"/>
      <c r="FZ254" s="75"/>
      <c r="GA254" s="75"/>
      <c r="GB254" s="75"/>
      <c r="GC254" s="75"/>
      <c r="GD254" s="75"/>
      <c r="GE254" s="75"/>
      <c r="GF254" s="75"/>
      <c r="GG254" s="75"/>
      <c r="GH254" s="75"/>
      <c r="GI254" s="75"/>
      <c r="GJ254" s="75"/>
      <c r="GK254" s="75"/>
      <c r="GL254" s="75"/>
      <c r="GM254" s="75"/>
      <c r="GN254" s="75"/>
      <c r="GO254" s="75"/>
      <c r="GP254" s="75"/>
      <c r="GQ254" s="75"/>
      <c r="GR254" s="75"/>
      <c r="GS254" s="75"/>
      <c r="GT254" s="75"/>
      <c r="GU254" s="75"/>
      <c r="GV254" s="75"/>
      <c r="GW254" s="75"/>
      <c r="GX254" s="75"/>
      <c r="GY254" s="75"/>
      <c r="GZ254" s="75"/>
      <c r="HA254" s="75"/>
      <c r="HB254" s="75"/>
      <c r="HC254" s="75"/>
      <c r="HD254" s="75"/>
    </row>
    <row r="255" spans="1:212" ht="1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FY255" s="76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5"/>
      <c r="GK255" s="75"/>
      <c r="GL255" s="75"/>
      <c r="GM255" s="75"/>
      <c r="GN255" s="75"/>
      <c r="GO255" s="75"/>
      <c r="GP255" s="75"/>
      <c r="GQ255" s="75"/>
      <c r="GR255" s="75"/>
      <c r="GS255" s="75"/>
      <c r="GT255" s="75"/>
      <c r="GU255" s="75"/>
      <c r="GV255" s="75"/>
      <c r="GW255" s="75"/>
      <c r="GX255" s="75"/>
      <c r="GY255" s="75"/>
      <c r="GZ255" s="75"/>
      <c r="HA255" s="75"/>
      <c r="HB255" s="75"/>
      <c r="HC255" s="75"/>
      <c r="HD255" s="75"/>
    </row>
    <row r="256" spans="1:212" ht="1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FY256" s="76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5"/>
      <c r="GK256" s="75"/>
      <c r="GL256" s="75"/>
      <c r="GM256" s="75"/>
      <c r="GN256" s="75"/>
      <c r="GO256" s="75"/>
      <c r="GP256" s="75"/>
      <c r="GQ256" s="75"/>
      <c r="GR256" s="75"/>
      <c r="GS256" s="75"/>
      <c r="GT256" s="75"/>
      <c r="GU256" s="75"/>
      <c r="GV256" s="75"/>
      <c r="GW256" s="75"/>
      <c r="GX256" s="75"/>
      <c r="GY256" s="75"/>
      <c r="GZ256" s="75"/>
      <c r="HA256" s="75"/>
      <c r="HB256" s="75"/>
      <c r="HC256" s="75"/>
      <c r="HD256" s="75"/>
    </row>
    <row r="257" spans="1:212" ht="1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FY257" s="76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5"/>
      <c r="GK257" s="75"/>
      <c r="GL257" s="75"/>
      <c r="GM257" s="75"/>
      <c r="GN257" s="75"/>
      <c r="GO257" s="75"/>
      <c r="GP257" s="75"/>
      <c r="GQ257" s="75"/>
      <c r="GR257" s="75"/>
      <c r="GS257" s="75"/>
      <c r="GT257" s="75"/>
      <c r="GU257" s="75"/>
      <c r="GV257" s="75"/>
      <c r="GW257" s="75"/>
      <c r="GX257" s="75"/>
      <c r="GY257" s="75"/>
      <c r="GZ257" s="75"/>
      <c r="HA257" s="75"/>
      <c r="HB257" s="75"/>
      <c r="HC257" s="75"/>
      <c r="HD257" s="75"/>
    </row>
    <row r="258" spans="1:212" ht="1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FY258" s="76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5"/>
      <c r="GK258" s="75"/>
      <c r="GL258" s="75"/>
      <c r="GM258" s="75"/>
      <c r="GN258" s="75"/>
      <c r="GO258" s="75"/>
      <c r="GP258" s="75"/>
      <c r="GQ258" s="75"/>
      <c r="GR258" s="75"/>
      <c r="GS258" s="75"/>
      <c r="GT258" s="75"/>
      <c r="GU258" s="75"/>
      <c r="GV258" s="75"/>
      <c r="GW258" s="75"/>
      <c r="GX258" s="75"/>
      <c r="GY258" s="75"/>
      <c r="GZ258" s="75"/>
      <c r="HA258" s="75"/>
      <c r="HB258" s="75"/>
      <c r="HC258" s="75"/>
      <c r="HD258" s="75"/>
    </row>
    <row r="259" spans="1:212" ht="1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FY259" s="76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5"/>
      <c r="GK259" s="75"/>
      <c r="GL259" s="75"/>
      <c r="GM259" s="75"/>
      <c r="GN259" s="75"/>
      <c r="GO259" s="75"/>
      <c r="GP259" s="75"/>
      <c r="GQ259" s="75"/>
      <c r="GR259" s="75"/>
      <c r="GS259" s="75"/>
      <c r="GT259" s="75"/>
      <c r="GU259" s="75"/>
      <c r="GV259" s="75"/>
      <c r="GW259" s="75"/>
      <c r="GX259" s="75"/>
      <c r="GY259" s="75"/>
      <c r="GZ259" s="75"/>
      <c r="HA259" s="75"/>
      <c r="HB259" s="75"/>
      <c r="HC259" s="75"/>
      <c r="HD259" s="75"/>
    </row>
    <row r="260" spans="1:212" ht="1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FY260" s="76"/>
      <c r="FZ260" s="75"/>
      <c r="GA260" s="75"/>
      <c r="GB260" s="75"/>
      <c r="GC260" s="75"/>
      <c r="GD260" s="75"/>
      <c r="GE260" s="75"/>
      <c r="GF260" s="75"/>
      <c r="GG260" s="75"/>
      <c r="GH260" s="75"/>
      <c r="GI260" s="75"/>
      <c r="GJ260" s="75"/>
      <c r="GK260" s="75"/>
      <c r="GL260" s="75"/>
      <c r="GM260" s="75"/>
      <c r="GN260" s="75"/>
      <c r="GO260" s="75"/>
      <c r="GP260" s="75"/>
      <c r="GQ260" s="75"/>
      <c r="GR260" s="75"/>
      <c r="GS260" s="75"/>
      <c r="GT260" s="75"/>
      <c r="GU260" s="75"/>
      <c r="GV260" s="75"/>
      <c r="GW260" s="75"/>
      <c r="GX260" s="75"/>
      <c r="GY260" s="75"/>
      <c r="GZ260" s="75"/>
      <c r="HA260" s="75"/>
      <c r="HB260" s="75"/>
      <c r="HC260" s="75"/>
      <c r="HD260" s="75"/>
    </row>
    <row r="261" spans="1:212" ht="1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FY261" s="76"/>
      <c r="FZ261" s="75"/>
      <c r="GA261" s="75"/>
      <c r="GB261" s="75"/>
      <c r="GC261" s="75"/>
      <c r="GD261" s="75"/>
      <c r="GE261" s="75"/>
      <c r="GF261" s="75"/>
      <c r="GG261" s="75"/>
      <c r="GH261" s="75"/>
      <c r="GI261" s="75"/>
      <c r="GJ261" s="75"/>
      <c r="GK261" s="75"/>
      <c r="GL261" s="75"/>
      <c r="GM261" s="75"/>
      <c r="GN261" s="75"/>
      <c r="GO261" s="75"/>
      <c r="GP261" s="75"/>
      <c r="GQ261" s="75"/>
      <c r="GR261" s="75"/>
      <c r="GS261" s="75"/>
      <c r="GT261" s="75"/>
      <c r="GU261" s="75"/>
      <c r="GV261" s="75"/>
      <c r="GW261" s="75"/>
      <c r="GX261" s="75"/>
      <c r="GY261" s="75"/>
      <c r="GZ261" s="75"/>
      <c r="HA261" s="75"/>
      <c r="HB261" s="75"/>
      <c r="HC261" s="75"/>
      <c r="HD261" s="75"/>
    </row>
    <row r="262" spans="1:212" ht="1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FY262" s="76"/>
      <c r="FZ262" s="75"/>
      <c r="GA262" s="75"/>
      <c r="GB262" s="75"/>
      <c r="GC262" s="75"/>
      <c r="GD262" s="75"/>
      <c r="GE262" s="75"/>
      <c r="GF262" s="75"/>
      <c r="GG262" s="75"/>
      <c r="GH262" s="75"/>
      <c r="GI262" s="75"/>
      <c r="GJ262" s="75"/>
      <c r="GK262" s="75"/>
      <c r="GL262" s="75"/>
      <c r="GM262" s="75"/>
      <c r="GN262" s="75"/>
      <c r="GO262" s="75"/>
      <c r="GP262" s="75"/>
      <c r="GQ262" s="75"/>
      <c r="GR262" s="75"/>
      <c r="GS262" s="75"/>
      <c r="GT262" s="75"/>
      <c r="GU262" s="75"/>
      <c r="GV262" s="75"/>
      <c r="GW262" s="75"/>
      <c r="GX262" s="75"/>
      <c r="GY262" s="75"/>
      <c r="GZ262" s="75"/>
      <c r="HA262" s="75"/>
      <c r="HB262" s="75"/>
      <c r="HC262" s="75"/>
      <c r="HD262" s="75"/>
    </row>
    <row r="263" spans="1:212" ht="1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FY263" s="76"/>
      <c r="FZ263" s="75"/>
      <c r="GA263" s="75"/>
      <c r="GB263" s="75"/>
      <c r="GC263" s="75"/>
      <c r="GD263" s="75"/>
      <c r="GE263" s="75"/>
      <c r="GF263" s="75"/>
      <c r="GG263" s="75"/>
      <c r="GH263" s="75"/>
      <c r="GI263" s="75"/>
      <c r="GJ263" s="75"/>
      <c r="GK263" s="75"/>
      <c r="GL263" s="75"/>
      <c r="GM263" s="75"/>
      <c r="GN263" s="75"/>
      <c r="GO263" s="75"/>
      <c r="GP263" s="75"/>
      <c r="GQ263" s="75"/>
      <c r="GR263" s="75"/>
      <c r="GS263" s="75"/>
      <c r="GT263" s="75"/>
      <c r="GU263" s="75"/>
      <c r="GV263" s="75"/>
      <c r="GW263" s="75"/>
      <c r="GX263" s="75"/>
      <c r="GY263" s="75"/>
      <c r="GZ263" s="75"/>
      <c r="HA263" s="75"/>
      <c r="HB263" s="75"/>
      <c r="HC263" s="75"/>
      <c r="HD263" s="75"/>
    </row>
    <row r="264" spans="1:212" ht="1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FY264" s="76"/>
      <c r="FZ264" s="75"/>
      <c r="GA264" s="75"/>
      <c r="GB264" s="75"/>
      <c r="GC264" s="75"/>
      <c r="GD264" s="75"/>
      <c r="GE264" s="75"/>
      <c r="GF264" s="75"/>
      <c r="GG264" s="75"/>
      <c r="GH264" s="75"/>
      <c r="GI264" s="75"/>
      <c r="GJ264" s="75"/>
      <c r="GK264" s="75"/>
      <c r="GL264" s="75"/>
      <c r="GM264" s="75"/>
      <c r="GN264" s="75"/>
      <c r="GO264" s="75"/>
      <c r="GP264" s="75"/>
      <c r="GQ264" s="75"/>
      <c r="GR264" s="75"/>
      <c r="GS264" s="75"/>
      <c r="GT264" s="75"/>
      <c r="GU264" s="75"/>
      <c r="GV264" s="75"/>
      <c r="GW264" s="75"/>
      <c r="GX264" s="75"/>
      <c r="GY264" s="75"/>
      <c r="GZ264" s="75"/>
      <c r="HA264" s="75"/>
      <c r="HB264" s="75"/>
      <c r="HC264" s="75"/>
      <c r="HD264" s="75"/>
    </row>
    <row r="265" spans="1:212" ht="1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FY265" s="76"/>
      <c r="FZ265" s="75"/>
      <c r="GA265" s="75"/>
      <c r="GB265" s="75"/>
      <c r="GC265" s="75"/>
      <c r="GD265" s="75"/>
      <c r="GE265" s="75"/>
      <c r="GF265" s="75"/>
      <c r="GG265" s="75"/>
      <c r="GH265" s="75"/>
      <c r="GI265" s="75"/>
      <c r="GJ265" s="75"/>
      <c r="GK265" s="75"/>
      <c r="GL265" s="75"/>
      <c r="GM265" s="75"/>
      <c r="GN265" s="75"/>
      <c r="GO265" s="75"/>
      <c r="GP265" s="75"/>
      <c r="GQ265" s="75"/>
      <c r="GR265" s="75"/>
      <c r="GS265" s="75"/>
      <c r="GT265" s="75"/>
      <c r="GU265" s="75"/>
      <c r="GV265" s="75"/>
      <c r="GW265" s="75"/>
      <c r="GX265" s="75"/>
      <c r="GY265" s="75"/>
      <c r="GZ265" s="75"/>
      <c r="HA265" s="75"/>
      <c r="HB265" s="75"/>
      <c r="HC265" s="75"/>
      <c r="HD265" s="75"/>
    </row>
    <row r="266" spans="1:212" ht="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FY266" s="76"/>
      <c r="FZ266" s="75"/>
      <c r="GA266" s="75"/>
      <c r="GB266" s="75"/>
      <c r="GC266" s="75"/>
      <c r="GD266" s="75"/>
      <c r="GE266" s="75"/>
      <c r="GF266" s="75"/>
      <c r="GG266" s="75"/>
      <c r="GH266" s="75"/>
      <c r="GI266" s="75"/>
      <c r="GJ266" s="75"/>
      <c r="GK266" s="75"/>
      <c r="GL266" s="75"/>
      <c r="GM266" s="75"/>
      <c r="GN266" s="75"/>
      <c r="GO266" s="75"/>
      <c r="GP266" s="75"/>
      <c r="GQ266" s="75"/>
      <c r="GR266" s="75"/>
      <c r="GS266" s="75"/>
      <c r="GT266" s="75"/>
      <c r="GU266" s="75"/>
      <c r="GV266" s="75"/>
      <c r="GW266" s="75"/>
      <c r="GX266" s="75"/>
      <c r="GY266" s="75"/>
      <c r="GZ266" s="75"/>
      <c r="HA266" s="75"/>
      <c r="HB266" s="75"/>
      <c r="HC266" s="75"/>
      <c r="HD266" s="75"/>
    </row>
    <row r="267" spans="1:212" ht="1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FY267" s="76"/>
      <c r="FZ267" s="75"/>
      <c r="GA267" s="75"/>
      <c r="GB267" s="75"/>
      <c r="GC267" s="75"/>
      <c r="GD267" s="75"/>
      <c r="GE267" s="75"/>
      <c r="GF267" s="75"/>
      <c r="GG267" s="75"/>
      <c r="GH267" s="75"/>
      <c r="GI267" s="75"/>
      <c r="GJ267" s="75"/>
      <c r="GK267" s="75"/>
      <c r="GL267" s="75"/>
      <c r="GM267" s="75"/>
      <c r="GN267" s="75"/>
      <c r="GO267" s="75"/>
      <c r="GP267" s="75"/>
      <c r="GQ267" s="75"/>
      <c r="GR267" s="75"/>
      <c r="GS267" s="75"/>
      <c r="GT267" s="75"/>
      <c r="GU267" s="75"/>
      <c r="GV267" s="75"/>
      <c r="GW267" s="75"/>
      <c r="GX267" s="75"/>
      <c r="GY267" s="75"/>
      <c r="GZ267" s="75"/>
      <c r="HA267" s="75"/>
      <c r="HB267" s="75"/>
      <c r="HC267" s="75"/>
      <c r="HD267" s="75"/>
    </row>
    <row r="268" spans="1:212" ht="1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FY268" s="76"/>
      <c r="FZ268" s="75"/>
      <c r="GA268" s="75"/>
      <c r="GB268" s="75"/>
      <c r="GC268" s="75"/>
      <c r="GD268" s="75"/>
      <c r="GE268" s="75"/>
      <c r="GF268" s="75"/>
      <c r="GG268" s="75"/>
      <c r="GH268" s="75"/>
      <c r="GI268" s="75"/>
      <c r="GJ268" s="75"/>
      <c r="GK268" s="75"/>
      <c r="GL268" s="75"/>
      <c r="GM268" s="75"/>
      <c r="GN268" s="75"/>
      <c r="GO268" s="75"/>
      <c r="GP268" s="75"/>
      <c r="GQ268" s="75"/>
      <c r="GR268" s="75"/>
      <c r="GS268" s="75"/>
      <c r="GT268" s="75"/>
      <c r="GU268" s="75"/>
      <c r="GV268" s="75"/>
      <c r="GW268" s="75"/>
      <c r="GX268" s="75"/>
      <c r="GY268" s="75"/>
      <c r="GZ268" s="75"/>
      <c r="HA268" s="75"/>
      <c r="HB268" s="75"/>
      <c r="HC268" s="75"/>
      <c r="HD268" s="75"/>
    </row>
    <row r="269" spans="1:212" ht="1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FY269" s="76"/>
      <c r="FZ269" s="75"/>
      <c r="GA269" s="75"/>
      <c r="GB269" s="75"/>
      <c r="GC269" s="75"/>
      <c r="GD269" s="75"/>
      <c r="GE269" s="75"/>
      <c r="GF269" s="75"/>
      <c r="GG269" s="75"/>
      <c r="GH269" s="75"/>
      <c r="GI269" s="75"/>
      <c r="GJ269" s="75"/>
      <c r="GK269" s="75"/>
      <c r="GL269" s="75"/>
      <c r="GM269" s="75"/>
      <c r="GN269" s="75"/>
      <c r="GO269" s="75"/>
      <c r="GP269" s="75"/>
      <c r="GQ269" s="75"/>
      <c r="GR269" s="75"/>
      <c r="GS269" s="75"/>
      <c r="GT269" s="75"/>
      <c r="GU269" s="75"/>
      <c r="GV269" s="75"/>
      <c r="GW269" s="75"/>
      <c r="GX269" s="75"/>
      <c r="GY269" s="75"/>
      <c r="GZ269" s="75"/>
      <c r="HA269" s="75"/>
      <c r="HB269" s="75"/>
      <c r="HC269" s="75"/>
      <c r="HD269" s="75"/>
    </row>
    <row r="270" spans="1:212" ht="1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FY270" s="76"/>
      <c r="FZ270" s="75"/>
      <c r="GA270" s="75"/>
      <c r="GB270" s="75"/>
      <c r="GC270" s="75"/>
      <c r="GD270" s="75"/>
      <c r="GE270" s="75"/>
      <c r="GF270" s="75"/>
      <c r="GG270" s="75"/>
      <c r="GH270" s="75"/>
      <c r="GI270" s="75"/>
      <c r="GJ270" s="75"/>
      <c r="GK270" s="75"/>
      <c r="GL270" s="75"/>
      <c r="GM270" s="75"/>
      <c r="GN270" s="75"/>
      <c r="GO270" s="75"/>
      <c r="GP270" s="75"/>
      <c r="GQ270" s="75"/>
      <c r="GR270" s="75"/>
      <c r="GS270" s="75"/>
      <c r="GT270" s="75"/>
      <c r="GU270" s="75"/>
      <c r="GV270" s="75"/>
      <c r="GW270" s="75"/>
      <c r="GX270" s="75"/>
      <c r="GY270" s="75"/>
      <c r="GZ270" s="75"/>
      <c r="HA270" s="75"/>
      <c r="HB270" s="75"/>
      <c r="HC270" s="75"/>
      <c r="HD270" s="75"/>
    </row>
    <row r="271" spans="1:212" ht="1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FY271" s="76"/>
      <c r="FZ271" s="75"/>
      <c r="GA271" s="75"/>
      <c r="GB271" s="75"/>
      <c r="GC271" s="75"/>
      <c r="GD271" s="75"/>
      <c r="GE271" s="75"/>
      <c r="GF271" s="75"/>
      <c r="GG271" s="75"/>
      <c r="GH271" s="75"/>
      <c r="GI271" s="75"/>
      <c r="GJ271" s="75"/>
      <c r="GK271" s="75"/>
      <c r="GL271" s="75"/>
      <c r="GM271" s="75"/>
      <c r="GN271" s="75"/>
      <c r="GO271" s="75"/>
      <c r="GP271" s="75"/>
      <c r="GQ271" s="75"/>
      <c r="GR271" s="75"/>
      <c r="GS271" s="75"/>
      <c r="GT271" s="75"/>
      <c r="GU271" s="75"/>
      <c r="GV271" s="75"/>
      <c r="GW271" s="75"/>
      <c r="GX271" s="75"/>
      <c r="GY271" s="75"/>
      <c r="GZ271" s="75"/>
      <c r="HA271" s="75"/>
      <c r="HB271" s="75"/>
      <c r="HC271" s="75"/>
      <c r="HD271" s="75"/>
    </row>
    <row r="272" spans="1:212" ht="1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FY272" s="76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5"/>
      <c r="GK272" s="75"/>
      <c r="GL272" s="75"/>
      <c r="GM272" s="75"/>
      <c r="GN272" s="75"/>
      <c r="GO272" s="75"/>
      <c r="GP272" s="75"/>
      <c r="GQ272" s="75"/>
      <c r="GR272" s="75"/>
      <c r="GS272" s="75"/>
      <c r="GT272" s="75"/>
      <c r="GU272" s="75"/>
      <c r="GV272" s="75"/>
      <c r="GW272" s="75"/>
      <c r="GX272" s="75"/>
      <c r="GY272" s="75"/>
      <c r="GZ272" s="75"/>
      <c r="HA272" s="75"/>
      <c r="HB272" s="75"/>
      <c r="HC272" s="75"/>
      <c r="HD272" s="75"/>
    </row>
    <row r="273" spans="1:212" ht="1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FY273" s="76"/>
      <c r="FZ273" s="75"/>
      <c r="GA273" s="75"/>
      <c r="GB273" s="75"/>
      <c r="GC273" s="75"/>
      <c r="GD273" s="75"/>
      <c r="GE273" s="75"/>
      <c r="GF273" s="75"/>
      <c r="GG273" s="75"/>
      <c r="GH273" s="75"/>
      <c r="GI273" s="75"/>
      <c r="GJ273" s="75"/>
      <c r="GK273" s="75"/>
      <c r="GL273" s="75"/>
      <c r="GM273" s="75"/>
      <c r="GN273" s="75"/>
      <c r="GO273" s="75"/>
      <c r="GP273" s="75"/>
      <c r="GQ273" s="75"/>
      <c r="GR273" s="75"/>
      <c r="GS273" s="75"/>
      <c r="GT273" s="75"/>
      <c r="GU273" s="75"/>
      <c r="GV273" s="75"/>
      <c r="GW273" s="75"/>
      <c r="GX273" s="75"/>
      <c r="GY273" s="75"/>
      <c r="GZ273" s="75"/>
      <c r="HA273" s="75"/>
      <c r="HB273" s="75"/>
      <c r="HC273" s="75"/>
      <c r="HD273" s="75"/>
    </row>
    <row r="274" spans="1:212" ht="1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FY274" s="76"/>
      <c r="FZ274" s="75"/>
      <c r="GA274" s="75"/>
      <c r="GB274" s="75"/>
      <c r="GC274" s="75"/>
      <c r="GD274" s="75"/>
      <c r="GE274" s="75"/>
      <c r="GF274" s="75"/>
      <c r="GG274" s="75"/>
      <c r="GH274" s="75"/>
      <c r="GI274" s="75"/>
      <c r="GJ274" s="75"/>
      <c r="GK274" s="75"/>
      <c r="GL274" s="75"/>
      <c r="GM274" s="75"/>
      <c r="GN274" s="75"/>
      <c r="GO274" s="75"/>
      <c r="GP274" s="75"/>
      <c r="GQ274" s="75"/>
      <c r="GR274" s="75"/>
      <c r="GS274" s="75"/>
      <c r="GT274" s="75"/>
      <c r="GU274" s="75"/>
      <c r="GV274" s="75"/>
      <c r="GW274" s="75"/>
      <c r="GX274" s="75"/>
      <c r="GY274" s="75"/>
      <c r="GZ274" s="75"/>
      <c r="HA274" s="75"/>
      <c r="HB274" s="75"/>
      <c r="HC274" s="75"/>
      <c r="HD274" s="75"/>
    </row>
    <row r="275" spans="1:212" ht="1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FY275" s="76"/>
      <c r="FZ275" s="75"/>
      <c r="GA275" s="75"/>
      <c r="GB275" s="75"/>
      <c r="GC275" s="75"/>
      <c r="GD275" s="75"/>
      <c r="GE275" s="75"/>
      <c r="GF275" s="75"/>
      <c r="GG275" s="75"/>
      <c r="GH275" s="75"/>
      <c r="GI275" s="75"/>
      <c r="GJ275" s="75"/>
      <c r="GK275" s="75"/>
      <c r="GL275" s="75"/>
      <c r="GM275" s="75"/>
      <c r="GN275" s="75"/>
      <c r="GO275" s="75"/>
      <c r="GP275" s="75"/>
      <c r="GQ275" s="75"/>
      <c r="GR275" s="75"/>
      <c r="GS275" s="75"/>
      <c r="GT275" s="75"/>
      <c r="GU275" s="75"/>
      <c r="GV275" s="75"/>
      <c r="GW275" s="75"/>
      <c r="GX275" s="75"/>
      <c r="GY275" s="75"/>
      <c r="GZ275" s="75"/>
      <c r="HA275" s="75"/>
      <c r="HB275" s="75"/>
      <c r="HC275" s="75"/>
      <c r="HD275" s="75"/>
    </row>
    <row r="276" spans="1:212" ht="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FY276" s="76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5"/>
      <c r="GK276" s="75"/>
      <c r="GL276" s="75"/>
      <c r="GM276" s="75"/>
      <c r="GN276" s="75"/>
      <c r="GO276" s="75"/>
      <c r="GP276" s="75"/>
      <c r="GQ276" s="75"/>
      <c r="GR276" s="75"/>
      <c r="GS276" s="75"/>
      <c r="GT276" s="75"/>
      <c r="GU276" s="75"/>
      <c r="GV276" s="75"/>
      <c r="GW276" s="75"/>
      <c r="GX276" s="75"/>
      <c r="GY276" s="75"/>
      <c r="GZ276" s="75"/>
      <c r="HA276" s="75"/>
      <c r="HB276" s="75"/>
      <c r="HC276" s="75"/>
      <c r="HD276" s="75"/>
    </row>
    <row r="277" spans="1:212" ht="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FY277" s="76"/>
      <c r="FZ277" s="75"/>
      <c r="GA277" s="75"/>
      <c r="GB277" s="75"/>
      <c r="GC277" s="75"/>
      <c r="GD277" s="75"/>
      <c r="GE277" s="75"/>
      <c r="GF277" s="75"/>
      <c r="GG277" s="75"/>
      <c r="GH277" s="75"/>
      <c r="GI277" s="75"/>
      <c r="GJ277" s="75"/>
      <c r="GK277" s="75"/>
      <c r="GL277" s="75"/>
      <c r="GM277" s="75"/>
      <c r="GN277" s="75"/>
      <c r="GO277" s="75"/>
      <c r="GP277" s="75"/>
      <c r="GQ277" s="75"/>
      <c r="GR277" s="75"/>
      <c r="GS277" s="75"/>
      <c r="GT277" s="75"/>
      <c r="GU277" s="75"/>
      <c r="GV277" s="75"/>
      <c r="GW277" s="75"/>
      <c r="GX277" s="75"/>
      <c r="GY277" s="75"/>
      <c r="GZ277" s="75"/>
      <c r="HA277" s="75"/>
      <c r="HB277" s="75"/>
      <c r="HC277" s="75"/>
      <c r="HD277" s="75"/>
    </row>
    <row r="278" spans="1:212" ht="1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FY278" s="76"/>
      <c r="FZ278" s="75"/>
      <c r="GA278" s="75"/>
      <c r="GB278" s="75"/>
      <c r="GC278" s="75"/>
      <c r="GD278" s="75"/>
      <c r="GE278" s="75"/>
      <c r="GF278" s="75"/>
      <c r="GG278" s="75"/>
      <c r="GH278" s="75"/>
      <c r="GI278" s="75"/>
      <c r="GJ278" s="75"/>
      <c r="GK278" s="75"/>
      <c r="GL278" s="75"/>
      <c r="GM278" s="75"/>
      <c r="GN278" s="75"/>
      <c r="GO278" s="75"/>
      <c r="GP278" s="75"/>
      <c r="GQ278" s="75"/>
      <c r="GR278" s="75"/>
      <c r="GS278" s="75"/>
      <c r="GT278" s="75"/>
      <c r="GU278" s="75"/>
      <c r="GV278" s="75"/>
      <c r="GW278" s="75"/>
      <c r="GX278" s="75"/>
      <c r="GY278" s="75"/>
      <c r="GZ278" s="75"/>
      <c r="HA278" s="75"/>
      <c r="HB278" s="75"/>
      <c r="HC278" s="75"/>
      <c r="HD278" s="75"/>
    </row>
    <row r="279" spans="1:212" ht="1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FY279" s="76"/>
      <c r="FZ279" s="75"/>
      <c r="GA279" s="75"/>
      <c r="GB279" s="75"/>
      <c r="GC279" s="75"/>
      <c r="GD279" s="75"/>
      <c r="GE279" s="75"/>
      <c r="GF279" s="75"/>
      <c r="GG279" s="75"/>
      <c r="GH279" s="75"/>
      <c r="GI279" s="75"/>
      <c r="GJ279" s="75"/>
      <c r="GK279" s="75"/>
      <c r="GL279" s="75"/>
      <c r="GM279" s="75"/>
      <c r="GN279" s="75"/>
      <c r="GO279" s="75"/>
      <c r="GP279" s="75"/>
      <c r="GQ279" s="75"/>
      <c r="GR279" s="75"/>
      <c r="GS279" s="75"/>
      <c r="GT279" s="75"/>
      <c r="GU279" s="75"/>
      <c r="GV279" s="75"/>
      <c r="GW279" s="75"/>
      <c r="GX279" s="75"/>
      <c r="GY279" s="75"/>
      <c r="GZ279" s="75"/>
      <c r="HA279" s="75"/>
      <c r="HB279" s="75"/>
      <c r="HC279" s="75"/>
      <c r="HD279" s="75"/>
    </row>
    <row r="280" spans="1:212" ht="1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FY280" s="76"/>
      <c r="FZ280" s="75"/>
      <c r="GA280" s="75"/>
      <c r="GB280" s="75"/>
      <c r="GC280" s="75"/>
      <c r="GD280" s="75"/>
      <c r="GE280" s="75"/>
      <c r="GF280" s="75"/>
      <c r="GG280" s="75"/>
      <c r="GH280" s="75"/>
      <c r="GI280" s="75"/>
      <c r="GJ280" s="75"/>
      <c r="GK280" s="75"/>
      <c r="GL280" s="75"/>
      <c r="GM280" s="75"/>
      <c r="GN280" s="75"/>
      <c r="GO280" s="75"/>
      <c r="GP280" s="75"/>
      <c r="GQ280" s="75"/>
      <c r="GR280" s="75"/>
      <c r="GS280" s="75"/>
      <c r="GT280" s="75"/>
      <c r="GU280" s="75"/>
      <c r="GV280" s="75"/>
      <c r="GW280" s="75"/>
      <c r="GX280" s="75"/>
      <c r="GY280" s="75"/>
      <c r="GZ280" s="75"/>
      <c r="HA280" s="75"/>
      <c r="HB280" s="75"/>
      <c r="HC280" s="75"/>
      <c r="HD280" s="75"/>
    </row>
    <row r="281" spans="1:212" ht="1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FY281" s="76"/>
      <c r="FZ281" s="75"/>
      <c r="GA281" s="75"/>
      <c r="GB281" s="75"/>
      <c r="GC281" s="75"/>
      <c r="GD281" s="75"/>
      <c r="GE281" s="75"/>
      <c r="GF281" s="75"/>
      <c r="GG281" s="75"/>
      <c r="GH281" s="75"/>
      <c r="GI281" s="75"/>
      <c r="GJ281" s="75"/>
      <c r="GK281" s="75"/>
      <c r="GL281" s="75"/>
      <c r="GM281" s="75"/>
      <c r="GN281" s="75"/>
      <c r="GO281" s="75"/>
      <c r="GP281" s="75"/>
      <c r="GQ281" s="75"/>
      <c r="GR281" s="75"/>
      <c r="GS281" s="75"/>
      <c r="GT281" s="75"/>
      <c r="GU281" s="75"/>
      <c r="GV281" s="75"/>
      <c r="GW281" s="75"/>
      <c r="GX281" s="75"/>
      <c r="GY281" s="75"/>
      <c r="GZ281" s="75"/>
      <c r="HA281" s="75"/>
      <c r="HB281" s="75"/>
      <c r="HC281" s="75"/>
      <c r="HD281" s="75"/>
    </row>
    <row r="282" spans="1:212" ht="1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FY282" s="76"/>
      <c r="FZ282" s="75"/>
      <c r="GA282" s="75"/>
      <c r="GB282" s="75"/>
      <c r="GC282" s="75"/>
      <c r="GD282" s="75"/>
      <c r="GE282" s="75"/>
      <c r="GF282" s="75"/>
      <c r="GG282" s="75"/>
      <c r="GH282" s="75"/>
      <c r="GI282" s="75"/>
      <c r="GJ282" s="75"/>
      <c r="GK282" s="75"/>
      <c r="GL282" s="75"/>
      <c r="GM282" s="75"/>
      <c r="GN282" s="75"/>
      <c r="GO282" s="75"/>
      <c r="GP282" s="75"/>
      <c r="GQ282" s="75"/>
      <c r="GR282" s="75"/>
      <c r="GS282" s="75"/>
      <c r="GT282" s="75"/>
      <c r="GU282" s="75"/>
      <c r="GV282" s="75"/>
      <c r="GW282" s="75"/>
      <c r="GX282" s="75"/>
      <c r="GY282" s="75"/>
      <c r="GZ282" s="75"/>
      <c r="HA282" s="75"/>
      <c r="HB282" s="75"/>
      <c r="HC282" s="75"/>
      <c r="HD282" s="75"/>
    </row>
    <row r="283" spans="1:212" ht="1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FY283" s="76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5"/>
      <c r="GK283" s="75"/>
      <c r="GL283" s="75"/>
      <c r="GM283" s="75"/>
      <c r="GN283" s="75"/>
      <c r="GO283" s="75"/>
      <c r="GP283" s="75"/>
      <c r="GQ283" s="75"/>
      <c r="GR283" s="75"/>
      <c r="GS283" s="75"/>
      <c r="GT283" s="75"/>
      <c r="GU283" s="75"/>
      <c r="GV283" s="75"/>
      <c r="GW283" s="75"/>
      <c r="GX283" s="75"/>
      <c r="GY283" s="75"/>
      <c r="GZ283" s="75"/>
      <c r="HA283" s="75"/>
      <c r="HB283" s="75"/>
      <c r="HC283" s="75"/>
      <c r="HD283" s="75"/>
    </row>
    <row r="284" spans="1:212" ht="1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FY284" s="76"/>
      <c r="FZ284" s="75"/>
      <c r="GA284" s="75"/>
      <c r="GB284" s="75"/>
      <c r="GC284" s="75"/>
      <c r="GD284" s="75"/>
      <c r="GE284" s="75"/>
      <c r="GF284" s="75"/>
      <c r="GG284" s="75"/>
      <c r="GH284" s="75"/>
      <c r="GI284" s="75"/>
      <c r="GJ284" s="75"/>
      <c r="GK284" s="75"/>
      <c r="GL284" s="75"/>
      <c r="GM284" s="75"/>
      <c r="GN284" s="75"/>
      <c r="GO284" s="75"/>
      <c r="GP284" s="75"/>
      <c r="GQ284" s="75"/>
      <c r="GR284" s="75"/>
      <c r="GS284" s="75"/>
      <c r="GT284" s="75"/>
      <c r="GU284" s="75"/>
      <c r="GV284" s="75"/>
      <c r="GW284" s="75"/>
      <c r="GX284" s="75"/>
      <c r="GY284" s="75"/>
      <c r="GZ284" s="75"/>
      <c r="HA284" s="75"/>
      <c r="HB284" s="75"/>
      <c r="HC284" s="75"/>
      <c r="HD284" s="75"/>
    </row>
    <row r="285" spans="1:212" ht="1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FY285" s="76"/>
      <c r="FZ285" s="75"/>
      <c r="GA285" s="75"/>
      <c r="GB285" s="75"/>
      <c r="GC285" s="75"/>
      <c r="GD285" s="75"/>
      <c r="GE285" s="75"/>
      <c r="GF285" s="75"/>
      <c r="GG285" s="75"/>
      <c r="GH285" s="75"/>
      <c r="GI285" s="75"/>
      <c r="GJ285" s="75"/>
      <c r="GK285" s="75"/>
      <c r="GL285" s="75"/>
      <c r="GM285" s="75"/>
      <c r="GN285" s="75"/>
      <c r="GO285" s="75"/>
      <c r="GP285" s="75"/>
      <c r="GQ285" s="75"/>
      <c r="GR285" s="75"/>
      <c r="GS285" s="75"/>
      <c r="GT285" s="75"/>
      <c r="GU285" s="75"/>
      <c r="GV285" s="75"/>
      <c r="GW285" s="75"/>
      <c r="GX285" s="75"/>
      <c r="GY285" s="75"/>
      <c r="GZ285" s="75"/>
      <c r="HA285" s="75"/>
      <c r="HB285" s="75"/>
      <c r="HC285" s="75"/>
      <c r="HD285" s="75"/>
    </row>
    <row r="286" spans="1:212" ht="1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FY286" s="76"/>
      <c r="FZ286" s="75"/>
      <c r="GA286" s="75"/>
      <c r="GB286" s="75"/>
      <c r="GC286" s="75"/>
      <c r="GD286" s="75"/>
      <c r="GE286" s="75"/>
      <c r="GF286" s="75"/>
      <c r="GG286" s="75"/>
      <c r="GH286" s="75"/>
      <c r="GI286" s="75"/>
      <c r="GJ286" s="75"/>
      <c r="GK286" s="75"/>
      <c r="GL286" s="75"/>
      <c r="GM286" s="75"/>
      <c r="GN286" s="75"/>
      <c r="GO286" s="75"/>
      <c r="GP286" s="75"/>
      <c r="GQ286" s="75"/>
      <c r="GR286" s="75"/>
      <c r="GS286" s="75"/>
      <c r="GT286" s="75"/>
      <c r="GU286" s="75"/>
      <c r="GV286" s="75"/>
      <c r="GW286" s="75"/>
      <c r="GX286" s="75"/>
      <c r="GY286" s="75"/>
      <c r="GZ286" s="75"/>
      <c r="HA286" s="75"/>
      <c r="HB286" s="75"/>
      <c r="HC286" s="75"/>
      <c r="HD286" s="75"/>
    </row>
    <row r="287" spans="1:212" ht="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FY287" s="76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5"/>
      <c r="GK287" s="75"/>
      <c r="GL287" s="75"/>
      <c r="GM287" s="75"/>
      <c r="GN287" s="75"/>
      <c r="GO287" s="75"/>
      <c r="GP287" s="75"/>
      <c r="GQ287" s="75"/>
      <c r="GR287" s="75"/>
      <c r="GS287" s="75"/>
      <c r="GT287" s="75"/>
      <c r="GU287" s="75"/>
      <c r="GV287" s="75"/>
      <c r="GW287" s="75"/>
      <c r="GX287" s="75"/>
      <c r="GY287" s="75"/>
      <c r="GZ287" s="75"/>
      <c r="HA287" s="75"/>
      <c r="HB287" s="75"/>
      <c r="HC287" s="75"/>
      <c r="HD287" s="75"/>
    </row>
    <row r="288" spans="1:212" ht="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FY288" s="76"/>
      <c r="FZ288" s="75"/>
      <c r="GA288" s="75"/>
      <c r="GB288" s="75"/>
      <c r="GC288" s="75"/>
      <c r="GD288" s="75"/>
      <c r="GE288" s="75"/>
      <c r="GF288" s="75"/>
      <c r="GG288" s="75"/>
      <c r="GH288" s="75"/>
      <c r="GI288" s="75"/>
      <c r="GJ288" s="75"/>
      <c r="GK288" s="75"/>
      <c r="GL288" s="75"/>
      <c r="GM288" s="75"/>
      <c r="GN288" s="75"/>
      <c r="GO288" s="75"/>
      <c r="GP288" s="75"/>
      <c r="GQ288" s="75"/>
      <c r="GR288" s="75"/>
      <c r="GS288" s="75"/>
      <c r="GT288" s="75"/>
      <c r="GU288" s="75"/>
      <c r="GV288" s="75"/>
      <c r="GW288" s="75"/>
      <c r="GX288" s="75"/>
      <c r="GY288" s="75"/>
      <c r="GZ288" s="75"/>
      <c r="HA288" s="75"/>
      <c r="HB288" s="75"/>
      <c r="HC288" s="75"/>
      <c r="HD288" s="75"/>
    </row>
    <row r="289" spans="1:212" ht="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FY289" s="76"/>
      <c r="FZ289" s="75"/>
      <c r="GA289" s="75"/>
      <c r="GB289" s="75"/>
      <c r="GC289" s="75"/>
      <c r="GD289" s="75"/>
      <c r="GE289" s="75"/>
      <c r="GF289" s="75"/>
      <c r="GG289" s="75"/>
      <c r="GH289" s="75"/>
      <c r="GI289" s="75"/>
      <c r="GJ289" s="75"/>
      <c r="GK289" s="75"/>
      <c r="GL289" s="75"/>
      <c r="GM289" s="75"/>
      <c r="GN289" s="75"/>
      <c r="GO289" s="75"/>
      <c r="GP289" s="75"/>
      <c r="GQ289" s="75"/>
      <c r="GR289" s="75"/>
      <c r="GS289" s="75"/>
      <c r="GT289" s="75"/>
      <c r="GU289" s="75"/>
      <c r="GV289" s="75"/>
      <c r="GW289" s="75"/>
      <c r="GX289" s="75"/>
      <c r="GY289" s="75"/>
      <c r="GZ289" s="75"/>
      <c r="HA289" s="75"/>
      <c r="HB289" s="75"/>
      <c r="HC289" s="75"/>
      <c r="HD289" s="75"/>
    </row>
    <row r="290" spans="1:212" ht="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FY290" s="76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5"/>
      <c r="GK290" s="75"/>
      <c r="GL290" s="75"/>
      <c r="GM290" s="75"/>
      <c r="GN290" s="75"/>
      <c r="GO290" s="75"/>
      <c r="GP290" s="75"/>
      <c r="GQ290" s="75"/>
      <c r="GR290" s="75"/>
      <c r="GS290" s="75"/>
      <c r="GT290" s="75"/>
      <c r="GU290" s="75"/>
      <c r="GV290" s="75"/>
      <c r="GW290" s="75"/>
      <c r="GX290" s="75"/>
      <c r="GY290" s="75"/>
      <c r="GZ290" s="75"/>
      <c r="HA290" s="75"/>
      <c r="HB290" s="75"/>
      <c r="HC290" s="75"/>
      <c r="HD290" s="75"/>
    </row>
    <row r="291" spans="1:212" ht="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FY291" s="76"/>
      <c r="FZ291" s="75"/>
      <c r="GA291" s="75"/>
      <c r="GB291" s="75"/>
      <c r="GC291" s="75"/>
      <c r="GD291" s="75"/>
      <c r="GE291" s="75"/>
      <c r="GF291" s="75"/>
      <c r="GG291" s="75"/>
      <c r="GH291" s="75"/>
      <c r="GI291" s="75"/>
      <c r="GJ291" s="75"/>
      <c r="GK291" s="75"/>
      <c r="GL291" s="75"/>
      <c r="GM291" s="75"/>
      <c r="GN291" s="75"/>
      <c r="GO291" s="75"/>
      <c r="GP291" s="75"/>
      <c r="GQ291" s="75"/>
      <c r="GR291" s="75"/>
      <c r="GS291" s="75"/>
      <c r="GT291" s="75"/>
      <c r="GU291" s="75"/>
      <c r="GV291" s="75"/>
      <c r="GW291" s="75"/>
      <c r="GX291" s="75"/>
      <c r="GY291" s="75"/>
      <c r="GZ291" s="75"/>
      <c r="HA291" s="75"/>
      <c r="HB291" s="75"/>
      <c r="HC291" s="75"/>
      <c r="HD291" s="75"/>
    </row>
    <row r="292" spans="1:212" ht="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FY292" s="76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5"/>
      <c r="GK292" s="75"/>
      <c r="GL292" s="75"/>
      <c r="GM292" s="75"/>
      <c r="GN292" s="75"/>
      <c r="GO292" s="75"/>
      <c r="GP292" s="75"/>
      <c r="GQ292" s="75"/>
      <c r="GR292" s="75"/>
      <c r="GS292" s="75"/>
      <c r="GT292" s="75"/>
      <c r="GU292" s="75"/>
      <c r="GV292" s="75"/>
      <c r="GW292" s="75"/>
      <c r="GX292" s="75"/>
      <c r="GY292" s="75"/>
      <c r="GZ292" s="75"/>
      <c r="HA292" s="75"/>
      <c r="HB292" s="75"/>
      <c r="HC292" s="75"/>
      <c r="HD292" s="75"/>
    </row>
    <row r="293" spans="1:212" ht="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FY293" s="76"/>
      <c r="FZ293" s="75"/>
      <c r="GA293" s="75"/>
      <c r="GB293" s="75"/>
      <c r="GC293" s="75"/>
      <c r="GD293" s="75"/>
      <c r="GE293" s="75"/>
      <c r="GF293" s="75"/>
      <c r="GG293" s="75"/>
      <c r="GH293" s="75"/>
      <c r="GI293" s="75"/>
      <c r="GJ293" s="75"/>
      <c r="GK293" s="75"/>
      <c r="GL293" s="75"/>
      <c r="GM293" s="75"/>
      <c r="GN293" s="75"/>
      <c r="GO293" s="75"/>
      <c r="GP293" s="75"/>
      <c r="GQ293" s="75"/>
      <c r="GR293" s="75"/>
      <c r="GS293" s="75"/>
      <c r="GT293" s="75"/>
      <c r="GU293" s="75"/>
      <c r="GV293" s="75"/>
      <c r="GW293" s="75"/>
      <c r="GX293" s="75"/>
      <c r="GY293" s="75"/>
      <c r="GZ293" s="75"/>
      <c r="HA293" s="75"/>
      <c r="HB293" s="75"/>
      <c r="HC293" s="75"/>
      <c r="HD293" s="75"/>
    </row>
    <row r="294" spans="1:212" ht="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FY294" s="76"/>
      <c r="FZ294" s="75"/>
      <c r="GA294" s="75"/>
      <c r="GB294" s="75"/>
      <c r="GC294" s="75"/>
      <c r="GD294" s="75"/>
      <c r="GE294" s="75"/>
      <c r="GF294" s="75"/>
      <c r="GG294" s="75"/>
      <c r="GH294" s="75"/>
      <c r="GI294" s="75"/>
      <c r="GJ294" s="75"/>
      <c r="GK294" s="75"/>
      <c r="GL294" s="75"/>
      <c r="GM294" s="75"/>
      <c r="GN294" s="75"/>
      <c r="GO294" s="75"/>
      <c r="GP294" s="75"/>
      <c r="GQ294" s="75"/>
      <c r="GR294" s="75"/>
      <c r="GS294" s="75"/>
      <c r="GT294" s="75"/>
      <c r="GU294" s="75"/>
      <c r="GV294" s="75"/>
      <c r="GW294" s="75"/>
      <c r="GX294" s="75"/>
      <c r="GY294" s="75"/>
      <c r="GZ294" s="75"/>
      <c r="HA294" s="75"/>
      <c r="HB294" s="75"/>
      <c r="HC294" s="75"/>
      <c r="HD294" s="75"/>
    </row>
    <row r="295" spans="1:212" ht="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FY295" s="76"/>
      <c r="FZ295" s="75"/>
      <c r="GA295" s="75"/>
      <c r="GB295" s="75"/>
      <c r="GC295" s="75"/>
      <c r="GD295" s="75"/>
      <c r="GE295" s="75"/>
      <c r="GF295" s="75"/>
      <c r="GG295" s="75"/>
      <c r="GH295" s="75"/>
      <c r="GI295" s="75"/>
      <c r="GJ295" s="75"/>
      <c r="GK295" s="75"/>
      <c r="GL295" s="75"/>
      <c r="GM295" s="75"/>
      <c r="GN295" s="75"/>
      <c r="GO295" s="75"/>
      <c r="GP295" s="75"/>
      <c r="GQ295" s="75"/>
      <c r="GR295" s="75"/>
      <c r="GS295" s="75"/>
      <c r="GT295" s="75"/>
      <c r="GU295" s="75"/>
      <c r="GV295" s="75"/>
      <c r="GW295" s="75"/>
      <c r="GX295" s="75"/>
      <c r="GY295" s="75"/>
      <c r="GZ295" s="75"/>
      <c r="HA295" s="75"/>
      <c r="HB295" s="75"/>
      <c r="HC295" s="75"/>
      <c r="HD295" s="75"/>
    </row>
    <row r="296" spans="1:212" ht="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FY296" s="76"/>
      <c r="FZ296" s="75"/>
      <c r="GA296" s="75"/>
      <c r="GB296" s="75"/>
      <c r="GC296" s="75"/>
      <c r="GD296" s="75"/>
      <c r="GE296" s="75"/>
      <c r="GF296" s="75"/>
      <c r="GG296" s="75"/>
      <c r="GH296" s="75"/>
      <c r="GI296" s="75"/>
      <c r="GJ296" s="75"/>
      <c r="GK296" s="75"/>
      <c r="GL296" s="75"/>
      <c r="GM296" s="75"/>
      <c r="GN296" s="75"/>
      <c r="GO296" s="75"/>
      <c r="GP296" s="75"/>
      <c r="GQ296" s="75"/>
      <c r="GR296" s="75"/>
      <c r="GS296" s="75"/>
      <c r="GT296" s="75"/>
      <c r="GU296" s="75"/>
      <c r="GV296" s="75"/>
      <c r="GW296" s="75"/>
      <c r="GX296" s="75"/>
      <c r="GY296" s="75"/>
      <c r="GZ296" s="75"/>
      <c r="HA296" s="75"/>
      <c r="HB296" s="75"/>
      <c r="HC296" s="75"/>
      <c r="HD296" s="75"/>
    </row>
    <row r="297" spans="1:212" ht="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FY297" s="76"/>
      <c r="FZ297" s="75"/>
      <c r="GA297" s="75"/>
      <c r="GB297" s="75"/>
      <c r="GC297" s="75"/>
      <c r="GD297" s="75"/>
      <c r="GE297" s="75"/>
      <c r="GF297" s="75"/>
      <c r="GG297" s="75"/>
      <c r="GH297" s="75"/>
      <c r="GI297" s="75"/>
      <c r="GJ297" s="75"/>
      <c r="GK297" s="75"/>
      <c r="GL297" s="75"/>
      <c r="GM297" s="75"/>
      <c r="GN297" s="75"/>
      <c r="GO297" s="75"/>
      <c r="GP297" s="75"/>
      <c r="GQ297" s="75"/>
      <c r="GR297" s="75"/>
      <c r="GS297" s="75"/>
      <c r="GT297" s="75"/>
      <c r="GU297" s="75"/>
      <c r="GV297" s="75"/>
      <c r="GW297" s="75"/>
      <c r="GX297" s="75"/>
      <c r="GY297" s="75"/>
      <c r="GZ297" s="75"/>
      <c r="HA297" s="75"/>
      <c r="HB297" s="75"/>
      <c r="HC297" s="75"/>
      <c r="HD297" s="75"/>
    </row>
    <row r="298" spans="1:212" ht="1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FY298" s="76"/>
      <c r="FZ298" s="75"/>
      <c r="GA298" s="75"/>
      <c r="GB298" s="75"/>
      <c r="GC298" s="75"/>
      <c r="GD298" s="75"/>
      <c r="GE298" s="75"/>
      <c r="GF298" s="75"/>
      <c r="GG298" s="75"/>
      <c r="GH298" s="75"/>
      <c r="GI298" s="75"/>
      <c r="GJ298" s="75"/>
      <c r="GK298" s="75"/>
      <c r="GL298" s="75"/>
      <c r="GM298" s="75"/>
      <c r="GN298" s="75"/>
      <c r="GO298" s="75"/>
      <c r="GP298" s="75"/>
      <c r="GQ298" s="75"/>
      <c r="GR298" s="75"/>
      <c r="GS298" s="75"/>
      <c r="GT298" s="75"/>
      <c r="GU298" s="75"/>
      <c r="GV298" s="75"/>
      <c r="GW298" s="75"/>
      <c r="GX298" s="75"/>
      <c r="GY298" s="75"/>
      <c r="GZ298" s="75"/>
      <c r="HA298" s="75"/>
      <c r="HB298" s="75"/>
      <c r="HC298" s="75"/>
      <c r="HD298" s="75"/>
    </row>
    <row r="299" spans="1:212" ht="1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FY299" s="76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5"/>
      <c r="GK299" s="75"/>
      <c r="GL299" s="75"/>
      <c r="GM299" s="75"/>
      <c r="GN299" s="75"/>
      <c r="GO299" s="75"/>
      <c r="GP299" s="75"/>
      <c r="GQ299" s="75"/>
      <c r="GR299" s="75"/>
      <c r="GS299" s="75"/>
      <c r="GT299" s="75"/>
      <c r="GU299" s="75"/>
      <c r="GV299" s="75"/>
      <c r="GW299" s="75"/>
      <c r="GX299" s="75"/>
      <c r="GY299" s="75"/>
      <c r="GZ299" s="75"/>
      <c r="HA299" s="75"/>
      <c r="HB299" s="75"/>
      <c r="HC299" s="75"/>
      <c r="HD299" s="75"/>
    </row>
    <row r="300" spans="1:212" ht="1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FY300" s="76"/>
      <c r="FZ300" s="75"/>
      <c r="GA300" s="75"/>
      <c r="GB300" s="75"/>
      <c r="GC300" s="75"/>
      <c r="GD300" s="75"/>
      <c r="GE300" s="75"/>
      <c r="GF300" s="75"/>
      <c r="GG300" s="75"/>
      <c r="GH300" s="75"/>
      <c r="GI300" s="75"/>
      <c r="GJ300" s="75"/>
      <c r="GK300" s="75"/>
      <c r="GL300" s="75"/>
      <c r="GM300" s="75"/>
      <c r="GN300" s="75"/>
      <c r="GO300" s="75"/>
      <c r="GP300" s="75"/>
      <c r="GQ300" s="75"/>
      <c r="GR300" s="75"/>
      <c r="GS300" s="75"/>
      <c r="GT300" s="75"/>
      <c r="GU300" s="75"/>
      <c r="GV300" s="75"/>
      <c r="GW300" s="75"/>
      <c r="GX300" s="75"/>
      <c r="GY300" s="75"/>
      <c r="GZ300" s="75"/>
      <c r="HA300" s="75"/>
      <c r="HB300" s="75"/>
      <c r="HC300" s="75"/>
      <c r="HD300" s="75"/>
    </row>
    <row r="301" spans="1:212" ht="1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FY301" s="76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5"/>
      <c r="GK301" s="75"/>
      <c r="GL301" s="75"/>
      <c r="GM301" s="75"/>
      <c r="GN301" s="75"/>
      <c r="GO301" s="75"/>
      <c r="GP301" s="75"/>
      <c r="GQ301" s="75"/>
      <c r="GR301" s="75"/>
      <c r="GS301" s="75"/>
      <c r="GT301" s="75"/>
      <c r="GU301" s="75"/>
      <c r="GV301" s="75"/>
      <c r="GW301" s="75"/>
      <c r="GX301" s="75"/>
      <c r="GY301" s="75"/>
      <c r="GZ301" s="75"/>
      <c r="HA301" s="75"/>
      <c r="HB301" s="75"/>
      <c r="HC301" s="75"/>
      <c r="HD301" s="75"/>
    </row>
    <row r="302" spans="1:212" ht="1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FY302" s="76"/>
      <c r="FZ302" s="75"/>
      <c r="GA302" s="75"/>
      <c r="GB302" s="75"/>
      <c r="GC302" s="75"/>
      <c r="GD302" s="75"/>
      <c r="GE302" s="75"/>
      <c r="GF302" s="75"/>
      <c r="GG302" s="75"/>
      <c r="GH302" s="75"/>
      <c r="GI302" s="75"/>
      <c r="GJ302" s="75"/>
      <c r="GK302" s="75"/>
      <c r="GL302" s="75"/>
      <c r="GM302" s="75"/>
      <c r="GN302" s="75"/>
      <c r="GO302" s="75"/>
      <c r="GP302" s="75"/>
      <c r="GQ302" s="75"/>
      <c r="GR302" s="75"/>
      <c r="GS302" s="75"/>
      <c r="GT302" s="75"/>
      <c r="GU302" s="75"/>
      <c r="GV302" s="75"/>
      <c r="GW302" s="75"/>
      <c r="GX302" s="75"/>
      <c r="GY302" s="75"/>
      <c r="GZ302" s="75"/>
      <c r="HA302" s="75"/>
      <c r="HB302" s="75"/>
      <c r="HC302" s="75"/>
      <c r="HD302" s="75"/>
    </row>
    <row r="303" spans="1:212" ht="1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FY303" s="76"/>
      <c r="FZ303" s="75"/>
      <c r="GA303" s="75"/>
      <c r="GB303" s="75"/>
      <c r="GC303" s="75"/>
      <c r="GD303" s="75"/>
      <c r="GE303" s="75"/>
      <c r="GF303" s="75"/>
      <c r="GG303" s="75"/>
      <c r="GH303" s="75"/>
      <c r="GI303" s="75"/>
      <c r="GJ303" s="75"/>
      <c r="GK303" s="75"/>
      <c r="GL303" s="75"/>
      <c r="GM303" s="75"/>
      <c r="GN303" s="75"/>
      <c r="GO303" s="75"/>
      <c r="GP303" s="75"/>
      <c r="GQ303" s="75"/>
      <c r="GR303" s="75"/>
      <c r="GS303" s="75"/>
      <c r="GT303" s="75"/>
      <c r="GU303" s="75"/>
      <c r="GV303" s="75"/>
      <c r="GW303" s="75"/>
      <c r="GX303" s="75"/>
      <c r="GY303" s="75"/>
      <c r="GZ303" s="75"/>
      <c r="HA303" s="75"/>
      <c r="HB303" s="75"/>
      <c r="HC303" s="75"/>
      <c r="HD303" s="75"/>
    </row>
    <row r="304" spans="1:212" ht="1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FY304" s="76"/>
      <c r="FZ304" s="75"/>
      <c r="GA304" s="75"/>
      <c r="GB304" s="75"/>
      <c r="GC304" s="75"/>
      <c r="GD304" s="75"/>
      <c r="GE304" s="75"/>
      <c r="GF304" s="75"/>
      <c r="GG304" s="75"/>
      <c r="GH304" s="75"/>
      <c r="GI304" s="75"/>
      <c r="GJ304" s="75"/>
      <c r="GK304" s="75"/>
      <c r="GL304" s="75"/>
      <c r="GM304" s="75"/>
      <c r="GN304" s="75"/>
      <c r="GO304" s="75"/>
      <c r="GP304" s="75"/>
      <c r="GQ304" s="75"/>
      <c r="GR304" s="75"/>
      <c r="GS304" s="75"/>
      <c r="GT304" s="75"/>
      <c r="GU304" s="75"/>
      <c r="GV304" s="75"/>
      <c r="GW304" s="75"/>
      <c r="GX304" s="75"/>
      <c r="GY304" s="75"/>
      <c r="GZ304" s="75"/>
      <c r="HA304" s="75"/>
      <c r="HB304" s="75"/>
      <c r="HC304" s="75"/>
      <c r="HD304" s="75"/>
    </row>
    <row r="305" spans="1:212" ht="1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FY305" s="76"/>
      <c r="FZ305" s="75"/>
      <c r="GA305" s="75"/>
      <c r="GB305" s="75"/>
      <c r="GC305" s="75"/>
      <c r="GD305" s="75"/>
      <c r="GE305" s="75"/>
      <c r="GF305" s="75"/>
      <c r="GG305" s="75"/>
      <c r="GH305" s="75"/>
      <c r="GI305" s="75"/>
      <c r="GJ305" s="75"/>
      <c r="GK305" s="75"/>
      <c r="GL305" s="75"/>
      <c r="GM305" s="75"/>
      <c r="GN305" s="75"/>
      <c r="GO305" s="75"/>
      <c r="GP305" s="75"/>
      <c r="GQ305" s="75"/>
      <c r="GR305" s="75"/>
      <c r="GS305" s="75"/>
      <c r="GT305" s="75"/>
      <c r="GU305" s="75"/>
      <c r="GV305" s="75"/>
      <c r="GW305" s="75"/>
      <c r="GX305" s="75"/>
      <c r="GY305" s="75"/>
      <c r="GZ305" s="75"/>
      <c r="HA305" s="75"/>
      <c r="HB305" s="75"/>
      <c r="HC305" s="75"/>
      <c r="HD305" s="75"/>
    </row>
    <row r="306" spans="1:212" ht="1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FY306" s="76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5"/>
      <c r="GK306" s="75"/>
      <c r="GL306" s="75"/>
      <c r="GM306" s="75"/>
      <c r="GN306" s="75"/>
      <c r="GO306" s="75"/>
      <c r="GP306" s="75"/>
      <c r="GQ306" s="75"/>
      <c r="GR306" s="75"/>
      <c r="GS306" s="75"/>
      <c r="GT306" s="75"/>
      <c r="GU306" s="75"/>
      <c r="GV306" s="75"/>
      <c r="GW306" s="75"/>
      <c r="GX306" s="75"/>
      <c r="GY306" s="75"/>
      <c r="GZ306" s="75"/>
      <c r="HA306" s="75"/>
      <c r="HB306" s="75"/>
      <c r="HC306" s="75"/>
      <c r="HD306" s="75"/>
    </row>
    <row r="307" spans="1:212" ht="1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FY307" s="76"/>
      <c r="FZ307" s="75"/>
      <c r="GA307" s="75"/>
      <c r="GB307" s="75"/>
      <c r="GC307" s="75"/>
      <c r="GD307" s="75"/>
      <c r="GE307" s="75"/>
      <c r="GF307" s="75"/>
      <c r="GG307" s="75"/>
      <c r="GH307" s="75"/>
      <c r="GI307" s="75"/>
      <c r="GJ307" s="75"/>
      <c r="GK307" s="75"/>
      <c r="GL307" s="75"/>
      <c r="GM307" s="75"/>
      <c r="GN307" s="75"/>
      <c r="GO307" s="75"/>
      <c r="GP307" s="75"/>
      <c r="GQ307" s="75"/>
      <c r="GR307" s="75"/>
      <c r="GS307" s="75"/>
      <c r="GT307" s="75"/>
      <c r="GU307" s="75"/>
      <c r="GV307" s="75"/>
      <c r="GW307" s="75"/>
      <c r="GX307" s="75"/>
      <c r="GY307" s="75"/>
      <c r="GZ307" s="75"/>
      <c r="HA307" s="75"/>
      <c r="HB307" s="75"/>
      <c r="HC307" s="75"/>
      <c r="HD307" s="75"/>
    </row>
    <row r="308" spans="1:212" ht="1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FY308" s="76"/>
      <c r="FZ308" s="75"/>
      <c r="GA308" s="75"/>
      <c r="GB308" s="75"/>
      <c r="GC308" s="75"/>
      <c r="GD308" s="75"/>
      <c r="GE308" s="75"/>
      <c r="GF308" s="75"/>
      <c r="GG308" s="75"/>
      <c r="GH308" s="75"/>
      <c r="GI308" s="75"/>
      <c r="GJ308" s="75"/>
      <c r="GK308" s="75"/>
      <c r="GL308" s="75"/>
      <c r="GM308" s="75"/>
      <c r="GN308" s="75"/>
      <c r="GO308" s="75"/>
      <c r="GP308" s="75"/>
      <c r="GQ308" s="75"/>
      <c r="GR308" s="75"/>
      <c r="GS308" s="75"/>
      <c r="GT308" s="75"/>
      <c r="GU308" s="75"/>
      <c r="GV308" s="75"/>
      <c r="GW308" s="75"/>
      <c r="GX308" s="75"/>
      <c r="GY308" s="75"/>
      <c r="GZ308" s="75"/>
      <c r="HA308" s="75"/>
      <c r="HB308" s="75"/>
      <c r="HC308" s="75"/>
      <c r="HD308" s="75"/>
    </row>
    <row r="309" spans="1:212" ht="1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FY309" s="76"/>
      <c r="FZ309" s="75"/>
      <c r="GA309" s="75"/>
      <c r="GB309" s="75"/>
      <c r="GC309" s="75"/>
      <c r="GD309" s="75"/>
      <c r="GE309" s="75"/>
      <c r="GF309" s="75"/>
      <c r="GG309" s="75"/>
      <c r="GH309" s="75"/>
      <c r="GI309" s="75"/>
      <c r="GJ309" s="75"/>
      <c r="GK309" s="75"/>
      <c r="GL309" s="75"/>
      <c r="GM309" s="75"/>
      <c r="GN309" s="75"/>
      <c r="GO309" s="75"/>
      <c r="GP309" s="75"/>
      <c r="GQ309" s="75"/>
      <c r="GR309" s="75"/>
      <c r="GS309" s="75"/>
      <c r="GT309" s="75"/>
      <c r="GU309" s="75"/>
      <c r="GV309" s="75"/>
      <c r="GW309" s="75"/>
      <c r="GX309" s="75"/>
      <c r="GY309" s="75"/>
      <c r="GZ309" s="75"/>
      <c r="HA309" s="75"/>
      <c r="HB309" s="75"/>
      <c r="HC309" s="75"/>
      <c r="HD309" s="75"/>
    </row>
    <row r="310" spans="1:212" ht="1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FY310" s="76"/>
      <c r="FZ310" s="75"/>
      <c r="GA310" s="75"/>
      <c r="GB310" s="75"/>
      <c r="GC310" s="75"/>
      <c r="GD310" s="75"/>
      <c r="GE310" s="75"/>
      <c r="GF310" s="75"/>
      <c r="GG310" s="75"/>
      <c r="GH310" s="75"/>
      <c r="GI310" s="75"/>
      <c r="GJ310" s="75"/>
      <c r="GK310" s="75"/>
      <c r="GL310" s="75"/>
      <c r="GM310" s="75"/>
      <c r="GN310" s="75"/>
      <c r="GO310" s="75"/>
      <c r="GP310" s="75"/>
      <c r="GQ310" s="75"/>
      <c r="GR310" s="75"/>
      <c r="GS310" s="75"/>
      <c r="GT310" s="75"/>
      <c r="GU310" s="75"/>
      <c r="GV310" s="75"/>
      <c r="GW310" s="75"/>
      <c r="GX310" s="75"/>
      <c r="GY310" s="75"/>
      <c r="GZ310" s="75"/>
      <c r="HA310" s="75"/>
      <c r="HB310" s="75"/>
      <c r="HC310" s="75"/>
      <c r="HD310" s="75"/>
    </row>
    <row r="311" spans="1:212" ht="1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FY311" s="76"/>
      <c r="FZ311" s="75"/>
      <c r="GA311" s="75"/>
      <c r="GB311" s="75"/>
      <c r="GC311" s="75"/>
      <c r="GD311" s="75"/>
      <c r="GE311" s="75"/>
      <c r="GF311" s="75"/>
      <c r="GG311" s="75"/>
      <c r="GH311" s="75"/>
      <c r="GI311" s="75"/>
      <c r="GJ311" s="75"/>
      <c r="GK311" s="75"/>
      <c r="GL311" s="75"/>
      <c r="GM311" s="75"/>
      <c r="GN311" s="75"/>
      <c r="GO311" s="75"/>
      <c r="GP311" s="75"/>
      <c r="GQ311" s="75"/>
      <c r="GR311" s="75"/>
      <c r="GS311" s="75"/>
      <c r="GT311" s="75"/>
      <c r="GU311" s="75"/>
      <c r="GV311" s="75"/>
      <c r="GW311" s="75"/>
      <c r="GX311" s="75"/>
      <c r="GY311" s="75"/>
      <c r="GZ311" s="75"/>
      <c r="HA311" s="75"/>
      <c r="HB311" s="75"/>
      <c r="HC311" s="75"/>
      <c r="HD311" s="75"/>
    </row>
    <row r="312" spans="1:212" ht="1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FY312" s="76"/>
      <c r="FZ312" s="75"/>
      <c r="GA312" s="75"/>
      <c r="GB312" s="75"/>
      <c r="GC312" s="75"/>
      <c r="GD312" s="75"/>
      <c r="GE312" s="75"/>
      <c r="GF312" s="75"/>
      <c r="GG312" s="75"/>
      <c r="GH312" s="75"/>
      <c r="GI312" s="75"/>
      <c r="GJ312" s="75"/>
      <c r="GK312" s="75"/>
      <c r="GL312" s="75"/>
      <c r="GM312" s="75"/>
      <c r="GN312" s="75"/>
      <c r="GO312" s="75"/>
      <c r="GP312" s="75"/>
      <c r="GQ312" s="75"/>
      <c r="GR312" s="75"/>
      <c r="GS312" s="75"/>
      <c r="GT312" s="75"/>
      <c r="GU312" s="75"/>
      <c r="GV312" s="75"/>
      <c r="GW312" s="75"/>
      <c r="GX312" s="75"/>
      <c r="GY312" s="75"/>
      <c r="GZ312" s="75"/>
      <c r="HA312" s="75"/>
      <c r="HB312" s="75"/>
      <c r="HC312" s="75"/>
      <c r="HD312" s="75"/>
    </row>
    <row r="313" spans="1:212" ht="1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FY313" s="76"/>
      <c r="FZ313" s="75"/>
      <c r="GA313" s="75"/>
      <c r="GB313" s="75"/>
      <c r="GC313" s="75"/>
      <c r="GD313" s="75"/>
      <c r="GE313" s="75"/>
      <c r="GF313" s="75"/>
      <c r="GG313" s="75"/>
      <c r="GH313" s="75"/>
      <c r="GI313" s="75"/>
      <c r="GJ313" s="75"/>
      <c r="GK313" s="75"/>
      <c r="GL313" s="75"/>
      <c r="GM313" s="75"/>
      <c r="GN313" s="75"/>
      <c r="GO313" s="75"/>
      <c r="GP313" s="75"/>
      <c r="GQ313" s="75"/>
      <c r="GR313" s="75"/>
      <c r="GS313" s="75"/>
      <c r="GT313" s="75"/>
      <c r="GU313" s="75"/>
      <c r="GV313" s="75"/>
      <c r="GW313" s="75"/>
      <c r="GX313" s="75"/>
      <c r="GY313" s="75"/>
      <c r="GZ313" s="75"/>
      <c r="HA313" s="75"/>
      <c r="HB313" s="75"/>
      <c r="HC313" s="75"/>
      <c r="HD313" s="75"/>
    </row>
    <row r="314" spans="1:212" ht="1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FY314" s="76"/>
      <c r="FZ314" s="75"/>
      <c r="GA314" s="75"/>
      <c r="GB314" s="75"/>
      <c r="GC314" s="75"/>
      <c r="GD314" s="75"/>
      <c r="GE314" s="75"/>
      <c r="GF314" s="75"/>
      <c r="GG314" s="75"/>
      <c r="GH314" s="75"/>
      <c r="GI314" s="75"/>
      <c r="GJ314" s="75"/>
      <c r="GK314" s="75"/>
      <c r="GL314" s="75"/>
      <c r="GM314" s="75"/>
      <c r="GN314" s="75"/>
      <c r="GO314" s="75"/>
      <c r="GP314" s="75"/>
      <c r="GQ314" s="75"/>
      <c r="GR314" s="75"/>
      <c r="GS314" s="75"/>
      <c r="GT314" s="75"/>
      <c r="GU314" s="75"/>
      <c r="GV314" s="75"/>
      <c r="GW314" s="75"/>
      <c r="GX314" s="75"/>
      <c r="GY314" s="75"/>
      <c r="GZ314" s="75"/>
      <c r="HA314" s="75"/>
      <c r="HB314" s="75"/>
      <c r="HC314" s="75"/>
      <c r="HD314" s="75"/>
    </row>
    <row r="315" spans="1:212" ht="1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FY315" s="76"/>
      <c r="FZ315" s="75"/>
      <c r="GA315" s="75"/>
      <c r="GB315" s="75"/>
      <c r="GC315" s="75"/>
      <c r="GD315" s="75"/>
      <c r="GE315" s="75"/>
      <c r="GF315" s="75"/>
      <c r="GG315" s="75"/>
      <c r="GH315" s="75"/>
      <c r="GI315" s="75"/>
      <c r="GJ315" s="75"/>
      <c r="GK315" s="75"/>
      <c r="GL315" s="75"/>
      <c r="GM315" s="75"/>
      <c r="GN315" s="75"/>
      <c r="GO315" s="75"/>
      <c r="GP315" s="75"/>
      <c r="GQ315" s="75"/>
      <c r="GR315" s="75"/>
      <c r="GS315" s="75"/>
      <c r="GT315" s="75"/>
      <c r="GU315" s="75"/>
      <c r="GV315" s="75"/>
      <c r="GW315" s="75"/>
      <c r="GX315" s="75"/>
      <c r="GY315" s="75"/>
      <c r="GZ315" s="75"/>
      <c r="HA315" s="75"/>
      <c r="HB315" s="75"/>
      <c r="HC315" s="75"/>
      <c r="HD315" s="75"/>
    </row>
    <row r="316" spans="1:212" ht="1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FY316" s="76"/>
      <c r="FZ316" s="75"/>
      <c r="GA316" s="75"/>
      <c r="GB316" s="75"/>
      <c r="GC316" s="75"/>
      <c r="GD316" s="75"/>
      <c r="GE316" s="75"/>
      <c r="GF316" s="75"/>
      <c r="GG316" s="75"/>
      <c r="GH316" s="75"/>
      <c r="GI316" s="75"/>
      <c r="GJ316" s="75"/>
      <c r="GK316" s="75"/>
      <c r="GL316" s="75"/>
      <c r="GM316" s="75"/>
      <c r="GN316" s="75"/>
      <c r="GO316" s="75"/>
      <c r="GP316" s="75"/>
      <c r="GQ316" s="75"/>
      <c r="GR316" s="75"/>
      <c r="GS316" s="75"/>
      <c r="GT316" s="75"/>
      <c r="GU316" s="75"/>
      <c r="GV316" s="75"/>
      <c r="GW316" s="75"/>
      <c r="GX316" s="75"/>
      <c r="GY316" s="75"/>
      <c r="GZ316" s="75"/>
      <c r="HA316" s="75"/>
      <c r="HB316" s="75"/>
      <c r="HC316" s="75"/>
      <c r="HD316" s="75"/>
    </row>
    <row r="317" spans="1:212" ht="1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FY317" s="76"/>
      <c r="FZ317" s="75"/>
      <c r="GA317" s="75"/>
      <c r="GB317" s="75"/>
      <c r="GC317" s="75"/>
      <c r="GD317" s="75"/>
      <c r="GE317" s="75"/>
      <c r="GF317" s="75"/>
      <c r="GG317" s="75"/>
      <c r="GH317" s="75"/>
      <c r="GI317" s="75"/>
      <c r="GJ317" s="75"/>
      <c r="GK317" s="75"/>
      <c r="GL317" s="75"/>
      <c r="GM317" s="75"/>
      <c r="GN317" s="75"/>
      <c r="GO317" s="75"/>
      <c r="GP317" s="75"/>
      <c r="GQ317" s="75"/>
      <c r="GR317" s="75"/>
      <c r="GS317" s="75"/>
      <c r="GT317" s="75"/>
      <c r="GU317" s="75"/>
      <c r="GV317" s="75"/>
      <c r="GW317" s="75"/>
      <c r="GX317" s="75"/>
      <c r="GY317" s="75"/>
      <c r="GZ317" s="75"/>
      <c r="HA317" s="75"/>
      <c r="HB317" s="75"/>
      <c r="HC317" s="75"/>
      <c r="HD317" s="75"/>
    </row>
    <row r="318" spans="1:212" ht="1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FY318" s="76"/>
      <c r="FZ318" s="75"/>
      <c r="GA318" s="75"/>
      <c r="GB318" s="75"/>
      <c r="GC318" s="75"/>
      <c r="GD318" s="75"/>
      <c r="GE318" s="75"/>
      <c r="GF318" s="75"/>
      <c r="GG318" s="75"/>
      <c r="GH318" s="75"/>
      <c r="GI318" s="75"/>
      <c r="GJ318" s="75"/>
      <c r="GK318" s="75"/>
      <c r="GL318" s="75"/>
      <c r="GM318" s="75"/>
      <c r="GN318" s="75"/>
      <c r="GO318" s="75"/>
      <c r="GP318" s="75"/>
      <c r="GQ318" s="75"/>
      <c r="GR318" s="75"/>
      <c r="GS318" s="75"/>
      <c r="GT318" s="75"/>
      <c r="GU318" s="75"/>
      <c r="GV318" s="75"/>
      <c r="GW318" s="75"/>
      <c r="GX318" s="75"/>
      <c r="GY318" s="75"/>
      <c r="GZ318" s="75"/>
      <c r="HA318" s="75"/>
      <c r="HB318" s="75"/>
      <c r="HC318" s="75"/>
      <c r="HD318" s="75"/>
    </row>
    <row r="319" spans="1:212" ht="1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FY319" s="76"/>
      <c r="FZ319" s="75"/>
      <c r="GA319" s="75"/>
      <c r="GB319" s="75"/>
      <c r="GC319" s="75"/>
      <c r="GD319" s="75"/>
      <c r="GE319" s="75"/>
      <c r="GF319" s="75"/>
      <c r="GG319" s="75"/>
      <c r="GH319" s="75"/>
      <c r="GI319" s="75"/>
      <c r="GJ319" s="75"/>
      <c r="GK319" s="75"/>
      <c r="GL319" s="75"/>
      <c r="GM319" s="75"/>
      <c r="GN319" s="75"/>
      <c r="GO319" s="75"/>
      <c r="GP319" s="75"/>
      <c r="GQ319" s="75"/>
      <c r="GR319" s="75"/>
      <c r="GS319" s="75"/>
      <c r="GT319" s="75"/>
      <c r="GU319" s="75"/>
      <c r="GV319" s="75"/>
      <c r="GW319" s="75"/>
      <c r="GX319" s="75"/>
      <c r="GY319" s="75"/>
      <c r="GZ319" s="75"/>
      <c r="HA319" s="75"/>
      <c r="HB319" s="75"/>
      <c r="HC319" s="75"/>
      <c r="HD319" s="75"/>
    </row>
    <row r="320" spans="1:212" ht="1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FY320" s="76"/>
      <c r="FZ320" s="75"/>
      <c r="GA320" s="75"/>
      <c r="GB320" s="75"/>
      <c r="GC320" s="75"/>
      <c r="GD320" s="75"/>
      <c r="GE320" s="75"/>
      <c r="GF320" s="75"/>
      <c r="GG320" s="75"/>
      <c r="GH320" s="75"/>
      <c r="GI320" s="75"/>
      <c r="GJ320" s="75"/>
      <c r="GK320" s="75"/>
      <c r="GL320" s="75"/>
      <c r="GM320" s="75"/>
      <c r="GN320" s="75"/>
      <c r="GO320" s="75"/>
      <c r="GP320" s="75"/>
      <c r="GQ320" s="75"/>
      <c r="GR320" s="75"/>
      <c r="GS320" s="75"/>
      <c r="GT320" s="75"/>
      <c r="GU320" s="75"/>
      <c r="GV320" s="75"/>
      <c r="GW320" s="75"/>
      <c r="GX320" s="75"/>
      <c r="GY320" s="75"/>
      <c r="GZ320" s="75"/>
      <c r="HA320" s="75"/>
      <c r="HB320" s="75"/>
      <c r="HC320" s="75"/>
      <c r="HD320" s="75"/>
    </row>
    <row r="321" spans="1:212" ht="1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FY321" s="76"/>
      <c r="FZ321" s="75"/>
      <c r="GA321" s="75"/>
      <c r="GB321" s="75"/>
      <c r="GC321" s="75"/>
      <c r="GD321" s="75"/>
      <c r="GE321" s="75"/>
      <c r="GF321" s="75"/>
      <c r="GG321" s="75"/>
      <c r="GH321" s="75"/>
      <c r="GI321" s="75"/>
      <c r="GJ321" s="75"/>
      <c r="GK321" s="75"/>
      <c r="GL321" s="75"/>
      <c r="GM321" s="75"/>
      <c r="GN321" s="75"/>
      <c r="GO321" s="75"/>
      <c r="GP321" s="75"/>
      <c r="GQ321" s="75"/>
      <c r="GR321" s="75"/>
      <c r="GS321" s="75"/>
      <c r="GT321" s="75"/>
      <c r="GU321" s="75"/>
      <c r="GV321" s="75"/>
      <c r="GW321" s="75"/>
      <c r="GX321" s="75"/>
      <c r="GY321" s="75"/>
      <c r="GZ321" s="75"/>
      <c r="HA321" s="75"/>
      <c r="HB321" s="75"/>
      <c r="HC321" s="75"/>
      <c r="HD321" s="75"/>
    </row>
    <row r="322" spans="1:212" ht="1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FY322" s="76"/>
      <c r="FZ322" s="75"/>
      <c r="GA322" s="75"/>
      <c r="GB322" s="75"/>
      <c r="GC322" s="75"/>
      <c r="GD322" s="75"/>
      <c r="GE322" s="75"/>
      <c r="GF322" s="75"/>
      <c r="GG322" s="75"/>
      <c r="GH322" s="75"/>
      <c r="GI322" s="75"/>
      <c r="GJ322" s="75"/>
      <c r="GK322" s="75"/>
      <c r="GL322" s="75"/>
      <c r="GM322" s="75"/>
      <c r="GN322" s="75"/>
      <c r="GO322" s="75"/>
      <c r="GP322" s="75"/>
      <c r="GQ322" s="75"/>
      <c r="GR322" s="75"/>
      <c r="GS322" s="75"/>
      <c r="GT322" s="75"/>
      <c r="GU322" s="75"/>
      <c r="GV322" s="75"/>
      <c r="GW322" s="75"/>
      <c r="GX322" s="75"/>
      <c r="GY322" s="75"/>
      <c r="GZ322" s="75"/>
      <c r="HA322" s="75"/>
      <c r="HB322" s="75"/>
      <c r="HC322" s="75"/>
      <c r="HD322" s="75"/>
    </row>
    <row r="323" spans="1:212" ht="1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FY323" s="76"/>
      <c r="FZ323" s="75"/>
      <c r="GA323" s="75"/>
      <c r="GB323" s="75"/>
      <c r="GC323" s="75"/>
      <c r="GD323" s="75"/>
      <c r="GE323" s="75"/>
      <c r="GF323" s="75"/>
      <c r="GG323" s="75"/>
      <c r="GH323" s="75"/>
      <c r="GI323" s="75"/>
      <c r="GJ323" s="75"/>
      <c r="GK323" s="75"/>
      <c r="GL323" s="75"/>
      <c r="GM323" s="75"/>
      <c r="GN323" s="75"/>
      <c r="GO323" s="75"/>
      <c r="GP323" s="75"/>
      <c r="GQ323" s="75"/>
      <c r="GR323" s="75"/>
      <c r="GS323" s="75"/>
      <c r="GT323" s="75"/>
      <c r="GU323" s="75"/>
      <c r="GV323" s="75"/>
      <c r="GW323" s="75"/>
      <c r="GX323" s="75"/>
      <c r="GY323" s="75"/>
      <c r="GZ323" s="75"/>
      <c r="HA323" s="75"/>
      <c r="HB323" s="75"/>
      <c r="HC323" s="75"/>
      <c r="HD323" s="75"/>
    </row>
    <row r="324" spans="1:212" ht="1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FY324" s="76"/>
      <c r="FZ324" s="75"/>
      <c r="GA324" s="75"/>
      <c r="GB324" s="75"/>
      <c r="GC324" s="75"/>
      <c r="GD324" s="75"/>
      <c r="GE324" s="75"/>
      <c r="GF324" s="75"/>
      <c r="GG324" s="75"/>
      <c r="GH324" s="75"/>
      <c r="GI324" s="75"/>
      <c r="GJ324" s="75"/>
      <c r="GK324" s="75"/>
      <c r="GL324" s="75"/>
      <c r="GM324" s="75"/>
      <c r="GN324" s="75"/>
      <c r="GO324" s="75"/>
      <c r="GP324" s="75"/>
      <c r="GQ324" s="75"/>
      <c r="GR324" s="75"/>
      <c r="GS324" s="75"/>
      <c r="GT324" s="75"/>
      <c r="GU324" s="75"/>
      <c r="GV324" s="75"/>
      <c r="GW324" s="75"/>
      <c r="GX324" s="75"/>
      <c r="GY324" s="75"/>
      <c r="GZ324" s="75"/>
      <c r="HA324" s="75"/>
      <c r="HB324" s="75"/>
      <c r="HC324" s="75"/>
      <c r="HD324" s="75"/>
    </row>
    <row r="325" spans="1:212" ht="1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FY325" s="76"/>
      <c r="FZ325" s="75"/>
      <c r="GA325" s="75"/>
      <c r="GB325" s="75"/>
      <c r="GC325" s="75"/>
      <c r="GD325" s="75"/>
      <c r="GE325" s="75"/>
      <c r="GF325" s="75"/>
      <c r="GG325" s="75"/>
      <c r="GH325" s="75"/>
      <c r="GI325" s="75"/>
      <c r="GJ325" s="75"/>
      <c r="GK325" s="75"/>
      <c r="GL325" s="75"/>
      <c r="GM325" s="75"/>
      <c r="GN325" s="75"/>
      <c r="GO325" s="75"/>
      <c r="GP325" s="75"/>
      <c r="GQ325" s="75"/>
      <c r="GR325" s="75"/>
      <c r="GS325" s="75"/>
      <c r="GT325" s="75"/>
      <c r="GU325" s="75"/>
      <c r="GV325" s="75"/>
      <c r="GW325" s="75"/>
      <c r="GX325" s="75"/>
      <c r="GY325" s="75"/>
      <c r="GZ325" s="75"/>
      <c r="HA325" s="75"/>
      <c r="HB325" s="75"/>
      <c r="HC325" s="75"/>
      <c r="HD325" s="75"/>
    </row>
    <row r="326" spans="1:212" ht="1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FY326" s="76"/>
      <c r="FZ326" s="75"/>
      <c r="GA326" s="75"/>
      <c r="GB326" s="75"/>
      <c r="GC326" s="75"/>
      <c r="GD326" s="75"/>
      <c r="GE326" s="75"/>
      <c r="GF326" s="75"/>
      <c r="GG326" s="75"/>
      <c r="GH326" s="75"/>
      <c r="GI326" s="75"/>
      <c r="GJ326" s="75"/>
      <c r="GK326" s="75"/>
      <c r="GL326" s="75"/>
      <c r="GM326" s="75"/>
      <c r="GN326" s="75"/>
      <c r="GO326" s="75"/>
      <c r="GP326" s="75"/>
      <c r="GQ326" s="75"/>
      <c r="GR326" s="75"/>
      <c r="GS326" s="75"/>
      <c r="GT326" s="75"/>
      <c r="GU326" s="75"/>
      <c r="GV326" s="75"/>
      <c r="GW326" s="75"/>
      <c r="GX326" s="75"/>
      <c r="GY326" s="75"/>
      <c r="GZ326" s="75"/>
      <c r="HA326" s="75"/>
      <c r="HB326" s="75"/>
      <c r="HC326" s="75"/>
      <c r="HD326" s="75"/>
    </row>
    <row r="327" spans="1:212" ht="1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FY327" s="76"/>
      <c r="FZ327" s="75"/>
      <c r="GA327" s="75"/>
      <c r="GB327" s="75"/>
      <c r="GC327" s="75"/>
      <c r="GD327" s="75"/>
      <c r="GE327" s="75"/>
      <c r="GF327" s="75"/>
      <c r="GG327" s="75"/>
      <c r="GH327" s="75"/>
      <c r="GI327" s="75"/>
      <c r="GJ327" s="75"/>
      <c r="GK327" s="75"/>
      <c r="GL327" s="75"/>
      <c r="GM327" s="75"/>
      <c r="GN327" s="75"/>
      <c r="GO327" s="75"/>
      <c r="GP327" s="75"/>
      <c r="GQ327" s="75"/>
      <c r="GR327" s="75"/>
      <c r="GS327" s="75"/>
      <c r="GT327" s="75"/>
      <c r="GU327" s="75"/>
      <c r="GV327" s="75"/>
      <c r="GW327" s="75"/>
      <c r="GX327" s="75"/>
      <c r="GY327" s="75"/>
      <c r="GZ327" s="75"/>
      <c r="HA327" s="75"/>
      <c r="HB327" s="75"/>
      <c r="HC327" s="75"/>
      <c r="HD327" s="75"/>
    </row>
    <row r="328" spans="1:212" ht="1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FY328" s="76"/>
      <c r="FZ328" s="75"/>
      <c r="GA328" s="75"/>
      <c r="GB328" s="75"/>
      <c r="GC328" s="75"/>
      <c r="GD328" s="75"/>
      <c r="GE328" s="75"/>
      <c r="GF328" s="75"/>
      <c r="GG328" s="75"/>
      <c r="GH328" s="75"/>
      <c r="GI328" s="75"/>
      <c r="GJ328" s="75"/>
      <c r="GK328" s="75"/>
      <c r="GL328" s="75"/>
      <c r="GM328" s="75"/>
      <c r="GN328" s="75"/>
      <c r="GO328" s="75"/>
      <c r="GP328" s="75"/>
      <c r="GQ328" s="75"/>
      <c r="GR328" s="75"/>
      <c r="GS328" s="75"/>
      <c r="GT328" s="75"/>
      <c r="GU328" s="75"/>
      <c r="GV328" s="75"/>
      <c r="GW328" s="75"/>
      <c r="GX328" s="75"/>
      <c r="GY328" s="75"/>
      <c r="GZ328" s="75"/>
      <c r="HA328" s="75"/>
      <c r="HB328" s="75"/>
      <c r="HC328" s="75"/>
      <c r="HD328" s="75"/>
    </row>
    <row r="329" spans="1:212" ht="1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FY329" s="76"/>
      <c r="FZ329" s="75"/>
      <c r="GA329" s="75"/>
      <c r="GB329" s="75"/>
      <c r="GC329" s="75"/>
      <c r="GD329" s="75"/>
      <c r="GE329" s="75"/>
      <c r="GF329" s="75"/>
      <c r="GG329" s="75"/>
      <c r="GH329" s="75"/>
      <c r="GI329" s="75"/>
      <c r="GJ329" s="75"/>
      <c r="GK329" s="75"/>
      <c r="GL329" s="75"/>
      <c r="GM329" s="75"/>
      <c r="GN329" s="75"/>
      <c r="GO329" s="75"/>
      <c r="GP329" s="75"/>
      <c r="GQ329" s="75"/>
      <c r="GR329" s="75"/>
      <c r="GS329" s="75"/>
      <c r="GT329" s="75"/>
      <c r="GU329" s="75"/>
      <c r="GV329" s="75"/>
      <c r="GW329" s="75"/>
      <c r="GX329" s="75"/>
      <c r="GY329" s="75"/>
      <c r="GZ329" s="75"/>
      <c r="HA329" s="75"/>
      <c r="HB329" s="75"/>
      <c r="HC329" s="75"/>
      <c r="HD329" s="75"/>
    </row>
    <row r="330" spans="1:212" ht="1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FY330" s="76"/>
      <c r="FZ330" s="75"/>
      <c r="GA330" s="75"/>
      <c r="GB330" s="75"/>
      <c r="GC330" s="75"/>
      <c r="GD330" s="75"/>
      <c r="GE330" s="75"/>
      <c r="GF330" s="75"/>
      <c r="GG330" s="75"/>
      <c r="GH330" s="75"/>
      <c r="GI330" s="75"/>
      <c r="GJ330" s="75"/>
      <c r="GK330" s="75"/>
      <c r="GL330" s="75"/>
      <c r="GM330" s="75"/>
      <c r="GN330" s="75"/>
      <c r="GO330" s="75"/>
      <c r="GP330" s="75"/>
      <c r="GQ330" s="75"/>
      <c r="GR330" s="75"/>
      <c r="GS330" s="75"/>
      <c r="GT330" s="75"/>
      <c r="GU330" s="75"/>
      <c r="GV330" s="75"/>
      <c r="GW330" s="75"/>
      <c r="GX330" s="75"/>
      <c r="GY330" s="75"/>
      <c r="GZ330" s="75"/>
      <c r="HA330" s="75"/>
      <c r="HB330" s="75"/>
      <c r="HC330" s="75"/>
      <c r="HD330" s="75"/>
    </row>
    <row r="331" spans="1:212" ht="1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FY331" s="76"/>
      <c r="FZ331" s="75"/>
      <c r="GA331" s="75"/>
      <c r="GB331" s="75"/>
      <c r="GC331" s="75"/>
      <c r="GD331" s="75"/>
      <c r="GE331" s="75"/>
      <c r="GF331" s="75"/>
      <c r="GG331" s="75"/>
      <c r="GH331" s="75"/>
      <c r="GI331" s="75"/>
      <c r="GJ331" s="75"/>
      <c r="GK331" s="75"/>
      <c r="GL331" s="75"/>
      <c r="GM331" s="75"/>
      <c r="GN331" s="75"/>
      <c r="GO331" s="75"/>
      <c r="GP331" s="75"/>
      <c r="GQ331" s="75"/>
      <c r="GR331" s="75"/>
      <c r="GS331" s="75"/>
      <c r="GT331" s="75"/>
      <c r="GU331" s="75"/>
      <c r="GV331" s="75"/>
      <c r="GW331" s="75"/>
      <c r="GX331" s="75"/>
      <c r="GY331" s="75"/>
      <c r="GZ331" s="75"/>
      <c r="HA331" s="75"/>
      <c r="HB331" s="75"/>
      <c r="HC331" s="75"/>
      <c r="HD331" s="75"/>
    </row>
    <row r="332" spans="1:212" ht="1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FY332" s="76"/>
      <c r="FZ332" s="75"/>
      <c r="GA332" s="75"/>
      <c r="GB332" s="75"/>
      <c r="GC332" s="75"/>
      <c r="GD332" s="75"/>
      <c r="GE332" s="75"/>
      <c r="GF332" s="75"/>
      <c r="GG332" s="75"/>
      <c r="GH332" s="75"/>
      <c r="GI332" s="75"/>
      <c r="GJ332" s="75"/>
      <c r="GK332" s="75"/>
      <c r="GL332" s="75"/>
      <c r="GM332" s="75"/>
      <c r="GN332" s="75"/>
      <c r="GO332" s="75"/>
      <c r="GP332" s="75"/>
      <c r="GQ332" s="75"/>
      <c r="GR332" s="75"/>
      <c r="GS332" s="75"/>
      <c r="GT332" s="75"/>
      <c r="GU332" s="75"/>
      <c r="GV332" s="75"/>
      <c r="GW332" s="75"/>
      <c r="GX332" s="75"/>
      <c r="GY332" s="75"/>
      <c r="GZ332" s="75"/>
      <c r="HA332" s="75"/>
      <c r="HB332" s="75"/>
      <c r="HC332" s="75"/>
      <c r="HD332" s="75"/>
    </row>
    <row r="333" spans="1:212" ht="1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FY333" s="76"/>
      <c r="FZ333" s="75"/>
      <c r="GA333" s="75"/>
      <c r="GB333" s="75"/>
      <c r="GC333" s="75"/>
      <c r="GD333" s="75"/>
      <c r="GE333" s="75"/>
      <c r="GF333" s="75"/>
      <c r="GG333" s="75"/>
      <c r="GH333" s="75"/>
      <c r="GI333" s="75"/>
      <c r="GJ333" s="75"/>
      <c r="GK333" s="75"/>
      <c r="GL333" s="75"/>
      <c r="GM333" s="75"/>
      <c r="GN333" s="75"/>
      <c r="GO333" s="75"/>
      <c r="GP333" s="75"/>
      <c r="GQ333" s="75"/>
      <c r="GR333" s="75"/>
      <c r="GS333" s="75"/>
      <c r="GT333" s="75"/>
      <c r="GU333" s="75"/>
      <c r="GV333" s="75"/>
      <c r="GW333" s="75"/>
      <c r="GX333" s="75"/>
      <c r="GY333" s="75"/>
      <c r="GZ333" s="75"/>
      <c r="HA333" s="75"/>
      <c r="HB333" s="75"/>
      <c r="HC333" s="75"/>
      <c r="HD333" s="75"/>
    </row>
    <row r="334" spans="1:212" ht="1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FY334" s="76"/>
      <c r="FZ334" s="75"/>
      <c r="GA334" s="75"/>
      <c r="GB334" s="75"/>
      <c r="GC334" s="75"/>
      <c r="GD334" s="75"/>
      <c r="GE334" s="75"/>
      <c r="GF334" s="75"/>
      <c r="GG334" s="75"/>
      <c r="GH334" s="75"/>
      <c r="GI334" s="75"/>
      <c r="GJ334" s="75"/>
      <c r="GK334" s="75"/>
      <c r="GL334" s="75"/>
      <c r="GM334" s="75"/>
      <c r="GN334" s="75"/>
      <c r="GO334" s="75"/>
      <c r="GP334" s="75"/>
      <c r="GQ334" s="75"/>
      <c r="GR334" s="75"/>
      <c r="GS334" s="75"/>
      <c r="GT334" s="75"/>
      <c r="GU334" s="75"/>
      <c r="GV334" s="75"/>
      <c r="GW334" s="75"/>
      <c r="GX334" s="75"/>
      <c r="GY334" s="75"/>
      <c r="GZ334" s="75"/>
      <c r="HA334" s="75"/>
      <c r="HB334" s="75"/>
      <c r="HC334" s="75"/>
      <c r="HD334" s="75"/>
    </row>
    <row r="335" spans="1:212" ht="1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FY335" s="76"/>
      <c r="FZ335" s="75"/>
      <c r="GA335" s="75"/>
      <c r="GB335" s="75"/>
      <c r="GC335" s="75"/>
      <c r="GD335" s="75"/>
      <c r="GE335" s="75"/>
      <c r="GF335" s="75"/>
      <c r="GG335" s="75"/>
      <c r="GH335" s="75"/>
      <c r="GI335" s="75"/>
      <c r="GJ335" s="75"/>
      <c r="GK335" s="75"/>
      <c r="GL335" s="75"/>
      <c r="GM335" s="75"/>
      <c r="GN335" s="75"/>
      <c r="GO335" s="75"/>
      <c r="GP335" s="75"/>
      <c r="GQ335" s="75"/>
      <c r="GR335" s="75"/>
      <c r="GS335" s="75"/>
      <c r="GT335" s="75"/>
      <c r="GU335" s="75"/>
      <c r="GV335" s="75"/>
      <c r="GW335" s="75"/>
      <c r="GX335" s="75"/>
      <c r="GY335" s="75"/>
      <c r="GZ335" s="75"/>
      <c r="HA335" s="75"/>
      <c r="HB335" s="75"/>
      <c r="HC335" s="75"/>
      <c r="HD335" s="75"/>
    </row>
    <row r="336" spans="1:212" ht="1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FY336" s="76"/>
      <c r="FZ336" s="75"/>
      <c r="GA336" s="75"/>
      <c r="GB336" s="75"/>
      <c r="GC336" s="75"/>
      <c r="GD336" s="75"/>
      <c r="GE336" s="75"/>
      <c r="GF336" s="75"/>
      <c r="GG336" s="75"/>
      <c r="GH336" s="75"/>
      <c r="GI336" s="75"/>
      <c r="GJ336" s="75"/>
      <c r="GK336" s="75"/>
      <c r="GL336" s="75"/>
      <c r="GM336" s="75"/>
      <c r="GN336" s="75"/>
      <c r="GO336" s="75"/>
      <c r="GP336" s="75"/>
      <c r="GQ336" s="75"/>
      <c r="GR336" s="75"/>
      <c r="GS336" s="75"/>
      <c r="GT336" s="75"/>
      <c r="GU336" s="75"/>
      <c r="GV336" s="75"/>
      <c r="GW336" s="75"/>
      <c r="GX336" s="75"/>
      <c r="GY336" s="75"/>
      <c r="GZ336" s="75"/>
      <c r="HA336" s="75"/>
      <c r="HB336" s="75"/>
      <c r="HC336" s="75"/>
      <c r="HD336" s="75"/>
    </row>
    <row r="337" spans="1:212" ht="1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FY337" s="76"/>
      <c r="FZ337" s="75"/>
      <c r="GA337" s="75"/>
      <c r="GB337" s="75"/>
      <c r="GC337" s="75"/>
      <c r="GD337" s="75"/>
      <c r="GE337" s="75"/>
      <c r="GF337" s="75"/>
      <c r="GG337" s="75"/>
      <c r="GH337" s="75"/>
      <c r="GI337" s="75"/>
      <c r="GJ337" s="75"/>
      <c r="GK337" s="75"/>
      <c r="GL337" s="75"/>
      <c r="GM337" s="75"/>
      <c r="GN337" s="75"/>
      <c r="GO337" s="75"/>
      <c r="GP337" s="75"/>
      <c r="GQ337" s="75"/>
      <c r="GR337" s="75"/>
      <c r="GS337" s="75"/>
      <c r="GT337" s="75"/>
      <c r="GU337" s="75"/>
      <c r="GV337" s="75"/>
      <c r="GW337" s="75"/>
      <c r="GX337" s="75"/>
      <c r="GY337" s="75"/>
      <c r="GZ337" s="75"/>
      <c r="HA337" s="75"/>
      <c r="HB337" s="75"/>
      <c r="HC337" s="75"/>
      <c r="HD337" s="75"/>
    </row>
    <row r="338" spans="1:212" ht="1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FY338" s="76"/>
      <c r="FZ338" s="75"/>
      <c r="GA338" s="75"/>
      <c r="GB338" s="75"/>
      <c r="GC338" s="75"/>
      <c r="GD338" s="75"/>
      <c r="GE338" s="75"/>
      <c r="GF338" s="75"/>
      <c r="GG338" s="75"/>
      <c r="GH338" s="75"/>
      <c r="GI338" s="75"/>
      <c r="GJ338" s="75"/>
      <c r="GK338" s="75"/>
      <c r="GL338" s="75"/>
      <c r="GM338" s="75"/>
      <c r="GN338" s="75"/>
      <c r="GO338" s="75"/>
      <c r="GP338" s="75"/>
      <c r="GQ338" s="75"/>
      <c r="GR338" s="75"/>
      <c r="GS338" s="75"/>
      <c r="GT338" s="75"/>
      <c r="GU338" s="75"/>
      <c r="GV338" s="75"/>
      <c r="GW338" s="75"/>
      <c r="GX338" s="75"/>
      <c r="GY338" s="75"/>
      <c r="GZ338" s="75"/>
      <c r="HA338" s="75"/>
      <c r="HB338" s="75"/>
      <c r="HC338" s="75"/>
      <c r="HD338" s="75"/>
    </row>
    <row r="339" spans="1:212" ht="1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FY339" s="76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5"/>
      <c r="GK339" s="75"/>
      <c r="GL339" s="75"/>
      <c r="GM339" s="75"/>
      <c r="GN339" s="75"/>
      <c r="GO339" s="75"/>
      <c r="GP339" s="75"/>
      <c r="GQ339" s="75"/>
      <c r="GR339" s="75"/>
      <c r="GS339" s="75"/>
      <c r="GT339" s="75"/>
      <c r="GU339" s="75"/>
      <c r="GV339" s="75"/>
      <c r="GW339" s="75"/>
      <c r="GX339" s="75"/>
      <c r="GY339" s="75"/>
      <c r="GZ339" s="75"/>
      <c r="HA339" s="75"/>
      <c r="HB339" s="75"/>
      <c r="HC339" s="75"/>
      <c r="HD339" s="75"/>
    </row>
    <row r="340" spans="1:212" ht="1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FY340" s="76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5"/>
      <c r="GK340" s="75"/>
      <c r="GL340" s="75"/>
      <c r="GM340" s="75"/>
      <c r="GN340" s="75"/>
      <c r="GO340" s="75"/>
      <c r="GP340" s="75"/>
      <c r="GQ340" s="75"/>
      <c r="GR340" s="75"/>
      <c r="GS340" s="75"/>
      <c r="GT340" s="75"/>
      <c r="GU340" s="75"/>
      <c r="GV340" s="75"/>
      <c r="GW340" s="75"/>
      <c r="GX340" s="75"/>
      <c r="GY340" s="75"/>
      <c r="GZ340" s="75"/>
      <c r="HA340" s="75"/>
      <c r="HB340" s="75"/>
      <c r="HC340" s="75"/>
      <c r="HD340" s="75"/>
    </row>
    <row r="341" spans="1:212" ht="1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FY341" s="76"/>
      <c r="FZ341" s="75"/>
      <c r="GA341" s="75"/>
      <c r="GB341" s="75"/>
      <c r="GC341" s="75"/>
      <c r="GD341" s="75"/>
      <c r="GE341" s="75"/>
      <c r="GF341" s="75"/>
      <c r="GG341" s="75"/>
      <c r="GH341" s="75"/>
      <c r="GI341" s="75"/>
      <c r="GJ341" s="75"/>
      <c r="GK341" s="75"/>
      <c r="GL341" s="75"/>
      <c r="GM341" s="75"/>
      <c r="GN341" s="75"/>
      <c r="GO341" s="75"/>
      <c r="GP341" s="75"/>
      <c r="GQ341" s="75"/>
      <c r="GR341" s="75"/>
      <c r="GS341" s="75"/>
      <c r="GT341" s="75"/>
      <c r="GU341" s="75"/>
      <c r="GV341" s="75"/>
      <c r="GW341" s="75"/>
      <c r="GX341" s="75"/>
      <c r="GY341" s="75"/>
      <c r="GZ341" s="75"/>
      <c r="HA341" s="75"/>
      <c r="HB341" s="75"/>
      <c r="HC341" s="75"/>
      <c r="HD341" s="75"/>
    </row>
    <row r="342" spans="1:212" ht="1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FY342" s="76"/>
      <c r="FZ342" s="75"/>
      <c r="GA342" s="75"/>
      <c r="GB342" s="75"/>
      <c r="GC342" s="75"/>
      <c r="GD342" s="75"/>
      <c r="GE342" s="75"/>
      <c r="GF342" s="75"/>
      <c r="GG342" s="75"/>
      <c r="GH342" s="75"/>
      <c r="GI342" s="75"/>
      <c r="GJ342" s="75"/>
      <c r="GK342" s="75"/>
      <c r="GL342" s="75"/>
      <c r="GM342" s="75"/>
      <c r="GN342" s="75"/>
      <c r="GO342" s="75"/>
      <c r="GP342" s="75"/>
      <c r="GQ342" s="75"/>
      <c r="GR342" s="75"/>
      <c r="GS342" s="75"/>
      <c r="GT342" s="75"/>
      <c r="GU342" s="75"/>
      <c r="GV342" s="75"/>
      <c r="GW342" s="75"/>
      <c r="GX342" s="75"/>
      <c r="GY342" s="75"/>
      <c r="GZ342" s="75"/>
      <c r="HA342" s="75"/>
      <c r="HB342" s="75"/>
      <c r="HC342" s="75"/>
      <c r="HD342" s="75"/>
    </row>
    <row r="343" spans="1:212" ht="1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FY343" s="76"/>
      <c r="FZ343" s="75"/>
      <c r="GA343" s="75"/>
      <c r="GB343" s="75"/>
      <c r="GC343" s="75"/>
      <c r="GD343" s="75"/>
      <c r="GE343" s="75"/>
      <c r="GF343" s="75"/>
      <c r="GG343" s="75"/>
      <c r="GH343" s="75"/>
      <c r="GI343" s="75"/>
      <c r="GJ343" s="75"/>
      <c r="GK343" s="75"/>
      <c r="GL343" s="75"/>
      <c r="GM343" s="75"/>
      <c r="GN343" s="75"/>
      <c r="GO343" s="75"/>
      <c r="GP343" s="75"/>
      <c r="GQ343" s="75"/>
      <c r="GR343" s="75"/>
      <c r="GS343" s="75"/>
      <c r="GT343" s="75"/>
      <c r="GU343" s="75"/>
      <c r="GV343" s="75"/>
      <c r="GW343" s="75"/>
      <c r="GX343" s="75"/>
      <c r="GY343" s="75"/>
      <c r="GZ343" s="75"/>
      <c r="HA343" s="75"/>
      <c r="HB343" s="75"/>
      <c r="HC343" s="75"/>
      <c r="HD343" s="75"/>
    </row>
    <row r="344" spans="1:212" ht="1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FY344" s="76"/>
      <c r="FZ344" s="75"/>
      <c r="GA344" s="75"/>
      <c r="GB344" s="75"/>
      <c r="GC344" s="75"/>
      <c r="GD344" s="75"/>
      <c r="GE344" s="75"/>
      <c r="GF344" s="75"/>
      <c r="GG344" s="75"/>
      <c r="GH344" s="75"/>
      <c r="GI344" s="75"/>
      <c r="GJ344" s="75"/>
      <c r="GK344" s="75"/>
      <c r="GL344" s="75"/>
      <c r="GM344" s="75"/>
      <c r="GN344" s="75"/>
      <c r="GO344" s="75"/>
      <c r="GP344" s="75"/>
      <c r="GQ344" s="75"/>
      <c r="GR344" s="75"/>
      <c r="GS344" s="75"/>
      <c r="GT344" s="75"/>
      <c r="GU344" s="75"/>
      <c r="GV344" s="75"/>
      <c r="GW344" s="75"/>
      <c r="GX344" s="75"/>
      <c r="GY344" s="75"/>
      <c r="GZ344" s="75"/>
      <c r="HA344" s="75"/>
      <c r="HB344" s="75"/>
      <c r="HC344" s="75"/>
      <c r="HD344" s="75"/>
    </row>
    <row r="345" spans="1:212" ht="1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FY345" s="76"/>
      <c r="FZ345" s="75"/>
      <c r="GA345" s="75"/>
      <c r="GB345" s="75"/>
      <c r="GC345" s="75"/>
      <c r="GD345" s="75"/>
      <c r="GE345" s="75"/>
      <c r="GF345" s="75"/>
      <c r="GG345" s="75"/>
      <c r="GH345" s="75"/>
      <c r="GI345" s="75"/>
      <c r="GJ345" s="75"/>
      <c r="GK345" s="75"/>
      <c r="GL345" s="75"/>
      <c r="GM345" s="75"/>
      <c r="GN345" s="75"/>
      <c r="GO345" s="75"/>
      <c r="GP345" s="75"/>
      <c r="GQ345" s="75"/>
      <c r="GR345" s="75"/>
      <c r="GS345" s="75"/>
      <c r="GT345" s="75"/>
      <c r="GU345" s="75"/>
      <c r="GV345" s="75"/>
      <c r="GW345" s="75"/>
      <c r="GX345" s="75"/>
      <c r="GY345" s="75"/>
      <c r="GZ345" s="75"/>
      <c r="HA345" s="75"/>
      <c r="HB345" s="75"/>
      <c r="HC345" s="75"/>
      <c r="HD345" s="75"/>
    </row>
    <row r="346" spans="1:212" ht="1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FY346" s="76"/>
      <c r="FZ346" s="75"/>
      <c r="GA346" s="75"/>
      <c r="GB346" s="75"/>
      <c r="GC346" s="75"/>
      <c r="GD346" s="75"/>
      <c r="GE346" s="75"/>
      <c r="GF346" s="75"/>
      <c r="GG346" s="75"/>
      <c r="GH346" s="75"/>
      <c r="GI346" s="75"/>
      <c r="GJ346" s="75"/>
      <c r="GK346" s="75"/>
      <c r="GL346" s="75"/>
      <c r="GM346" s="75"/>
      <c r="GN346" s="75"/>
      <c r="GO346" s="75"/>
      <c r="GP346" s="75"/>
      <c r="GQ346" s="75"/>
      <c r="GR346" s="75"/>
      <c r="GS346" s="75"/>
      <c r="GT346" s="75"/>
      <c r="GU346" s="75"/>
      <c r="GV346" s="75"/>
      <c r="GW346" s="75"/>
      <c r="GX346" s="75"/>
      <c r="GY346" s="75"/>
      <c r="GZ346" s="75"/>
      <c r="HA346" s="75"/>
      <c r="HB346" s="75"/>
      <c r="HC346" s="75"/>
      <c r="HD346" s="75"/>
    </row>
    <row r="347" spans="1:212" ht="1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FY347" s="76"/>
      <c r="FZ347" s="75"/>
      <c r="GA347" s="75"/>
      <c r="GB347" s="75"/>
      <c r="GC347" s="75"/>
      <c r="GD347" s="75"/>
      <c r="GE347" s="75"/>
      <c r="GF347" s="75"/>
      <c r="GG347" s="75"/>
      <c r="GH347" s="75"/>
      <c r="GI347" s="75"/>
      <c r="GJ347" s="75"/>
      <c r="GK347" s="75"/>
      <c r="GL347" s="75"/>
      <c r="GM347" s="75"/>
      <c r="GN347" s="75"/>
      <c r="GO347" s="75"/>
      <c r="GP347" s="75"/>
      <c r="GQ347" s="75"/>
      <c r="GR347" s="75"/>
      <c r="GS347" s="75"/>
      <c r="GT347" s="75"/>
      <c r="GU347" s="75"/>
      <c r="GV347" s="75"/>
      <c r="GW347" s="75"/>
      <c r="GX347" s="75"/>
      <c r="GY347" s="75"/>
      <c r="GZ347" s="75"/>
      <c r="HA347" s="75"/>
      <c r="HB347" s="75"/>
      <c r="HC347" s="75"/>
      <c r="HD347" s="75"/>
    </row>
    <row r="348" spans="1:212" ht="1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FY348" s="76"/>
      <c r="FZ348" s="75"/>
      <c r="GA348" s="75"/>
      <c r="GB348" s="75"/>
      <c r="GC348" s="75"/>
      <c r="GD348" s="75"/>
      <c r="GE348" s="75"/>
      <c r="GF348" s="75"/>
      <c r="GG348" s="75"/>
      <c r="GH348" s="75"/>
      <c r="GI348" s="75"/>
      <c r="GJ348" s="75"/>
      <c r="GK348" s="75"/>
      <c r="GL348" s="75"/>
      <c r="GM348" s="75"/>
      <c r="GN348" s="75"/>
      <c r="GO348" s="75"/>
      <c r="GP348" s="75"/>
      <c r="GQ348" s="75"/>
      <c r="GR348" s="75"/>
      <c r="GS348" s="75"/>
      <c r="GT348" s="75"/>
      <c r="GU348" s="75"/>
      <c r="GV348" s="75"/>
      <c r="GW348" s="75"/>
      <c r="GX348" s="75"/>
      <c r="GY348" s="75"/>
      <c r="GZ348" s="75"/>
      <c r="HA348" s="75"/>
      <c r="HB348" s="75"/>
      <c r="HC348" s="75"/>
      <c r="HD348" s="75"/>
    </row>
    <row r="349" spans="1:212" ht="1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FY349" s="76"/>
      <c r="FZ349" s="75"/>
      <c r="GA349" s="75"/>
      <c r="GB349" s="75"/>
      <c r="GC349" s="75"/>
      <c r="GD349" s="75"/>
      <c r="GE349" s="75"/>
      <c r="GF349" s="75"/>
      <c r="GG349" s="75"/>
      <c r="GH349" s="75"/>
      <c r="GI349" s="75"/>
      <c r="GJ349" s="75"/>
      <c r="GK349" s="75"/>
      <c r="GL349" s="75"/>
      <c r="GM349" s="75"/>
      <c r="GN349" s="75"/>
      <c r="GO349" s="75"/>
      <c r="GP349" s="75"/>
      <c r="GQ349" s="75"/>
      <c r="GR349" s="75"/>
      <c r="GS349" s="75"/>
      <c r="GT349" s="75"/>
      <c r="GU349" s="75"/>
      <c r="GV349" s="75"/>
      <c r="GW349" s="75"/>
      <c r="GX349" s="75"/>
      <c r="GY349" s="75"/>
      <c r="GZ349" s="75"/>
      <c r="HA349" s="75"/>
      <c r="HB349" s="75"/>
      <c r="HC349" s="75"/>
      <c r="HD349" s="75"/>
    </row>
    <row r="350" spans="1:212" ht="1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FY350" s="76"/>
      <c r="FZ350" s="75"/>
      <c r="GA350" s="75"/>
      <c r="GB350" s="75"/>
      <c r="GC350" s="75"/>
      <c r="GD350" s="75"/>
      <c r="GE350" s="75"/>
      <c r="GF350" s="75"/>
      <c r="GG350" s="75"/>
      <c r="GH350" s="75"/>
      <c r="GI350" s="75"/>
      <c r="GJ350" s="75"/>
      <c r="GK350" s="75"/>
      <c r="GL350" s="75"/>
      <c r="GM350" s="75"/>
      <c r="GN350" s="75"/>
      <c r="GO350" s="75"/>
      <c r="GP350" s="75"/>
      <c r="GQ350" s="75"/>
      <c r="GR350" s="75"/>
      <c r="GS350" s="75"/>
      <c r="GT350" s="75"/>
      <c r="GU350" s="75"/>
      <c r="GV350" s="75"/>
      <c r="GW350" s="75"/>
      <c r="GX350" s="75"/>
      <c r="GY350" s="75"/>
      <c r="GZ350" s="75"/>
      <c r="HA350" s="75"/>
      <c r="HB350" s="75"/>
      <c r="HC350" s="75"/>
      <c r="HD350" s="75"/>
    </row>
    <row r="351" spans="1:212" ht="1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FY351" s="76"/>
      <c r="FZ351" s="75"/>
      <c r="GA351" s="75"/>
      <c r="GB351" s="75"/>
      <c r="GC351" s="75"/>
      <c r="GD351" s="75"/>
      <c r="GE351" s="75"/>
      <c r="GF351" s="75"/>
      <c r="GG351" s="75"/>
      <c r="GH351" s="75"/>
      <c r="GI351" s="75"/>
      <c r="GJ351" s="75"/>
      <c r="GK351" s="75"/>
      <c r="GL351" s="75"/>
      <c r="GM351" s="75"/>
      <c r="GN351" s="75"/>
      <c r="GO351" s="75"/>
      <c r="GP351" s="75"/>
      <c r="GQ351" s="75"/>
      <c r="GR351" s="75"/>
      <c r="GS351" s="75"/>
      <c r="GT351" s="75"/>
      <c r="GU351" s="75"/>
      <c r="GV351" s="75"/>
      <c r="GW351" s="75"/>
      <c r="GX351" s="75"/>
      <c r="GY351" s="75"/>
      <c r="GZ351" s="75"/>
      <c r="HA351" s="75"/>
      <c r="HB351" s="75"/>
      <c r="HC351" s="75"/>
      <c r="HD351" s="75"/>
    </row>
    <row r="352" spans="1:212" ht="1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FY352" s="76"/>
      <c r="FZ352" s="75"/>
      <c r="GA352" s="75"/>
      <c r="GB352" s="75"/>
      <c r="GC352" s="75"/>
      <c r="GD352" s="75"/>
      <c r="GE352" s="75"/>
      <c r="GF352" s="75"/>
      <c r="GG352" s="75"/>
      <c r="GH352" s="75"/>
      <c r="GI352" s="75"/>
      <c r="GJ352" s="75"/>
      <c r="GK352" s="75"/>
      <c r="GL352" s="75"/>
      <c r="GM352" s="75"/>
      <c r="GN352" s="75"/>
      <c r="GO352" s="75"/>
      <c r="GP352" s="75"/>
      <c r="GQ352" s="75"/>
      <c r="GR352" s="75"/>
      <c r="GS352" s="75"/>
      <c r="GT352" s="75"/>
      <c r="GU352" s="75"/>
      <c r="GV352" s="75"/>
      <c r="GW352" s="75"/>
      <c r="GX352" s="75"/>
      <c r="GY352" s="75"/>
      <c r="GZ352" s="75"/>
      <c r="HA352" s="75"/>
      <c r="HB352" s="75"/>
      <c r="HC352" s="75"/>
      <c r="HD352" s="75"/>
    </row>
    <row r="353" spans="1:212" ht="1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FY353" s="76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5"/>
      <c r="GK353" s="75"/>
      <c r="GL353" s="75"/>
      <c r="GM353" s="75"/>
      <c r="GN353" s="75"/>
      <c r="GO353" s="75"/>
      <c r="GP353" s="75"/>
      <c r="GQ353" s="75"/>
      <c r="GR353" s="75"/>
      <c r="GS353" s="75"/>
      <c r="GT353" s="75"/>
      <c r="GU353" s="75"/>
      <c r="GV353" s="75"/>
      <c r="GW353" s="75"/>
      <c r="GX353" s="75"/>
      <c r="GY353" s="75"/>
      <c r="GZ353" s="75"/>
      <c r="HA353" s="75"/>
      <c r="HB353" s="75"/>
      <c r="HC353" s="75"/>
      <c r="HD353" s="75"/>
    </row>
    <row r="354" spans="1:212" ht="1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FY354" s="76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5"/>
      <c r="GK354" s="75"/>
      <c r="GL354" s="75"/>
      <c r="GM354" s="75"/>
      <c r="GN354" s="75"/>
      <c r="GO354" s="75"/>
      <c r="GP354" s="75"/>
      <c r="GQ354" s="75"/>
      <c r="GR354" s="75"/>
      <c r="GS354" s="75"/>
      <c r="GT354" s="75"/>
      <c r="GU354" s="75"/>
      <c r="GV354" s="75"/>
      <c r="GW354" s="75"/>
      <c r="GX354" s="75"/>
      <c r="GY354" s="75"/>
      <c r="GZ354" s="75"/>
      <c r="HA354" s="75"/>
      <c r="HB354" s="75"/>
      <c r="HC354" s="75"/>
      <c r="HD354" s="75"/>
    </row>
    <row r="355" spans="1:212" ht="1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FY355" s="76"/>
      <c r="FZ355" s="75"/>
      <c r="GA355" s="75"/>
      <c r="GB355" s="75"/>
      <c r="GC355" s="75"/>
      <c r="GD355" s="75"/>
      <c r="GE355" s="75"/>
      <c r="GF355" s="75"/>
      <c r="GG355" s="75"/>
      <c r="GH355" s="75"/>
      <c r="GI355" s="75"/>
      <c r="GJ355" s="75"/>
      <c r="GK355" s="75"/>
      <c r="GL355" s="75"/>
      <c r="GM355" s="75"/>
      <c r="GN355" s="75"/>
      <c r="GO355" s="75"/>
      <c r="GP355" s="75"/>
      <c r="GQ355" s="75"/>
      <c r="GR355" s="75"/>
      <c r="GS355" s="75"/>
      <c r="GT355" s="75"/>
      <c r="GU355" s="75"/>
      <c r="GV355" s="75"/>
      <c r="GW355" s="75"/>
      <c r="GX355" s="75"/>
      <c r="GY355" s="75"/>
      <c r="GZ355" s="75"/>
      <c r="HA355" s="75"/>
      <c r="HB355" s="75"/>
      <c r="HC355" s="75"/>
      <c r="HD355" s="75"/>
    </row>
    <row r="356" spans="1:212" ht="1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FY356" s="76"/>
      <c r="FZ356" s="75"/>
      <c r="GA356" s="75"/>
      <c r="GB356" s="75"/>
      <c r="GC356" s="75"/>
      <c r="GD356" s="75"/>
      <c r="GE356" s="75"/>
      <c r="GF356" s="75"/>
      <c r="GG356" s="75"/>
      <c r="GH356" s="75"/>
      <c r="GI356" s="75"/>
      <c r="GJ356" s="75"/>
      <c r="GK356" s="75"/>
      <c r="GL356" s="75"/>
      <c r="GM356" s="75"/>
      <c r="GN356" s="75"/>
      <c r="GO356" s="75"/>
      <c r="GP356" s="75"/>
      <c r="GQ356" s="75"/>
      <c r="GR356" s="75"/>
      <c r="GS356" s="75"/>
      <c r="GT356" s="75"/>
      <c r="GU356" s="75"/>
      <c r="GV356" s="75"/>
      <c r="GW356" s="75"/>
      <c r="GX356" s="75"/>
      <c r="GY356" s="75"/>
      <c r="GZ356" s="75"/>
      <c r="HA356" s="75"/>
      <c r="HB356" s="75"/>
      <c r="HC356" s="75"/>
      <c r="HD356" s="75"/>
    </row>
    <row r="357" spans="1:212" ht="1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FY357" s="76"/>
      <c r="FZ357" s="75"/>
      <c r="GA357" s="75"/>
      <c r="GB357" s="75"/>
      <c r="GC357" s="75"/>
      <c r="GD357" s="75"/>
      <c r="GE357" s="75"/>
      <c r="GF357" s="75"/>
      <c r="GG357" s="75"/>
      <c r="GH357" s="75"/>
      <c r="GI357" s="75"/>
      <c r="GJ357" s="75"/>
      <c r="GK357" s="75"/>
      <c r="GL357" s="75"/>
      <c r="GM357" s="75"/>
      <c r="GN357" s="75"/>
      <c r="GO357" s="75"/>
      <c r="GP357" s="75"/>
      <c r="GQ357" s="75"/>
      <c r="GR357" s="75"/>
      <c r="GS357" s="75"/>
      <c r="GT357" s="75"/>
      <c r="GU357" s="75"/>
      <c r="GV357" s="75"/>
      <c r="GW357" s="75"/>
      <c r="GX357" s="75"/>
      <c r="GY357" s="75"/>
      <c r="GZ357" s="75"/>
      <c r="HA357" s="75"/>
      <c r="HB357" s="75"/>
      <c r="HC357" s="75"/>
      <c r="HD357" s="75"/>
    </row>
    <row r="358" spans="1:212" ht="1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FY358" s="76"/>
      <c r="FZ358" s="75"/>
      <c r="GA358" s="75"/>
      <c r="GB358" s="75"/>
      <c r="GC358" s="75"/>
      <c r="GD358" s="75"/>
      <c r="GE358" s="75"/>
      <c r="GF358" s="75"/>
      <c r="GG358" s="75"/>
      <c r="GH358" s="75"/>
      <c r="GI358" s="75"/>
      <c r="GJ358" s="75"/>
      <c r="GK358" s="75"/>
      <c r="GL358" s="75"/>
      <c r="GM358" s="75"/>
      <c r="GN358" s="75"/>
      <c r="GO358" s="75"/>
      <c r="GP358" s="75"/>
      <c r="GQ358" s="75"/>
      <c r="GR358" s="75"/>
      <c r="GS358" s="75"/>
      <c r="GT358" s="75"/>
      <c r="GU358" s="75"/>
      <c r="GV358" s="75"/>
      <c r="GW358" s="75"/>
      <c r="GX358" s="75"/>
      <c r="GY358" s="75"/>
      <c r="GZ358" s="75"/>
      <c r="HA358" s="75"/>
      <c r="HB358" s="75"/>
      <c r="HC358" s="75"/>
      <c r="HD358" s="75"/>
    </row>
    <row r="359" spans="1:212" ht="1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FY359" s="76"/>
      <c r="FZ359" s="75"/>
      <c r="GA359" s="75"/>
      <c r="GB359" s="75"/>
      <c r="GC359" s="75"/>
      <c r="GD359" s="75"/>
      <c r="GE359" s="75"/>
      <c r="GF359" s="75"/>
      <c r="GG359" s="75"/>
      <c r="GH359" s="75"/>
      <c r="GI359" s="75"/>
      <c r="GJ359" s="75"/>
      <c r="GK359" s="75"/>
      <c r="GL359" s="75"/>
      <c r="GM359" s="75"/>
      <c r="GN359" s="75"/>
      <c r="GO359" s="75"/>
      <c r="GP359" s="75"/>
      <c r="GQ359" s="75"/>
      <c r="GR359" s="75"/>
      <c r="GS359" s="75"/>
      <c r="GT359" s="75"/>
      <c r="GU359" s="75"/>
      <c r="GV359" s="75"/>
      <c r="GW359" s="75"/>
      <c r="GX359" s="75"/>
      <c r="GY359" s="75"/>
      <c r="GZ359" s="75"/>
      <c r="HA359" s="75"/>
      <c r="HB359" s="75"/>
      <c r="HC359" s="75"/>
      <c r="HD359" s="75"/>
    </row>
    <row r="360" spans="1:212" ht="1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FY360" s="76"/>
      <c r="FZ360" s="75"/>
      <c r="GA360" s="75"/>
      <c r="GB360" s="75"/>
      <c r="GC360" s="75"/>
      <c r="GD360" s="75"/>
      <c r="GE360" s="75"/>
      <c r="GF360" s="75"/>
      <c r="GG360" s="75"/>
      <c r="GH360" s="75"/>
      <c r="GI360" s="75"/>
      <c r="GJ360" s="75"/>
      <c r="GK360" s="75"/>
      <c r="GL360" s="75"/>
      <c r="GM360" s="75"/>
      <c r="GN360" s="75"/>
      <c r="GO360" s="75"/>
      <c r="GP360" s="75"/>
      <c r="GQ360" s="75"/>
      <c r="GR360" s="75"/>
      <c r="GS360" s="75"/>
      <c r="GT360" s="75"/>
      <c r="GU360" s="75"/>
      <c r="GV360" s="75"/>
      <c r="GW360" s="75"/>
      <c r="GX360" s="75"/>
      <c r="GY360" s="75"/>
      <c r="GZ360" s="75"/>
      <c r="HA360" s="75"/>
      <c r="HB360" s="75"/>
      <c r="HC360" s="75"/>
      <c r="HD360" s="75"/>
    </row>
    <row r="361" spans="1:212" ht="1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FY361" s="76"/>
      <c r="FZ361" s="75"/>
      <c r="GA361" s="75"/>
      <c r="GB361" s="75"/>
      <c r="GC361" s="75"/>
      <c r="GD361" s="75"/>
      <c r="GE361" s="75"/>
      <c r="GF361" s="75"/>
      <c r="GG361" s="75"/>
      <c r="GH361" s="75"/>
      <c r="GI361" s="75"/>
      <c r="GJ361" s="75"/>
      <c r="GK361" s="75"/>
      <c r="GL361" s="75"/>
      <c r="GM361" s="75"/>
      <c r="GN361" s="75"/>
      <c r="GO361" s="75"/>
      <c r="GP361" s="75"/>
      <c r="GQ361" s="75"/>
      <c r="GR361" s="75"/>
      <c r="GS361" s="75"/>
      <c r="GT361" s="75"/>
      <c r="GU361" s="75"/>
      <c r="GV361" s="75"/>
      <c r="GW361" s="75"/>
      <c r="GX361" s="75"/>
      <c r="GY361" s="75"/>
      <c r="GZ361" s="75"/>
      <c r="HA361" s="75"/>
      <c r="HB361" s="75"/>
      <c r="HC361" s="75"/>
      <c r="HD361" s="75"/>
    </row>
    <row r="362" spans="1:212" ht="1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FY362" s="76"/>
      <c r="FZ362" s="75"/>
      <c r="GA362" s="75"/>
      <c r="GB362" s="75"/>
      <c r="GC362" s="75"/>
      <c r="GD362" s="75"/>
      <c r="GE362" s="75"/>
      <c r="GF362" s="75"/>
      <c r="GG362" s="75"/>
      <c r="GH362" s="75"/>
      <c r="GI362" s="75"/>
      <c r="GJ362" s="75"/>
      <c r="GK362" s="75"/>
      <c r="GL362" s="75"/>
      <c r="GM362" s="75"/>
      <c r="GN362" s="75"/>
      <c r="GO362" s="75"/>
      <c r="GP362" s="75"/>
      <c r="GQ362" s="75"/>
      <c r="GR362" s="75"/>
      <c r="GS362" s="75"/>
      <c r="GT362" s="75"/>
      <c r="GU362" s="75"/>
      <c r="GV362" s="75"/>
      <c r="GW362" s="75"/>
      <c r="GX362" s="75"/>
      <c r="GY362" s="75"/>
      <c r="GZ362" s="75"/>
      <c r="HA362" s="75"/>
      <c r="HB362" s="75"/>
      <c r="HC362" s="75"/>
      <c r="HD362" s="75"/>
    </row>
    <row r="363" spans="1:212" ht="1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FY363" s="76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</row>
    <row r="364" spans="1:212" ht="1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FY364" s="76"/>
      <c r="FZ364" s="75"/>
      <c r="GA364" s="75"/>
      <c r="GB364" s="75"/>
      <c r="GC364" s="75"/>
      <c r="GD364" s="75"/>
      <c r="GE364" s="75"/>
      <c r="GF364" s="75"/>
      <c r="GG364" s="75"/>
      <c r="GH364" s="75"/>
      <c r="GI364" s="75"/>
      <c r="GJ364" s="75"/>
      <c r="GK364" s="75"/>
      <c r="GL364" s="75"/>
      <c r="GM364" s="75"/>
      <c r="GN364" s="75"/>
      <c r="GO364" s="75"/>
      <c r="GP364" s="75"/>
      <c r="GQ364" s="75"/>
      <c r="GR364" s="75"/>
      <c r="GS364" s="75"/>
      <c r="GT364" s="75"/>
      <c r="GU364" s="75"/>
      <c r="GV364" s="75"/>
      <c r="GW364" s="75"/>
      <c r="GX364" s="75"/>
      <c r="GY364" s="75"/>
      <c r="GZ364" s="75"/>
      <c r="HA364" s="75"/>
      <c r="HB364" s="75"/>
      <c r="HC364" s="75"/>
      <c r="HD364" s="75"/>
    </row>
    <row r="365" spans="1:212" ht="1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FY365" s="76"/>
      <c r="FZ365" s="75"/>
      <c r="GA365" s="75"/>
      <c r="GB365" s="75"/>
      <c r="GC365" s="75"/>
      <c r="GD365" s="75"/>
      <c r="GE365" s="75"/>
      <c r="GF365" s="75"/>
      <c r="GG365" s="75"/>
      <c r="GH365" s="75"/>
      <c r="GI365" s="75"/>
      <c r="GJ365" s="75"/>
      <c r="GK365" s="75"/>
      <c r="GL365" s="75"/>
      <c r="GM365" s="75"/>
      <c r="GN365" s="75"/>
      <c r="GO365" s="75"/>
      <c r="GP365" s="75"/>
      <c r="GQ365" s="75"/>
      <c r="GR365" s="75"/>
      <c r="GS365" s="75"/>
      <c r="GT365" s="75"/>
      <c r="GU365" s="75"/>
      <c r="GV365" s="75"/>
      <c r="GW365" s="75"/>
      <c r="GX365" s="75"/>
      <c r="GY365" s="75"/>
      <c r="GZ365" s="75"/>
      <c r="HA365" s="75"/>
      <c r="HB365" s="75"/>
      <c r="HC365" s="75"/>
      <c r="HD365" s="75"/>
    </row>
    <row r="366" spans="1:212" ht="1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FY366" s="76"/>
      <c r="FZ366" s="75"/>
      <c r="GA366" s="75"/>
      <c r="GB366" s="75"/>
      <c r="GC366" s="75"/>
      <c r="GD366" s="75"/>
      <c r="GE366" s="75"/>
      <c r="GF366" s="75"/>
      <c r="GG366" s="75"/>
      <c r="GH366" s="75"/>
      <c r="GI366" s="75"/>
      <c r="GJ366" s="75"/>
      <c r="GK366" s="75"/>
      <c r="GL366" s="75"/>
      <c r="GM366" s="75"/>
      <c r="GN366" s="75"/>
      <c r="GO366" s="75"/>
      <c r="GP366" s="75"/>
      <c r="GQ366" s="75"/>
      <c r="GR366" s="75"/>
      <c r="GS366" s="75"/>
      <c r="GT366" s="75"/>
      <c r="GU366" s="75"/>
      <c r="GV366" s="75"/>
      <c r="GW366" s="75"/>
      <c r="GX366" s="75"/>
      <c r="GY366" s="75"/>
      <c r="GZ366" s="75"/>
      <c r="HA366" s="75"/>
      <c r="HB366" s="75"/>
      <c r="HC366" s="75"/>
      <c r="HD366" s="75"/>
    </row>
    <row r="367" spans="1:212" ht="1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FY367" s="76"/>
      <c r="FZ367" s="75"/>
      <c r="GA367" s="75"/>
      <c r="GB367" s="75"/>
      <c r="GC367" s="75"/>
      <c r="GD367" s="75"/>
      <c r="GE367" s="75"/>
      <c r="GF367" s="75"/>
      <c r="GG367" s="75"/>
      <c r="GH367" s="75"/>
      <c r="GI367" s="75"/>
      <c r="GJ367" s="75"/>
      <c r="GK367" s="75"/>
      <c r="GL367" s="75"/>
      <c r="GM367" s="75"/>
      <c r="GN367" s="75"/>
      <c r="GO367" s="75"/>
      <c r="GP367" s="75"/>
      <c r="GQ367" s="75"/>
      <c r="GR367" s="75"/>
      <c r="GS367" s="75"/>
      <c r="GT367" s="75"/>
      <c r="GU367" s="75"/>
      <c r="GV367" s="75"/>
      <c r="GW367" s="75"/>
      <c r="GX367" s="75"/>
      <c r="GY367" s="75"/>
      <c r="GZ367" s="75"/>
      <c r="HA367" s="75"/>
      <c r="HB367" s="75"/>
      <c r="HC367" s="75"/>
      <c r="HD367" s="75"/>
    </row>
    <row r="368" spans="1:212" ht="1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FY368" s="76"/>
      <c r="FZ368" s="75"/>
      <c r="GA368" s="75"/>
      <c r="GB368" s="75"/>
      <c r="GC368" s="75"/>
      <c r="GD368" s="75"/>
      <c r="GE368" s="75"/>
      <c r="GF368" s="75"/>
      <c r="GG368" s="75"/>
      <c r="GH368" s="75"/>
      <c r="GI368" s="75"/>
      <c r="GJ368" s="75"/>
      <c r="GK368" s="75"/>
      <c r="GL368" s="75"/>
      <c r="GM368" s="75"/>
      <c r="GN368" s="75"/>
      <c r="GO368" s="75"/>
      <c r="GP368" s="75"/>
      <c r="GQ368" s="75"/>
      <c r="GR368" s="75"/>
      <c r="GS368" s="75"/>
      <c r="GT368" s="75"/>
      <c r="GU368" s="75"/>
      <c r="GV368" s="75"/>
      <c r="GW368" s="75"/>
      <c r="GX368" s="75"/>
      <c r="GY368" s="75"/>
      <c r="GZ368" s="75"/>
      <c r="HA368" s="75"/>
      <c r="HB368" s="75"/>
      <c r="HC368" s="75"/>
      <c r="HD368" s="75"/>
    </row>
    <row r="369" spans="1:212" ht="1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FY369" s="76"/>
      <c r="FZ369" s="75"/>
      <c r="GA369" s="75"/>
      <c r="GB369" s="75"/>
      <c r="GC369" s="75"/>
      <c r="GD369" s="75"/>
      <c r="GE369" s="75"/>
      <c r="GF369" s="75"/>
      <c r="GG369" s="75"/>
      <c r="GH369" s="75"/>
      <c r="GI369" s="75"/>
      <c r="GJ369" s="75"/>
      <c r="GK369" s="75"/>
      <c r="GL369" s="75"/>
      <c r="GM369" s="75"/>
      <c r="GN369" s="75"/>
      <c r="GO369" s="75"/>
      <c r="GP369" s="75"/>
      <c r="GQ369" s="75"/>
      <c r="GR369" s="75"/>
      <c r="GS369" s="75"/>
      <c r="GT369" s="75"/>
      <c r="GU369" s="75"/>
      <c r="GV369" s="75"/>
      <c r="GW369" s="75"/>
      <c r="GX369" s="75"/>
      <c r="GY369" s="75"/>
      <c r="GZ369" s="75"/>
      <c r="HA369" s="75"/>
      <c r="HB369" s="75"/>
      <c r="HC369" s="75"/>
      <c r="HD369" s="75"/>
    </row>
    <row r="370" spans="1:212" ht="1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FY370" s="76"/>
      <c r="FZ370" s="75"/>
      <c r="GA370" s="75"/>
      <c r="GB370" s="75"/>
      <c r="GC370" s="75"/>
      <c r="GD370" s="75"/>
      <c r="GE370" s="75"/>
      <c r="GF370" s="75"/>
      <c r="GG370" s="75"/>
      <c r="GH370" s="75"/>
      <c r="GI370" s="75"/>
      <c r="GJ370" s="75"/>
      <c r="GK370" s="75"/>
      <c r="GL370" s="75"/>
      <c r="GM370" s="75"/>
      <c r="GN370" s="75"/>
      <c r="GO370" s="75"/>
      <c r="GP370" s="75"/>
      <c r="GQ370" s="75"/>
      <c r="GR370" s="75"/>
      <c r="GS370" s="75"/>
      <c r="GT370" s="75"/>
      <c r="GU370" s="75"/>
      <c r="GV370" s="75"/>
      <c r="GW370" s="75"/>
      <c r="GX370" s="75"/>
      <c r="GY370" s="75"/>
      <c r="GZ370" s="75"/>
      <c r="HA370" s="75"/>
      <c r="HB370" s="75"/>
      <c r="HC370" s="75"/>
      <c r="HD370" s="75"/>
    </row>
    <row r="371" spans="1:212" ht="1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FY371" s="76"/>
      <c r="FZ371" s="75"/>
      <c r="GA371" s="75"/>
      <c r="GB371" s="75"/>
      <c r="GC371" s="75"/>
      <c r="GD371" s="75"/>
      <c r="GE371" s="75"/>
      <c r="GF371" s="75"/>
      <c r="GG371" s="75"/>
      <c r="GH371" s="75"/>
      <c r="GI371" s="75"/>
      <c r="GJ371" s="75"/>
      <c r="GK371" s="75"/>
      <c r="GL371" s="75"/>
      <c r="GM371" s="75"/>
      <c r="GN371" s="75"/>
      <c r="GO371" s="75"/>
      <c r="GP371" s="75"/>
      <c r="GQ371" s="75"/>
      <c r="GR371" s="75"/>
      <c r="GS371" s="75"/>
      <c r="GT371" s="75"/>
      <c r="GU371" s="75"/>
      <c r="GV371" s="75"/>
      <c r="GW371" s="75"/>
      <c r="GX371" s="75"/>
      <c r="GY371" s="75"/>
      <c r="GZ371" s="75"/>
      <c r="HA371" s="75"/>
      <c r="HB371" s="75"/>
      <c r="HC371" s="75"/>
      <c r="HD371" s="75"/>
    </row>
    <row r="372" spans="1:212" ht="1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FY372" s="76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</row>
    <row r="373" spans="181:212" ht="15"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5"/>
      <c r="GK373" s="75"/>
      <c r="GL373" s="75"/>
      <c r="GM373" s="75"/>
      <c r="GN373" s="75"/>
      <c r="GO373" s="75"/>
      <c r="GP373" s="75"/>
      <c r="GQ373" s="75"/>
      <c r="GR373" s="75"/>
      <c r="GS373" s="75"/>
      <c r="GT373" s="75"/>
      <c r="GU373" s="75"/>
      <c r="GV373" s="75"/>
      <c r="GW373" s="75"/>
      <c r="GX373" s="75"/>
      <c r="GY373" s="75"/>
      <c r="GZ373" s="75"/>
      <c r="HA373" s="75"/>
      <c r="HB373" s="75"/>
      <c r="HC373" s="75"/>
      <c r="HD373" s="75"/>
    </row>
    <row r="374" spans="181:212" ht="15"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  <c r="GI374" s="75"/>
      <c r="GJ374" s="75"/>
      <c r="GK374" s="75"/>
      <c r="GL374" s="75"/>
      <c r="GM374" s="75"/>
      <c r="GN374" s="75"/>
      <c r="GO374" s="75"/>
      <c r="GP374" s="75"/>
      <c r="GQ374" s="75"/>
      <c r="GR374" s="75"/>
      <c r="GS374" s="75"/>
      <c r="GT374" s="75"/>
      <c r="GU374" s="75"/>
      <c r="GV374" s="75"/>
      <c r="GW374" s="75"/>
      <c r="GX374" s="75"/>
      <c r="GY374" s="75"/>
      <c r="GZ374" s="75"/>
      <c r="HA374" s="75"/>
      <c r="HB374" s="75"/>
      <c r="HC374" s="75"/>
      <c r="HD374" s="75"/>
    </row>
    <row r="375" spans="181:212" ht="15"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  <c r="GI375" s="75"/>
      <c r="GJ375" s="75"/>
      <c r="GK375" s="75"/>
      <c r="GL375" s="75"/>
      <c r="GM375" s="75"/>
      <c r="GN375" s="75"/>
      <c r="GO375" s="75"/>
      <c r="GP375" s="75"/>
      <c r="GQ375" s="75"/>
      <c r="GR375" s="75"/>
      <c r="GS375" s="75"/>
      <c r="GT375" s="75"/>
      <c r="GU375" s="75"/>
      <c r="GV375" s="75"/>
      <c r="GW375" s="75"/>
      <c r="GX375" s="75"/>
      <c r="GY375" s="75"/>
      <c r="GZ375" s="75"/>
      <c r="HA375" s="75"/>
      <c r="HB375" s="75"/>
      <c r="HC375" s="75"/>
      <c r="HD375" s="75"/>
    </row>
    <row r="376" spans="181:212" ht="15"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  <c r="GI376" s="75"/>
      <c r="GJ376" s="75"/>
      <c r="GK376" s="75"/>
      <c r="GL376" s="75"/>
      <c r="GM376" s="75"/>
      <c r="GN376" s="75"/>
      <c r="GO376" s="75"/>
      <c r="GP376" s="75"/>
      <c r="GQ376" s="75"/>
      <c r="GR376" s="75"/>
      <c r="GS376" s="75"/>
      <c r="GT376" s="75"/>
      <c r="GU376" s="75"/>
      <c r="GV376" s="75"/>
      <c r="GW376" s="75"/>
      <c r="GX376" s="75"/>
      <c r="GY376" s="75"/>
      <c r="GZ376" s="75"/>
      <c r="HA376" s="75"/>
      <c r="HB376" s="75"/>
      <c r="HC376" s="75"/>
      <c r="HD376" s="75"/>
    </row>
    <row r="377" spans="181:212" ht="15"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  <c r="GI377" s="75"/>
      <c r="GJ377" s="75"/>
      <c r="GK377" s="75"/>
      <c r="GL377" s="75"/>
      <c r="GM377" s="75"/>
      <c r="GN377" s="75"/>
      <c r="GO377" s="75"/>
      <c r="GP377" s="75"/>
      <c r="GQ377" s="75"/>
      <c r="GR377" s="75"/>
      <c r="GS377" s="75"/>
      <c r="GT377" s="75"/>
      <c r="GU377" s="75"/>
      <c r="GV377" s="75"/>
      <c r="GW377" s="75"/>
      <c r="GX377" s="75"/>
      <c r="GY377" s="75"/>
      <c r="GZ377" s="75"/>
      <c r="HA377" s="75"/>
      <c r="HB377" s="75"/>
      <c r="HC377" s="75"/>
      <c r="HD377" s="75"/>
    </row>
    <row r="378" spans="181:212" ht="15"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  <c r="GI378" s="75"/>
      <c r="GJ378" s="75"/>
      <c r="GK378" s="75"/>
      <c r="GL378" s="75"/>
      <c r="GM378" s="75"/>
      <c r="GN378" s="75"/>
      <c r="GO378" s="75"/>
      <c r="GP378" s="75"/>
      <c r="GQ378" s="75"/>
      <c r="GR378" s="75"/>
      <c r="GS378" s="75"/>
      <c r="GT378" s="75"/>
      <c r="GU378" s="75"/>
      <c r="GV378" s="75"/>
      <c r="GW378" s="75"/>
      <c r="GX378" s="75"/>
      <c r="GY378" s="75"/>
      <c r="GZ378" s="75"/>
      <c r="HA378" s="75"/>
      <c r="HB378" s="75"/>
      <c r="HC378" s="75"/>
      <c r="HD378" s="75"/>
    </row>
    <row r="379" spans="181:212" ht="15"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  <c r="GI379" s="75"/>
      <c r="GJ379" s="75"/>
      <c r="GK379" s="75"/>
      <c r="GL379" s="75"/>
      <c r="GM379" s="75"/>
      <c r="GN379" s="75"/>
      <c r="GO379" s="75"/>
      <c r="GP379" s="75"/>
      <c r="GQ379" s="75"/>
      <c r="GR379" s="75"/>
      <c r="GS379" s="75"/>
      <c r="GT379" s="75"/>
      <c r="GU379" s="75"/>
      <c r="GV379" s="75"/>
      <c r="GW379" s="75"/>
      <c r="GX379" s="75"/>
      <c r="GY379" s="75"/>
      <c r="GZ379" s="75"/>
      <c r="HA379" s="75"/>
      <c r="HB379" s="75"/>
      <c r="HC379" s="75"/>
      <c r="HD379" s="75"/>
    </row>
    <row r="380" spans="181:212" ht="15"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  <c r="GI380" s="75"/>
      <c r="GJ380" s="75"/>
      <c r="GK380" s="75"/>
      <c r="GL380" s="75"/>
      <c r="GM380" s="75"/>
      <c r="GN380" s="75"/>
      <c r="GO380" s="75"/>
      <c r="GP380" s="75"/>
      <c r="GQ380" s="75"/>
      <c r="GR380" s="75"/>
      <c r="GS380" s="75"/>
      <c r="GT380" s="75"/>
      <c r="GU380" s="75"/>
      <c r="GV380" s="75"/>
      <c r="GW380" s="75"/>
      <c r="GX380" s="75"/>
      <c r="GY380" s="75"/>
      <c r="GZ380" s="75"/>
      <c r="HA380" s="75"/>
      <c r="HB380" s="75"/>
      <c r="HC380" s="75"/>
      <c r="HD380" s="75"/>
    </row>
    <row r="381" spans="181:212" ht="15"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5"/>
      <c r="GK381" s="75"/>
      <c r="GL381" s="75"/>
      <c r="GM381" s="75"/>
      <c r="GN381" s="75"/>
      <c r="GO381" s="75"/>
      <c r="GP381" s="75"/>
      <c r="GQ381" s="75"/>
      <c r="GR381" s="75"/>
      <c r="GS381" s="75"/>
      <c r="GT381" s="75"/>
      <c r="GU381" s="75"/>
      <c r="GV381" s="75"/>
      <c r="GW381" s="75"/>
      <c r="GX381" s="75"/>
      <c r="GY381" s="75"/>
      <c r="GZ381" s="75"/>
      <c r="HA381" s="75"/>
      <c r="HB381" s="75"/>
      <c r="HC381" s="75"/>
      <c r="HD381" s="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I52"/>
  <sheetViews>
    <sheetView showGridLines="0" zoomScalePageLayoutView="0" workbookViewId="0" topLeftCell="A27">
      <selection activeCell="C4" sqref="C4"/>
    </sheetView>
  </sheetViews>
  <sheetFormatPr defaultColWidth="9.140625" defaultRowHeight="15"/>
  <cols>
    <col min="3" max="3" width="36.00390625" style="0" bestFit="1" customWidth="1"/>
    <col min="4" max="4" width="9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84" t="s">
        <v>57</v>
      </c>
      <c r="D3" s="13" t="str">
        <f>+Input!F97</f>
        <v>Anno 1</v>
      </c>
      <c r="E3" s="13" t="str">
        <f>+Input!G97</f>
        <v>Anno 2</v>
      </c>
      <c r="F3" s="13" t="str">
        <f>+Input!H97</f>
        <v>Anno 3</v>
      </c>
      <c r="G3" s="13" t="str">
        <f>+Input!I97</f>
        <v>Anno 4</v>
      </c>
      <c r="H3" s="13" t="str">
        <f>+Input!J97</f>
        <v>Anno 5</v>
      </c>
      <c r="I3" s="15"/>
    </row>
    <row r="4" spans="2:9" ht="15">
      <c r="B4" s="16"/>
      <c r="C4" s="17" t="str">
        <f>+Input!C99</f>
        <v>spese utenze</v>
      </c>
      <c r="D4" s="33">
        <f>+Input!F99*Input!$D99</f>
        <v>630</v>
      </c>
      <c r="E4" s="33">
        <f>+Input!G99*Input!$D99</f>
        <v>630</v>
      </c>
      <c r="F4" s="33">
        <f>+Input!H99*Input!$D99</f>
        <v>630</v>
      </c>
      <c r="G4" s="33">
        <f>+Input!I99*Input!$D99</f>
        <v>630</v>
      </c>
      <c r="H4" s="33">
        <f>+Input!J99*Input!$D99</f>
        <v>630</v>
      </c>
      <c r="I4" s="15"/>
    </row>
    <row r="5" spans="2:9" ht="15">
      <c r="B5" s="16"/>
      <c r="C5" s="17" t="str">
        <f>+Input!C100</f>
        <v>spese di rappresentanza</v>
      </c>
      <c r="D5" s="33">
        <f>+Input!F100*Input!$D100</f>
        <v>0</v>
      </c>
      <c r="E5" s="33">
        <f>+Input!G100*Input!$D100</f>
        <v>0</v>
      </c>
      <c r="F5" s="33">
        <f>+Input!H100*Input!$D100</f>
        <v>0</v>
      </c>
      <c r="G5" s="33">
        <f>+Input!I100*Input!$D100</f>
        <v>0</v>
      </c>
      <c r="H5" s="33">
        <f>+Input!J100*Input!$D100</f>
        <v>0</v>
      </c>
      <c r="I5" s="15"/>
    </row>
    <row r="6" spans="2:9" ht="15">
      <c r="B6" s="16"/>
      <c r="C6" s="17" t="str">
        <f>+Input!C101</f>
        <v>spese di pubblicità e promozioni</v>
      </c>
      <c r="D6" s="33">
        <f>+Input!F101*Input!$D101</f>
        <v>0</v>
      </c>
      <c r="E6" s="33">
        <f>+Input!G101*Input!$D101</f>
        <v>0</v>
      </c>
      <c r="F6" s="33">
        <f>+Input!H101*Input!$D101</f>
        <v>0</v>
      </c>
      <c r="G6" s="33">
        <f>+Input!I101*Input!$D101</f>
        <v>0</v>
      </c>
      <c r="H6" s="33">
        <f>+Input!J101*Input!$D101</f>
        <v>0</v>
      </c>
      <c r="I6" s="15"/>
    </row>
    <row r="7" spans="2:9" ht="15">
      <c r="B7" s="16"/>
      <c r="C7" s="17" t="str">
        <f>+Input!C102</f>
        <v>beni strumentali inf. al milione</v>
      </c>
      <c r="D7" s="33">
        <f>+Input!F102*Input!$D102</f>
        <v>0</v>
      </c>
      <c r="E7" s="33">
        <f>+Input!G102*Input!$D102</f>
        <v>0</v>
      </c>
      <c r="F7" s="33">
        <f>+Input!H102*Input!$D102</f>
        <v>0</v>
      </c>
      <c r="G7" s="33">
        <f>+Input!I102*Input!$D102</f>
        <v>0</v>
      </c>
      <c r="H7" s="33">
        <f>+Input!J102*Input!$D102</f>
        <v>0</v>
      </c>
      <c r="I7" s="15"/>
    </row>
    <row r="8" spans="2:9" ht="15">
      <c r="B8" s="16"/>
      <c r="C8" s="17" t="str">
        <f>+Input!C103</f>
        <v>spese di trasporto</v>
      </c>
      <c r="D8" s="33">
        <f>+Input!F103*Input!$D103</f>
        <v>0</v>
      </c>
      <c r="E8" s="33">
        <f>+Input!G103*Input!$D103</f>
        <v>0</v>
      </c>
      <c r="F8" s="33">
        <f>+Input!H103*Input!$D103</f>
        <v>0</v>
      </c>
      <c r="G8" s="33">
        <f>+Input!I103*Input!$D103</f>
        <v>0</v>
      </c>
      <c r="H8" s="33">
        <f>+Input!J103*Input!$D103</f>
        <v>0</v>
      </c>
      <c r="I8" s="15"/>
    </row>
    <row r="9" spans="2:9" ht="15">
      <c r="B9" s="16"/>
      <c r="C9" s="17" t="str">
        <f>+Input!C104</f>
        <v>lavorazioni presso terzi</v>
      </c>
      <c r="D9" s="33">
        <f>+Input!F104*Input!$D104</f>
        <v>0</v>
      </c>
      <c r="E9" s="33">
        <f>+Input!G104*Input!$D104</f>
        <v>0</v>
      </c>
      <c r="F9" s="33">
        <f>+Input!H104*Input!$D104</f>
        <v>0</v>
      </c>
      <c r="G9" s="33">
        <f>+Input!I104*Input!$D104</f>
        <v>0</v>
      </c>
      <c r="H9" s="33">
        <f>+Input!J104*Input!$D104</f>
        <v>0</v>
      </c>
      <c r="I9" s="15"/>
    </row>
    <row r="10" spans="2:9" ht="15">
      <c r="B10" s="16"/>
      <c r="C10" s="17" t="str">
        <f>+Input!C105</f>
        <v>consulenze legali, fiscali, notarili, ecc…</v>
      </c>
      <c r="D10" s="33">
        <f>+Input!F105*Input!$D105</f>
        <v>126</v>
      </c>
      <c r="E10" s="33">
        <f>+Input!G105*Input!$D105</f>
        <v>126</v>
      </c>
      <c r="F10" s="33">
        <f>+Input!H105*Input!$D105</f>
        <v>126</v>
      </c>
      <c r="G10" s="33">
        <f>+Input!I105*Input!$D105</f>
        <v>126</v>
      </c>
      <c r="H10" s="33">
        <f>+Input!J105*Input!$D105</f>
        <v>126</v>
      </c>
      <c r="I10" s="15"/>
    </row>
    <row r="11" spans="2:9" ht="15">
      <c r="B11" s="16"/>
      <c r="C11" s="17" t="str">
        <f>+Input!C106</f>
        <v>compensi amministratori</v>
      </c>
      <c r="D11" s="33">
        <f>+Input!F106*Input!$D106</f>
        <v>0</v>
      </c>
      <c r="E11" s="33">
        <f>+Input!G106*Input!$D106</f>
        <v>0</v>
      </c>
      <c r="F11" s="33">
        <f>+Input!H106*Input!$D106</f>
        <v>0</v>
      </c>
      <c r="G11" s="33">
        <f>+Input!I106*Input!$D106</f>
        <v>0</v>
      </c>
      <c r="H11" s="33">
        <f>+Input!J106*Input!$D106</f>
        <v>0</v>
      </c>
      <c r="I11" s="15"/>
    </row>
    <row r="12" spans="2:9" ht="15">
      <c r="B12" s="16"/>
      <c r="C12" s="17" t="str">
        <f>+Input!C107</f>
        <v>affitti </v>
      </c>
      <c r="D12" s="33">
        <f>+Input!F107*Input!$D107</f>
        <v>0</v>
      </c>
      <c r="E12" s="33">
        <f>+Input!G107*Input!$D107</f>
        <v>0</v>
      </c>
      <c r="F12" s="33">
        <f>+Input!H107*Input!$D107</f>
        <v>0</v>
      </c>
      <c r="G12" s="33">
        <f>+Input!I107*Input!$D107</f>
        <v>0</v>
      </c>
      <c r="H12" s="33">
        <f>+Input!J107*Input!$D107</f>
        <v>0</v>
      </c>
      <c r="I12" s="15"/>
    </row>
    <row r="13" spans="2:9" ht="15">
      <c r="B13" s="16"/>
      <c r="C13" s="17" t="str">
        <f>+Input!C108</f>
        <v>altri costi amministrativi</v>
      </c>
      <c r="D13" s="33">
        <f>+Input!F108*Input!$D108</f>
        <v>0</v>
      </c>
      <c r="E13" s="33">
        <f>+Input!G108*Input!$D108</f>
        <v>0</v>
      </c>
      <c r="F13" s="33">
        <f>+Input!H108*Input!$D108</f>
        <v>0</v>
      </c>
      <c r="G13" s="33">
        <f>+Input!I108*Input!$D108</f>
        <v>0</v>
      </c>
      <c r="H13" s="33">
        <f>+Input!J108*Input!$D108</f>
        <v>0</v>
      </c>
      <c r="I13" s="15"/>
    </row>
    <row r="14" spans="2:9" ht="15">
      <c r="B14" s="16"/>
      <c r="C14" s="17" t="str">
        <f>+Input!C109</f>
        <v>Costi diversi</v>
      </c>
      <c r="D14" s="33">
        <f>+Input!F109*Input!$D109</f>
        <v>210</v>
      </c>
      <c r="E14" s="33">
        <f>+Input!G109*Input!$D109</f>
        <v>210</v>
      </c>
      <c r="F14" s="33">
        <f>+Input!H109*Input!$D109</f>
        <v>210</v>
      </c>
      <c r="G14" s="33">
        <f>+Input!I109*Input!$D109</f>
        <v>210</v>
      </c>
      <c r="H14" s="33">
        <f>+Input!J109*Input!$D109</f>
        <v>210</v>
      </c>
      <c r="I14" s="15"/>
    </row>
    <row r="15" spans="2:9" ht="15">
      <c r="B15" s="16"/>
      <c r="C15" s="17" t="str">
        <f>+Input!C110</f>
        <v>Premi assicurativi</v>
      </c>
      <c r="D15" s="33">
        <f>+Input!F110*Input!$D110</f>
        <v>0</v>
      </c>
      <c r="E15" s="33">
        <f>+Input!G110*Input!$D110</f>
        <v>0</v>
      </c>
      <c r="F15" s="33">
        <f>+Input!H110*Input!$D110</f>
        <v>0</v>
      </c>
      <c r="G15" s="33">
        <f>+Input!I110*Input!$D110</f>
        <v>0</v>
      </c>
      <c r="H15" s="33">
        <f>+Input!J110*Input!$D110</f>
        <v>0</v>
      </c>
      <c r="I15" s="15"/>
    </row>
    <row r="16" spans="2:9" ht="15">
      <c r="B16" s="16"/>
      <c r="C16" s="17" t="str">
        <f>+Input!C111</f>
        <v>Costo annuale fidejussione</v>
      </c>
      <c r="D16" s="33">
        <f>+Input!F111*Input!$D111</f>
        <v>0</v>
      </c>
      <c r="E16" s="33">
        <f>+Input!G111*Input!$D111</f>
        <v>0</v>
      </c>
      <c r="F16" s="33">
        <f>+Input!H111*Input!$D111</f>
        <v>0</v>
      </c>
      <c r="G16" s="33">
        <f>+Input!I111*Input!$D111</f>
        <v>0</v>
      </c>
      <c r="H16" s="33">
        <f>+Input!J111*Input!$D111</f>
        <v>0</v>
      </c>
      <c r="I16" s="15"/>
    </row>
    <row r="17" spans="2:9" ht="15">
      <c r="B17" s="16"/>
      <c r="C17" s="17" t="str">
        <f>+Input!C112</f>
        <v>Royalties Franchising</v>
      </c>
      <c r="D17" s="33">
        <f>+Input!F112*Input!$D112</f>
        <v>1260</v>
      </c>
      <c r="E17" s="33">
        <f>+Input!G112*Input!$D112</f>
        <v>1732.5</v>
      </c>
      <c r="F17" s="33">
        <f>+Input!H112*Input!$D112</f>
        <v>2211.2999999999997</v>
      </c>
      <c r="G17" s="33">
        <f>+Input!I112*Input!$D112</f>
        <v>2230.2</v>
      </c>
      <c r="H17" s="33">
        <f>+Input!J112*Input!$D112</f>
        <v>2268</v>
      </c>
      <c r="I17" s="15"/>
    </row>
    <row r="18" spans="2:9" ht="15">
      <c r="B18" s="16"/>
      <c r="C18" s="17" t="str">
        <f>+Input!C113</f>
        <v>Altri costi 3</v>
      </c>
      <c r="D18" s="33">
        <f>+Input!F113*Input!$D113</f>
        <v>0</v>
      </c>
      <c r="E18" s="33">
        <f>+Input!G113*Input!$D113</f>
        <v>0</v>
      </c>
      <c r="F18" s="33">
        <f>+Input!H113*Input!$D113</f>
        <v>0</v>
      </c>
      <c r="G18" s="33">
        <f>+Input!I113*Input!$D113</f>
        <v>0</v>
      </c>
      <c r="H18" s="33">
        <f>+Input!J113*Input!$D113</f>
        <v>0</v>
      </c>
      <c r="I18" s="15"/>
    </row>
    <row r="19" spans="2:9" ht="15">
      <c r="B19" s="16"/>
      <c r="C19" s="17" t="str">
        <f>+Input!C114</f>
        <v>Altri costi 4</v>
      </c>
      <c r="D19" s="33">
        <f>+Input!F114*Input!$D114</f>
        <v>0</v>
      </c>
      <c r="E19" s="33">
        <f>+Input!G114*Input!$D114</f>
        <v>0</v>
      </c>
      <c r="F19" s="33">
        <f>+Input!H114*Input!$D114</f>
        <v>0</v>
      </c>
      <c r="G19" s="33">
        <f>+Input!I114*Input!$D114</f>
        <v>0</v>
      </c>
      <c r="H19" s="33">
        <f>+Input!J114*Input!$D114</f>
        <v>0</v>
      </c>
      <c r="I19" s="15"/>
    </row>
    <row r="20" spans="2:9" ht="15">
      <c r="B20" s="16"/>
      <c r="C20" s="17" t="str">
        <f>+Input!C115</f>
        <v>Altri costi 5</v>
      </c>
      <c r="D20" s="33">
        <f>+Input!F115*Input!$D115</f>
        <v>0</v>
      </c>
      <c r="E20" s="33">
        <f>+Input!G115*Input!$D115</f>
        <v>0</v>
      </c>
      <c r="F20" s="33">
        <f>+Input!H115*Input!$D115</f>
        <v>0</v>
      </c>
      <c r="G20" s="33">
        <f>+Input!I115*Input!$D115</f>
        <v>0</v>
      </c>
      <c r="H20" s="33">
        <f>+Input!J115*Input!$D115</f>
        <v>0</v>
      </c>
      <c r="I20" s="15"/>
    </row>
    <row r="21" spans="2:9" ht="15">
      <c r="B21" s="16"/>
      <c r="C21" s="17" t="str">
        <f>+Input!C116</f>
        <v>Altri costi 6</v>
      </c>
      <c r="D21" s="33">
        <f>+Input!F116*Input!$D116</f>
        <v>0</v>
      </c>
      <c r="E21" s="33">
        <f>+Input!G116*Input!$D116</f>
        <v>0</v>
      </c>
      <c r="F21" s="33">
        <f>+Input!H116*Input!$D116</f>
        <v>0</v>
      </c>
      <c r="G21" s="33">
        <f>+Input!I116*Input!$D116</f>
        <v>0</v>
      </c>
      <c r="H21" s="33">
        <f>+Input!J116*Input!$D116</f>
        <v>0</v>
      </c>
      <c r="I21" s="15"/>
    </row>
    <row r="22" spans="2:9" ht="15">
      <c r="B22" s="16"/>
      <c r="C22" s="17" t="str">
        <f>+Input!C117</f>
        <v>Altri costi 7</v>
      </c>
      <c r="D22" s="33">
        <f>+Input!F117*Input!$D117</f>
        <v>0</v>
      </c>
      <c r="E22" s="33">
        <f>+Input!G117*Input!$D117</f>
        <v>0</v>
      </c>
      <c r="F22" s="33">
        <f>+Input!H117*Input!$D117</f>
        <v>0</v>
      </c>
      <c r="G22" s="33">
        <f>+Input!I117*Input!$D117</f>
        <v>0</v>
      </c>
      <c r="H22" s="33">
        <f>+Input!J117*Input!$D117</f>
        <v>0</v>
      </c>
      <c r="I22" s="15"/>
    </row>
    <row r="23" spans="2:9" ht="15">
      <c r="B23" s="16"/>
      <c r="C23" s="17" t="str">
        <f>+Input!C118</f>
        <v>Altri costi 8</v>
      </c>
      <c r="D23" s="33">
        <f>+Input!F118*Input!$D118</f>
        <v>0</v>
      </c>
      <c r="E23" s="33">
        <f>+Input!G118*Input!$D118</f>
        <v>0</v>
      </c>
      <c r="F23" s="33">
        <f>+Input!H118*Input!$D118</f>
        <v>0</v>
      </c>
      <c r="G23" s="33">
        <f>+Input!I118*Input!$D118</f>
        <v>0</v>
      </c>
      <c r="H23" s="33">
        <f>+Input!J118*Input!$D118</f>
        <v>0</v>
      </c>
      <c r="I23" s="15"/>
    </row>
    <row r="24" spans="2:9" ht="15">
      <c r="B24" s="16"/>
      <c r="C24" s="17" t="str">
        <f>+Input!C119</f>
        <v>Altri costi 9</v>
      </c>
      <c r="D24" s="33">
        <f>+Input!F119*Input!$D119</f>
        <v>0</v>
      </c>
      <c r="E24" s="33">
        <f>+Input!G119*Input!$D119</f>
        <v>0</v>
      </c>
      <c r="F24" s="33">
        <f>+Input!H119*Input!$D119</f>
        <v>0</v>
      </c>
      <c r="G24" s="33">
        <f>+Input!I119*Input!$D119</f>
        <v>0</v>
      </c>
      <c r="H24" s="33">
        <f>+Input!J119*Input!$D119</f>
        <v>0</v>
      </c>
      <c r="I24" s="15"/>
    </row>
    <row r="25" spans="2:9" ht="15">
      <c r="B25" s="16"/>
      <c r="C25" s="12" t="s">
        <v>248</v>
      </c>
      <c r="D25" s="34">
        <f>SUM(D4:D24)</f>
        <v>2226</v>
      </c>
      <c r="E25" s="34">
        <f>SUM(E4:E24)</f>
        <v>2698.5</v>
      </c>
      <c r="F25" s="34">
        <f>SUM(F4:F24)</f>
        <v>3177.2999999999997</v>
      </c>
      <c r="G25" s="34">
        <f>SUM(G4:G24)</f>
        <v>3196.2</v>
      </c>
      <c r="H25" s="34">
        <f>SUM(H4:H24)</f>
        <v>3234</v>
      </c>
      <c r="I25" s="15"/>
    </row>
    <row r="26" spans="2:9" ht="15.75" thickBot="1">
      <c r="B26" s="18"/>
      <c r="C26" s="19"/>
      <c r="D26" s="19"/>
      <c r="E26" s="19"/>
      <c r="F26" s="19"/>
      <c r="G26" s="19"/>
      <c r="H26" s="19"/>
      <c r="I26" s="20"/>
    </row>
    <row r="27" ht="15.75" thickBot="1"/>
    <row r="28" spans="2:9" ht="15">
      <c r="B28" s="8"/>
      <c r="C28" s="9"/>
      <c r="D28" s="9"/>
      <c r="E28" s="9"/>
      <c r="F28" s="9"/>
      <c r="G28" s="9"/>
      <c r="H28" s="9"/>
      <c r="I28" s="10"/>
    </row>
    <row r="29" spans="2:9" ht="15">
      <c r="B29" s="16"/>
      <c r="C29" s="13" t="s">
        <v>37</v>
      </c>
      <c r="D29" s="13" t="str">
        <f>+D3</f>
        <v>Anno 1</v>
      </c>
      <c r="E29" s="13" t="str">
        <f>+E3</f>
        <v>Anno 2</v>
      </c>
      <c r="F29" s="13" t="str">
        <f>+F3</f>
        <v>Anno 3</v>
      </c>
      <c r="G29" s="13" t="str">
        <f>+G3</f>
        <v>Anno 4</v>
      </c>
      <c r="H29" s="13" t="str">
        <f>+H3</f>
        <v>Anno 5</v>
      </c>
      <c r="I29" s="15"/>
    </row>
    <row r="30" spans="2:9" ht="15">
      <c r="B30" s="16"/>
      <c r="C30" s="17" t="str">
        <f aca="true" t="shared" si="0" ref="C30:C50">+C4</f>
        <v>spese utenze</v>
      </c>
      <c r="D30" s="45">
        <f>+Input!F99+'Altri costi'!D4</f>
        <v>3630</v>
      </c>
      <c r="E30" s="45">
        <f>+Input!G99+'Altri costi'!E4</f>
        <v>3630</v>
      </c>
      <c r="F30" s="45">
        <f>+Input!H99+'Altri costi'!F4</f>
        <v>3630</v>
      </c>
      <c r="G30" s="45">
        <f>+Input!I99+'Altri costi'!G4</f>
        <v>3630</v>
      </c>
      <c r="H30" s="45">
        <f>+Input!J99+'Altri costi'!H4</f>
        <v>3630</v>
      </c>
      <c r="I30" s="15"/>
    </row>
    <row r="31" spans="2:9" ht="15">
      <c r="B31" s="16"/>
      <c r="C31" s="17" t="str">
        <f t="shared" si="0"/>
        <v>spese di rappresentanza</v>
      </c>
      <c r="D31" s="45">
        <f>+Input!F100+'Altri costi'!D5</f>
        <v>0</v>
      </c>
      <c r="E31" s="45">
        <f>+Input!G100+'Altri costi'!E5</f>
        <v>0</v>
      </c>
      <c r="F31" s="45">
        <f>+Input!H100+'Altri costi'!F5</f>
        <v>0</v>
      </c>
      <c r="G31" s="45">
        <f>+Input!I100+'Altri costi'!G5</f>
        <v>0</v>
      </c>
      <c r="H31" s="45">
        <f>+Input!J100+'Altri costi'!H5</f>
        <v>0</v>
      </c>
      <c r="I31" s="15"/>
    </row>
    <row r="32" spans="2:9" ht="15">
      <c r="B32" s="16"/>
      <c r="C32" s="17" t="str">
        <f t="shared" si="0"/>
        <v>spese di pubblicità e promozioni</v>
      </c>
      <c r="D32" s="45">
        <f>+Input!F101+'Altri costi'!D6</f>
        <v>0</v>
      </c>
      <c r="E32" s="45">
        <f>+Input!G101+'Altri costi'!E6</f>
        <v>0</v>
      </c>
      <c r="F32" s="45">
        <f>+Input!H101+'Altri costi'!F6</f>
        <v>0</v>
      </c>
      <c r="G32" s="45">
        <f>+Input!I101+'Altri costi'!G6</f>
        <v>0</v>
      </c>
      <c r="H32" s="45">
        <f>+Input!J101+'Altri costi'!H6</f>
        <v>0</v>
      </c>
      <c r="I32" s="15"/>
    </row>
    <row r="33" spans="2:9" ht="15">
      <c r="B33" s="16"/>
      <c r="C33" s="17" t="str">
        <f t="shared" si="0"/>
        <v>beni strumentali inf. al milione</v>
      </c>
      <c r="D33" s="45">
        <f>+Input!F102+'Altri costi'!D7</f>
        <v>0</v>
      </c>
      <c r="E33" s="45">
        <f>+Input!G102+'Altri costi'!E7</f>
        <v>0</v>
      </c>
      <c r="F33" s="45">
        <f>+Input!H102+'Altri costi'!F7</f>
        <v>0</v>
      </c>
      <c r="G33" s="45">
        <f>+Input!I102+'Altri costi'!G7</f>
        <v>0</v>
      </c>
      <c r="H33" s="45">
        <f>+Input!J102+'Altri costi'!H7</f>
        <v>0</v>
      </c>
      <c r="I33" s="15"/>
    </row>
    <row r="34" spans="2:9" ht="15">
      <c r="B34" s="16"/>
      <c r="C34" s="17" t="str">
        <f t="shared" si="0"/>
        <v>spese di trasporto</v>
      </c>
      <c r="D34" s="45">
        <f>+Input!F103+'Altri costi'!D8</f>
        <v>0</v>
      </c>
      <c r="E34" s="45">
        <f>+Input!G103+'Altri costi'!E8</f>
        <v>0</v>
      </c>
      <c r="F34" s="45">
        <f>+Input!H103+'Altri costi'!F8</f>
        <v>0</v>
      </c>
      <c r="G34" s="45">
        <f>+Input!I103+'Altri costi'!G8</f>
        <v>0</v>
      </c>
      <c r="H34" s="45">
        <f>+Input!J103+'Altri costi'!H8</f>
        <v>0</v>
      </c>
      <c r="I34" s="15"/>
    </row>
    <row r="35" spans="2:9" ht="15">
      <c r="B35" s="16"/>
      <c r="C35" s="17" t="str">
        <f t="shared" si="0"/>
        <v>lavorazioni presso terzi</v>
      </c>
      <c r="D35" s="45">
        <f>+Input!F104+'Altri costi'!D9</f>
        <v>0</v>
      </c>
      <c r="E35" s="45">
        <f>+Input!G104+'Altri costi'!E9</f>
        <v>0</v>
      </c>
      <c r="F35" s="45">
        <f>+Input!H104+'Altri costi'!F9</f>
        <v>0</v>
      </c>
      <c r="G35" s="45">
        <f>+Input!I104+'Altri costi'!G9</f>
        <v>0</v>
      </c>
      <c r="H35" s="45">
        <f>+Input!J104+'Altri costi'!H9</f>
        <v>0</v>
      </c>
      <c r="I35" s="15"/>
    </row>
    <row r="36" spans="2:9" ht="15">
      <c r="B36" s="16"/>
      <c r="C36" s="17" t="str">
        <f t="shared" si="0"/>
        <v>consulenze legali, fiscali, notarili, ecc…</v>
      </c>
      <c r="D36" s="45">
        <f>+Input!F105+'Altri costi'!D10</f>
        <v>726</v>
      </c>
      <c r="E36" s="45">
        <f>+Input!G105+'Altri costi'!E10</f>
        <v>726</v>
      </c>
      <c r="F36" s="45">
        <f>+Input!H105+'Altri costi'!F10</f>
        <v>726</v>
      </c>
      <c r="G36" s="45">
        <f>+Input!I105+'Altri costi'!G10</f>
        <v>726</v>
      </c>
      <c r="H36" s="45">
        <f>+Input!J105+'Altri costi'!H10</f>
        <v>726</v>
      </c>
      <c r="I36" s="15"/>
    </row>
    <row r="37" spans="2:9" ht="15">
      <c r="B37" s="16"/>
      <c r="C37" s="17" t="str">
        <f t="shared" si="0"/>
        <v>compensi amministratori</v>
      </c>
      <c r="D37" s="45">
        <f>+Input!F106+'Altri costi'!D11</f>
        <v>0</v>
      </c>
      <c r="E37" s="45">
        <f>+Input!G106+'Altri costi'!E11</f>
        <v>0</v>
      </c>
      <c r="F37" s="45">
        <f>+Input!H106+'Altri costi'!F11</f>
        <v>0</v>
      </c>
      <c r="G37" s="45">
        <f>+Input!I106+'Altri costi'!G11</f>
        <v>0</v>
      </c>
      <c r="H37" s="45">
        <f>+Input!J106+'Altri costi'!H11</f>
        <v>0</v>
      </c>
      <c r="I37" s="15"/>
    </row>
    <row r="38" spans="2:9" ht="15">
      <c r="B38" s="16"/>
      <c r="C38" s="17" t="str">
        <f t="shared" si="0"/>
        <v>affitti </v>
      </c>
      <c r="D38" s="45">
        <f>+Input!F107+'Altri costi'!D12</f>
        <v>18000</v>
      </c>
      <c r="E38" s="45">
        <f>+Input!G107+'Altri costi'!E12</f>
        <v>18000</v>
      </c>
      <c r="F38" s="45">
        <f>+Input!H107+'Altri costi'!F12</f>
        <v>18000</v>
      </c>
      <c r="G38" s="45">
        <f>+Input!I107+'Altri costi'!G12</f>
        <v>18000</v>
      </c>
      <c r="H38" s="45">
        <f>+Input!J107+'Altri costi'!H12</f>
        <v>18000</v>
      </c>
      <c r="I38" s="15"/>
    </row>
    <row r="39" spans="2:9" ht="15">
      <c r="B39" s="16"/>
      <c r="C39" s="17" t="str">
        <f t="shared" si="0"/>
        <v>altri costi amministrativi</v>
      </c>
      <c r="D39" s="45">
        <f>+Input!F108+'Altri costi'!D13</f>
        <v>0</v>
      </c>
      <c r="E39" s="45">
        <f>+Input!G108+'Altri costi'!E13</f>
        <v>0</v>
      </c>
      <c r="F39" s="45">
        <f>+Input!H108+'Altri costi'!F13</f>
        <v>0</v>
      </c>
      <c r="G39" s="45">
        <f>+Input!I108+'Altri costi'!G13</f>
        <v>0</v>
      </c>
      <c r="H39" s="45">
        <f>+Input!J108+'Altri costi'!H13</f>
        <v>0</v>
      </c>
      <c r="I39" s="15"/>
    </row>
    <row r="40" spans="2:9" ht="15">
      <c r="B40" s="16"/>
      <c r="C40" s="17" t="str">
        <f t="shared" si="0"/>
        <v>Costi diversi</v>
      </c>
      <c r="D40" s="45">
        <f>+Input!F109+'Altri costi'!D14</f>
        <v>1210</v>
      </c>
      <c r="E40" s="45">
        <f>+Input!G109+'Altri costi'!E14</f>
        <v>1210</v>
      </c>
      <c r="F40" s="45">
        <f>+Input!H109+'Altri costi'!F14</f>
        <v>1210</v>
      </c>
      <c r="G40" s="45">
        <f>+Input!I109+'Altri costi'!G14</f>
        <v>1210</v>
      </c>
      <c r="H40" s="45">
        <f>+Input!J109+'Altri costi'!H14</f>
        <v>1210</v>
      </c>
      <c r="I40" s="15"/>
    </row>
    <row r="41" spans="2:9" ht="15">
      <c r="B41" s="16"/>
      <c r="C41" s="17" t="str">
        <f t="shared" si="0"/>
        <v>Premi assicurativi</v>
      </c>
      <c r="D41" s="45">
        <f>+Input!F110+'Altri costi'!D15</f>
        <v>500</v>
      </c>
      <c r="E41" s="45">
        <f>+Input!G110+'Altri costi'!E15</f>
        <v>500</v>
      </c>
      <c r="F41" s="45">
        <f>+Input!H110+'Altri costi'!F15</f>
        <v>500</v>
      </c>
      <c r="G41" s="45">
        <f>+Input!I110+'Altri costi'!G15</f>
        <v>500</v>
      </c>
      <c r="H41" s="45">
        <f>+Input!J110+'Altri costi'!H15</f>
        <v>500</v>
      </c>
      <c r="I41" s="15"/>
    </row>
    <row r="42" spans="2:9" ht="15">
      <c r="B42" s="16"/>
      <c r="C42" s="17" t="str">
        <f t="shared" si="0"/>
        <v>Costo annuale fidejussione</v>
      </c>
      <c r="D42" s="45">
        <f>+Input!F111+'Altri costi'!D16</f>
        <v>0</v>
      </c>
      <c r="E42" s="45">
        <f>+Input!G111+'Altri costi'!E16</f>
        <v>0</v>
      </c>
      <c r="F42" s="45">
        <f>+Input!H111+'Altri costi'!F16</f>
        <v>0</v>
      </c>
      <c r="G42" s="45">
        <f>+Input!I111+'Altri costi'!G16</f>
        <v>0</v>
      </c>
      <c r="H42" s="45">
        <f>+Input!J111+'Altri costi'!H16</f>
        <v>0</v>
      </c>
      <c r="I42" s="15"/>
    </row>
    <row r="43" spans="2:9" ht="15">
      <c r="B43" s="16"/>
      <c r="C43" s="17" t="str">
        <f t="shared" si="0"/>
        <v>Royalties Franchising</v>
      </c>
      <c r="D43" s="45">
        <f>+Input!F112+'Altri costi'!D17</f>
        <v>7260</v>
      </c>
      <c r="E43" s="45">
        <f>+Input!G112+'Altri costi'!E17</f>
        <v>9982.5</v>
      </c>
      <c r="F43" s="45">
        <f>+Input!H112+'Altri costi'!F17</f>
        <v>12741.3</v>
      </c>
      <c r="G43" s="45">
        <f>+Input!I112+'Altri costi'!G17</f>
        <v>12850.2</v>
      </c>
      <c r="H43" s="45">
        <f>+Input!J112+'Altri costi'!H17</f>
        <v>13068</v>
      </c>
      <c r="I43" s="15"/>
    </row>
    <row r="44" spans="2:9" ht="15">
      <c r="B44" s="16"/>
      <c r="C44" s="17" t="str">
        <f t="shared" si="0"/>
        <v>Altri costi 3</v>
      </c>
      <c r="D44" s="45">
        <f>+Input!F113+'Altri costi'!D18</f>
        <v>0</v>
      </c>
      <c r="E44" s="45">
        <f>+Input!G113+'Altri costi'!E18</f>
        <v>0</v>
      </c>
      <c r="F44" s="45">
        <f>+Input!H113+'Altri costi'!F18</f>
        <v>0</v>
      </c>
      <c r="G44" s="45">
        <f>+Input!I113+'Altri costi'!G18</f>
        <v>0</v>
      </c>
      <c r="H44" s="45">
        <f>+Input!J113+'Altri costi'!H18</f>
        <v>0</v>
      </c>
      <c r="I44" s="15"/>
    </row>
    <row r="45" spans="2:9" ht="15">
      <c r="B45" s="16"/>
      <c r="C45" s="17" t="str">
        <f t="shared" si="0"/>
        <v>Altri costi 4</v>
      </c>
      <c r="D45" s="45">
        <f>+Input!F114+'Altri costi'!D19</f>
        <v>0</v>
      </c>
      <c r="E45" s="45">
        <f>+Input!G114+'Altri costi'!E19</f>
        <v>0</v>
      </c>
      <c r="F45" s="45">
        <f>+Input!H114+'Altri costi'!F19</f>
        <v>0</v>
      </c>
      <c r="G45" s="45">
        <f>+Input!I114+'Altri costi'!G19</f>
        <v>0</v>
      </c>
      <c r="H45" s="45">
        <f>+Input!J114+'Altri costi'!H19</f>
        <v>0</v>
      </c>
      <c r="I45" s="15"/>
    </row>
    <row r="46" spans="2:9" ht="15">
      <c r="B46" s="16"/>
      <c r="C46" s="17" t="str">
        <f t="shared" si="0"/>
        <v>Altri costi 5</v>
      </c>
      <c r="D46" s="45">
        <f>+Input!F115+'Altri costi'!D20</f>
        <v>0</v>
      </c>
      <c r="E46" s="45">
        <f>+Input!G115+'Altri costi'!E20</f>
        <v>0</v>
      </c>
      <c r="F46" s="45">
        <f>+Input!H115+'Altri costi'!F20</f>
        <v>0</v>
      </c>
      <c r="G46" s="45">
        <f>+Input!I115+'Altri costi'!G20</f>
        <v>0</v>
      </c>
      <c r="H46" s="45">
        <f>+Input!J115+'Altri costi'!H20</f>
        <v>0</v>
      </c>
      <c r="I46" s="15"/>
    </row>
    <row r="47" spans="2:9" ht="15">
      <c r="B47" s="16"/>
      <c r="C47" s="17" t="str">
        <f t="shared" si="0"/>
        <v>Altri costi 6</v>
      </c>
      <c r="D47" s="45">
        <f>+Input!F116+'Altri costi'!D21</f>
        <v>0</v>
      </c>
      <c r="E47" s="45">
        <f>+Input!G116+'Altri costi'!E21</f>
        <v>0</v>
      </c>
      <c r="F47" s="45">
        <f>+Input!H116+'Altri costi'!F21</f>
        <v>0</v>
      </c>
      <c r="G47" s="45">
        <f>+Input!I116+'Altri costi'!G21</f>
        <v>0</v>
      </c>
      <c r="H47" s="45">
        <f>+Input!J116+'Altri costi'!H21</f>
        <v>0</v>
      </c>
      <c r="I47" s="15"/>
    </row>
    <row r="48" spans="2:9" ht="15">
      <c r="B48" s="16"/>
      <c r="C48" s="17" t="str">
        <f t="shared" si="0"/>
        <v>Altri costi 7</v>
      </c>
      <c r="D48" s="45">
        <f>+Input!F117+'Altri costi'!D22</f>
        <v>0</v>
      </c>
      <c r="E48" s="45">
        <f>+Input!G117+'Altri costi'!E22</f>
        <v>0</v>
      </c>
      <c r="F48" s="45">
        <f>+Input!H117+'Altri costi'!F22</f>
        <v>0</v>
      </c>
      <c r="G48" s="45">
        <f>+Input!I117+'Altri costi'!G22</f>
        <v>0</v>
      </c>
      <c r="H48" s="45">
        <f>+Input!J117+'Altri costi'!H22</f>
        <v>0</v>
      </c>
      <c r="I48" s="15"/>
    </row>
    <row r="49" spans="2:9" ht="15">
      <c r="B49" s="16"/>
      <c r="C49" s="17" t="str">
        <f t="shared" si="0"/>
        <v>Altri costi 8</v>
      </c>
      <c r="D49" s="45">
        <f>+Input!F118+'Altri costi'!D23</f>
        <v>0</v>
      </c>
      <c r="E49" s="45">
        <f>+Input!G118+'Altri costi'!E23</f>
        <v>0</v>
      </c>
      <c r="F49" s="45">
        <f>+Input!H118+'Altri costi'!F23</f>
        <v>0</v>
      </c>
      <c r="G49" s="45">
        <f>+Input!I118+'Altri costi'!G23</f>
        <v>0</v>
      </c>
      <c r="H49" s="45">
        <f>+Input!J118+'Altri costi'!H23</f>
        <v>0</v>
      </c>
      <c r="I49" s="15"/>
    </row>
    <row r="50" spans="2:9" ht="15">
      <c r="B50" s="16"/>
      <c r="C50" s="17" t="str">
        <f t="shared" si="0"/>
        <v>Altri costi 9</v>
      </c>
      <c r="D50" s="45">
        <f>+Input!F119+'Altri costi'!D24</f>
        <v>0</v>
      </c>
      <c r="E50" s="45">
        <f>+Input!G119+'Altri costi'!E24</f>
        <v>0</v>
      </c>
      <c r="F50" s="45">
        <f>+Input!H119+'Altri costi'!F24</f>
        <v>0</v>
      </c>
      <c r="G50" s="45">
        <f>+Input!I119+'Altri costi'!G24</f>
        <v>0</v>
      </c>
      <c r="H50" s="45">
        <f>+Input!J119+'Altri costi'!H24</f>
        <v>0</v>
      </c>
      <c r="I50" s="15"/>
    </row>
    <row r="51" spans="2:9" ht="15">
      <c r="B51" s="16"/>
      <c r="C51" s="12" t="s">
        <v>61</v>
      </c>
      <c r="D51" s="50">
        <f>SUM(D30:D50)</f>
        <v>31326</v>
      </c>
      <c r="E51" s="50">
        <f>SUM(E30:E50)</f>
        <v>34048.5</v>
      </c>
      <c r="F51" s="50">
        <f>SUM(F30:F50)</f>
        <v>36807.3</v>
      </c>
      <c r="G51" s="50">
        <f>SUM(G30:G50)</f>
        <v>36916.2</v>
      </c>
      <c r="H51" s="50">
        <f>SUM(H30:H50)</f>
        <v>37134</v>
      </c>
      <c r="I51" s="15"/>
    </row>
    <row r="52" spans="2:9" ht="15.75" thickBot="1">
      <c r="B52" s="18"/>
      <c r="C52" s="19"/>
      <c r="D52" s="19"/>
      <c r="E52" s="19"/>
      <c r="F52" s="19"/>
      <c r="G52" s="19"/>
      <c r="H52" s="19"/>
      <c r="I52" s="20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H32"/>
  <sheetViews>
    <sheetView zoomScalePageLayoutView="0" workbookViewId="0" topLeftCell="A1">
      <selection activeCell="G30" sqref="G30"/>
    </sheetView>
  </sheetViews>
  <sheetFormatPr defaultColWidth="9.140625" defaultRowHeight="15"/>
  <cols>
    <col min="2" max="2" width="26.421875" style="0" bestFit="1" customWidth="1"/>
    <col min="3" max="7" width="11.57421875" style="0" bestFit="1" customWidth="1"/>
  </cols>
  <sheetData>
    <row r="2" spans="2:3" ht="15">
      <c r="B2" t="s">
        <v>269</v>
      </c>
      <c r="C2" t="str">
        <f>+Input!D15</f>
        <v>mensile</v>
      </c>
    </row>
    <row r="4" spans="2:7" ht="15">
      <c r="B4" s="86" t="s">
        <v>252</v>
      </c>
      <c r="C4" s="7" t="s">
        <v>260</v>
      </c>
      <c r="D4" s="7" t="s">
        <v>261</v>
      </c>
      <c r="E4" s="7" t="s">
        <v>262</v>
      </c>
      <c r="F4" s="7" t="s">
        <v>263</v>
      </c>
      <c r="G4" s="7" t="s">
        <v>264</v>
      </c>
    </row>
    <row r="5" spans="2:8" ht="15">
      <c r="B5" s="17" t="s">
        <v>18</v>
      </c>
      <c r="C5" s="26">
        <f>+MCL!M41+MCL!D84</f>
        <v>42000</v>
      </c>
      <c r="D5" s="26">
        <f>+MCL!N41+MCL!E84</f>
        <v>57750</v>
      </c>
      <c r="E5" s="26">
        <f>+MCL!O41+MCL!F84</f>
        <v>73710</v>
      </c>
      <c r="F5" s="26">
        <f>+MCL!P41+MCL!G84</f>
        <v>74340</v>
      </c>
      <c r="G5" s="26">
        <f>+MCL!Q41+MCL!H84</f>
        <v>75600</v>
      </c>
      <c r="H5" s="85"/>
    </row>
    <row r="6" spans="2:8" ht="15">
      <c r="B6" s="17" t="s">
        <v>23</v>
      </c>
      <c r="C6" s="26">
        <f>+MCL!M55+Inve!M7+'Altri costi'!D25+MCL!D79</f>
        <v>50295.0315</v>
      </c>
      <c r="D6" s="26">
        <f>+MCL!N55+Inve!N7+'Altri costi'!E25+MCL!E79</f>
        <v>37860.40965000001</v>
      </c>
      <c r="E6" s="26">
        <f>+MCL!O55+Inve!O7+'Altri costi'!F25+MCL!F79</f>
        <v>47466.33780000001</v>
      </c>
      <c r="F6" s="26">
        <f>+MCL!P55+Inve!P7+'Altri costi'!G25+MCL!G79</f>
        <v>45659.8128</v>
      </c>
      <c r="G6" s="26">
        <f>+MCL!Q55+Inve!Q7+'Altri costi'!H25+MCL!H79</f>
        <v>46505.5878</v>
      </c>
      <c r="H6" s="85"/>
    </row>
    <row r="7" spans="2:8" ht="15">
      <c r="B7" s="87"/>
      <c r="C7" s="35">
        <f>+C6-C5</f>
        <v>8295.031499999997</v>
      </c>
      <c r="D7" s="35">
        <f>+D6-D5</f>
        <v>-19889.59034999999</v>
      </c>
      <c r="E7" s="35">
        <f>+E6-E5</f>
        <v>-26243.66219999999</v>
      </c>
      <c r="F7" s="35">
        <f>+F6-F5</f>
        <v>-28680.1872</v>
      </c>
      <c r="G7" s="35">
        <f>+G6-G5</f>
        <v>-29094.4122</v>
      </c>
      <c r="H7" s="87"/>
    </row>
    <row r="8" spans="2:8" ht="15">
      <c r="B8" s="87"/>
      <c r="C8" s="87"/>
      <c r="D8" s="87"/>
      <c r="E8" s="87"/>
      <c r="F8" s="87"/>
      <c r="G8" s="87"/>
      <c r="H8" s="87"/>
    </row>
    <row r="9" spans="2:8" ht="15">
      <c r="B9" s="86" t="s">
        <v>253</v>
      </c>
      <c r="C9" s="87"/>
      <c r="D9" s="87"/>
      <c r="E9" s="87"/>
      <c r="F9" s="87"/>
      <c r="G9" s="87"/>
      <c r="H9" s="87"/>
    </row>
    <row r="10" spans="2:8" ht="15">
      <c r="B10" s="86" t="s">
        <v>254</v>
      </c>
      <c r="C10" s="26">
        <f>+C7</f>
        <v>8295.031499999997</v>
      </c>
      <c r="D10" s="26">
        <f>+D7</f>
        <v>-19889.59034999999</v>
      </c>
      <c r="E10" s="26">
        <f>+E7</f>
        <v>-26243.66219999999</v>
      </c>
      <c r="F10" s="26">
        <f>+F7</f>
        <v>-28680.1872</v>
      </c>
      <c r="G10" s="26">
        <f>+G7</f>
        <v>-29094.4122</v>
      </c>
      <c r="H10" s="87"/>
    </row>
    <row r="11" spans="2:8" ht="15">
      <c r="B11" s="86" t="s">
        <v>255</v>
      </c>
      <c r="C11" s="26">
        <v>0</v>
      </c>
      <c r="D11" s="26">
        <f>+IF(D10&gt;0,0,IF(C13&gt;-D10,-D10,C13))</f>
        <v>8295.031499999997</v>
      </c>
      <c r="E11" s="26">
        <f>+IF(E10&gt;0,0,IF(D13&gt;-E10,-E10,D13))</f>
        <v>0</v>
      </c>
      <c r="F11" s="26">
        <f>+IF(F10&gt;0,0,IF(E13&gt;-F10,-F10,E13))</f>
        <v>0</v>
      </c>
      <c r="G11" s="26">
        <f>+IF(G10&gt;0,0,IF(F13&gt;-G10,-G10,F13))</f>
        <v>0</v>
      </c>
      <c r="H11" s="87"/>
    </row>
    <row r="12" spans="2:8" ht="15">
      <c r="B12" s="86" t="s">
        <v>256</v>
      </c>
      <c r="C12" s="26">
        <f>+IF((C10+C11)&gt;0,0,(C10+C11))</f>
        <v>0</v>
      </c>
      <c r="D12" s="26">
        <f>+IF((D10+D11)&gt;0,0,(D10+D11))</f>
        <v>-11594.558849999994</v>
      </c>
      <c r="E12" s="26">
        <f>+IF((E10+E11)&gt;0,0,(E10+E11))</f>
        <v>-26243.66219999999</v>
      </c>
      <c r="F12" s="26">
        <f>+IF((F10+F11)&gt;0,0,(F10+F11))</f>
        <v>-28680.1872</v>
      </c>
      <c r="G12" s="26">
        <f>+IF((G10+G11)&gt;0,0,(G10+G11))</f>
        <v>-29094.4122</v>
      </c>
      <c r="H12" s="87"/>
    </row>
    <row r="13" spans="2:8" ht="15">
      <c r="B13" s="86" t="s">
        <v>257</v>
      </c>
      <c r="C13" s="26">
        <f>+IF(C6&gt;C5,C6-C5,0)</f>
        <v>8295.031499999997</v>
      </c>
      <c r="D13" s="26">
        <f>+IF(D10&gt;0,C13+D10,C13-D11)</f>
        <v>0</v>
      </c>
      <c r="E13" s="26">
        <f>+IF(E10&gt;0,D13+E10,D13-E11)</f>
        <v>0</v>
      </c>
      <c r="F13" s="26">
        <f>+IF(F10&gt;0,E13+F10,E13-F11)</f>
        <v>0</v>
      </c>
      <c r="G13" s="26">
        <f>+IF(G10&gt;0,F13+G10,F13-G11)</f>
        <v>0</v>
      </c>
      <c r="H13" s="87"/>
    </row>
    <row r="14" spans="2:8" ht="15">
      <c r="B14" s="86" t="s">
        <v>258</v>
      </c>
      <c r="C14" s="26">
        <f>+C12*(11/12)</f>
        <v>0</v>
      </c>
      <c r="D14" s="26">
        <f>+(D12*(11/12))+(C12-C14)</f>
        <v>-10628.345612499994</v>
      </c>
      <c r="E14" s="26">
        <f>+(E12*(11/12))+(D12-D14)+(C12-C14)</f>
        <v>-25022.90358749999</v>
      </c>
      <c r="F14" s="26">
        <f>+(F12*(11/12))+(E12-E14)+(D12-D14)+(C12-C14)</f>
        <v>-28477.14345</v>
      </c>
      <c r="G14" s="26">
        <f>+(G12*(11/12))+(F12-F14)+(E12-E14)+(D12-D14)+(C12-C14)</f>
        <v>-29059.89345</v>
      </c>
      <c r="H14" s="87"/>
    </row>
    <row r="15" spans="2:8" ht="15">
      <c r="B15" s="87"/>
      <c r="C15" s="89">
        <f>+C12-C14</f>
        <v>0</v>
      </c>
      <c r="D15" s="89">
        <f>+D12-D14</f>
        <v>-966.2132375000001</v>
      </c>
      <c r="E15" s="89">
        <f>+E12-E14</f>
        <v>-1220.7586125000016</v>
      </c>
      <c r="F15" s="89">
        <f>+F12-F14</f>
        <v>-203.04375000000073</v>
      </c>
      <c r="G15" s="89">
        <f>+G12-G14</f>
        <v>-34.51874999999927</v>
      </c>
      <c r="H15" s="87"/>
    </row>
    <row r="16" spans="2:8" ht="15">
      <c r="B16" s="87"/>
      <c r="C16" s="87"/>
      <c r="D16" s="87"/>
      <c r="E16" s="87"/>
      <c r="F16" s="87"/>
      <c r="G16" s="87"/>
      <c r="H16" s="87"/>
    </row>
    <row r="17" spans="2:8" ht="15">
      <c r="B17" s="86" t="s">
        <v>259</v>
      </c>
      <c r="C17" s="87"/>
      <c r="D17" s="87"/>
      <c r="E17" s="87"/>
      <c r="F17" s="87"/>
      <c r="G17" s="87"/>
      <c r="H17" s="87"/>
    </row>
    <row r="18" spans="2:8" ht="15">
      <c r="B18" s="86" t="s">
        <v>265</v>
      </c>
      <c r="C18" s="26">
        <f>+C7</f>
        <v>8295.031499999997</v>
      </c>
      <c r="D18" s="26">
        <f>+D7</f>
        <v>-19889.59034999999</v>
      </c>
      <c r="E18" s="26">
        <f>+E7</f>
        <v>-26243.66219999999</v>
      </c>
      <c r="F18" s="26">
        <f>+F7</f>
        <v>-28680.1872</v>
      </c>
      <c r="G18" s="26">
        <f>+G7</f>
        <v>-29094.4122</v>
      </c>
      <c r="H18" s="87"/>
    </row>
    <row r="19" spans="2:8" ht="15">
      <c r="B19" s="86" t="s">
        <v>255</v>
      </c>
      <c r="C19" s="26">
        <v>0</v>
      </c>
      <c r="D19" s="26">
        <f>+IF(D18&gt;0,0,IF(C21&gt;-D18,-D18,C21))</f>
        <v>8295.031499999997</v>
      </c>
      <c r="E19" s="26">
        <f>+IF(E18&gt;0,0,IF(D21&gt;-E18,-E18,D21))</f>
        <v>0</v>
      </c>
      <c r="F19" s="26">
        <f>+IF(F18&gt;0,0,IF(E21&gt;-F18,-F18,E21))</f>
        <v>0</v>
      </c>
      <c r="G19" s="26">
        <f>+IF(G18&gt;0,0,IF(F21&gt;-G18,-G18,F21))</f>
        <v>0</v>
      </c>
      <c r="H19" s="87"/>
    </row>
    <row r="20" spans="2:8" ht="15">
      <c r="B20" s="86" t="s">
        <v>256</v>
      </c>
      <c r="C20" s="26">
        <f>+IF((C18+C19)&gt;0,0,(C18+C19))</f>
        <v>0</v>
      </c>
      <c r="D20" s="26">
        <f>+IF((D18+D19)&gt;0,0,(D18+D19))</f>
        <v>-11594.558849999994</v>
      </c>
      <c r="E20" s="26">
        <f>+IF((E18+E19)&gt;0,0,(E18+E19))</f>
        <v>-26243.66219999999</v>
      </c>
      <c r="F20" s="26">
        <f>+IF((F18+F19)&gt;0,0,(F18+F19))</f>
        <v>-28680.1872</v>
      </c>
      <c r="G20" s="26">
        <f>+IF((G18+G19)&gt;0,0,(G18+G19))</f>
        <v>-29094.4122</v>
      </c>
      <c r="H20" s="87"/>
    </row>
    <row r="21" spans="2:8" ht="15">
      <c r="B21" s="86" t="s">
        <v>257</v>
      </c>
      <c r="C21" s="26">
        <f>+IF(C6&gt;C5,C6-C5,0)</f>
        <v>8295.031499999997</v>
      </c>
      <c r="D21" s="26">
        <f>+IF(D18&gt;0,C21+D18,C21-D19)</f>
        <v>0</v>
      </c>
      <c r="E21" s="26">
        <f>+IF(E18&gt;0,D21+E18,D21-E19)</f>
        <v>0</v>
      </c>
      <c r="F21" s="26">
        <f>+IF(F18&gt;0,E21+F18,E21-F19)</f>
        <v>0</v>
      </c>
      <c r="G21" s="26">
        <f>+IF(G18&gt;0,F21+G18,F21-G19)</f>
        <v>0</v>
      </c>
      <c r="H21" s="87"/>
    </row>
    <row r="22" spans="2:8" ht="15">
      <c r="B22" s="86" t="s">
        <v>258</v>
      </c>
      <c r="C22" s="26">
        <f>+C20*(9/12)</f>
        <v>0</v>
      </c>
      <c r="D22" s="26">
        <f>+(D20*(9/12))+(C20-C22)</f>
        <v>-8695.919137499995</v>
      </c>
      <c r="E22" s="26">
        <f>+(E20*(9/12)*(9/12))+(D20-D22)+(C20-C22)</f>
        <v>-17660.699699999994</v>
      </c>
      <c r="F22" s="26">
        <f>+(F20*(9/12))+(E20-E22)+(D20-D22)+(C20-C22)</f>
        <v>-32991.7426125</v>
      </c>
      <c r="G22" s="26">
        <f>+(G20*(9/12))+(F20-F22)+(E20-E22)+(D20-D22)+(C20-C22)</f>
        <v>-28990.855949999997</v>
      </c>
      <c r="H22" s="87"/>
    </row>
    <row r="23" spans="2:8" ht="15">
      <c r="B23" s="86"/>
      <c r="C23" s="26"/>
      <c r="D23" s="26"/>
      <c r="E23" s="26"/>
      <c r="F23" s="26"/>
      <c r="G23" s="26"/>
      <c r="H23" s="87"/>
    </row>
    <row r="24" spans="2:8" ht="15">
      <c r="B24" s="86"/>
      <c r="C24" s="26"/>
      <c r="D24" s="26"/>
      <c r="E24" s="26"/>
      <c r="F24" s="26"/>
      <c r="G24" s="26"/>
      <c r="H24" s="87"/>
    </row>
    <row r="25" spans="2:8" ht="15">
      <c r="B25" s="86" t="s">
        <v>23</v>
      </c>
      <c r="C25" s="26">
        <f>+IF($C$2="mensile",C13,C21)</f>
        <v>8295.031499999997</v>
      </c>
      <c r="D25" s="26">
        <f>+IF($C$2="mensile",D13,D21)</f>
        <v>0</v>
      </c>
      <c r="E25" s="26">
        <f>+IF($C$2="mensile",E13,E21)</f>
        <v>0</v>
      </c>
      <c r="F25" s="26">
        <f>+IF($C$2="mensile",F13,F21)</f>
        <v>0</v>
      </c>
      <c r="G25" s="26">
        <f>+IF($C$2="mensile",G13,G21)</f>
        <v>0</v>
      </c>
      <c r="H25" s="87"/>
    </row>
    <row r="26" spans="2:8" ht="15">
      <c r="B26" s="86" t="s">
        <v>18</v>
      </c>
      <c r="C26" s="26">
        <f>+IF($C$2="mensile",-(C12-C14),-(C20-C22))</f>
        <v>0</v>
      </c>
      <c r="D26" s="26">
        <f>+IF($C$2="mensile",-(D12-D14),-(D20-D22))+C26</f>
        <v>966.2132375000001</v>
      </c>
      <c r="E26" s="26">
        <f>+IF($C$2="mensile",-(E12-E14),-(E20-E22))+D26</f>
        <v>2186.9718500000017</v>
      </c>
      <c r="F26" s="26">
        <f>+IF($C$2="mensile",-(F12-F14),-(F20-F22))+E26</f>
        <v>2390.0156000000025</v>
      </c>
      <c r="G26" s="26">
        <f>+IF($C$2="mensile",-(G12-G14),-(G20-G22))+F26</f>
        <v>2424.5343500000017</v>
      </c>
      <c r="H26" s="87"/>
    </row>
    <row r="27" spans="2:8" ht="15">
      <c r="B27" s="86" t="s">
        <v>258</v>
      </c>
      <c r="C27" s="26">
        <f>IF($C$2="mensile",-C14,-C22)</f>
        <v>0</v>
      </c>
      <c r="D27" s="26">
        <f>IF($C$2="mensile",-D14,-D22)</f>
        <v>10628.345612499994</v>
      </c>
      <c r="E27" s="26">
        <f>IF($C$2="mensile",-E14,-E22)</f>
        <v>25022.90358749999</v>
      </c>
      <c r="F27" s="26">
        <f>IF($C$2="mensile",-F14,-F22)</f>
        <v>28477.14345</v>
      </c>
      <c r="G27" s="26">
        <f>IF($C$2="mensile",-G14,-G22)</f>
        <v>29059.89345</v>
      </c>
      <c r="H27" s="87"/>
    </row>
    <row r="28" spans="3:7" ht="15">
      <c r="C28" s="25"/>
      <c r="D28" s="25"/>
      <c r="E28" s="25"/>
      <c r="F28" s="25"/>
      <c r="G28" s="25"/>
    </row>
    <row r="31" ht="15">
      <c r="B31" t="s">
        <v>270</v>
      </c>
    </row>
    <row r="32" ht="15">
      <c r="B32" t="s">
        <v>270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J25"/>
  <sheetViews>
    <sheetView showGridLines="0" zoomScalePageLayoutView="0" workbookViewId="0" topLeftCell="A1">
      <selection activeCell="H16" sqref="H16"/>
    </sheetView>
  </sheetViews>
  <sheetFormatPr defaultColWidth="9.140625" defaultRowHeight="15"/>
  <cols>
    <col min="2" max="2" width="5.421875" style="0" customWidth="1"/>
    <col min="3" max="3" width="12.421875" style="0" bestFit="1" customWidth="1"/>
    <col min="4" max="4" width="27.28125" style="0" customWidth="1"/>
    <col min="5" max="8" width="11.57421875" style="0" bestFit="1" customWidth="1"/>
    <col min="9" max="9" width="11.7109375" style="0" bestFit="1" customWidth="1"/>
  </cols>
  <sheetData>
    <row r="1" ht="15.75" thickBot="1"/>
    <row r="2" spans="2:10" ht="15">
      <c r="B2" s="8"/>
      <c r="C2" s="9"/>
      <c r="D2" s="9"/>
      <c r="E2" s="9"/>
      <c r="F2" s="9"/>
      <c r="G2" s="9"/>
      <c r="H2" s="9"/>
      <c r="I2" s="9"/>
      <c r="J2" s="10"/>
    </row>
    <row r="3" spans="2:10" ht="15">
      <c r="B3" s="16"/>
      <c r="C3" s="17" t="s">
        <v>291</v>
      </c>
      <c r="D3" s="99">
        <v>0.039</v>
      </c>
      <c r="E3" s="17"/>
      <c r="F3" s="17"/>
      <c r="G3" s="17"/>
      <c r="H3" s="17"/>
      <c r="I3" s="17"/>
      <c r="J3" s="15"/>
    </row>
    <row r="4" spans="2:10" ht="15">
      <c r="B4" s="16"/>
      <c r="C4" s="17"/>
      <c r="D4" s="17"/>
      <c r="E4" s="17"/>
      <c r="F4" s="17"/>
      <c r="G4" s="17"/>
      <c r="H4" s="17"/>
      <c r="I4" s="17"/>
      <c r="J4" s="15"/>
    </row>
    <row r="5" spans="2:10" ht="15">
      <c r="B5" s="16"/>
      <c r="C5" s="17"/>
      <c r="D5" s="100"/>
      <c r="E5" s="13" t="str">
        <f>+'Irpef socio'!D3</f>
        <v>Anno 1</v>
      </c>
      <c r="F5" s="13" t="str">
        <f>+'Irpef socio'!E3</f>
        <v>Anno 2</v>
      </c>
      <c r="G5" s="13" t="str">
        <f>+'Irpef socio'!F3</f>
        <v>Anno 3</v>
      </c>
      <c r="H5" s="13" t="str">
        <f>+'Irpef socio'!G3</f>
        <v>Anno 4</v>
      </c>
      <c r="I5" s="13" t="str">
        <f>+'Irpef socio'!H3</f>
        <v>Anno 5</v>
      </c>
      <c r="J5" s="15"/>
    </row>
    <row r="6" spans="2:10" ht="15">
      <c r="B6" s="16"/>
      <c r="C6" s="17"/>
      <c r="D6" s="12" t="s">
        <v>285</v>
      </c>
      <c r="E6" s="34">
        <f>+'CE'!D51</f>
        <v>-4040.5340750000237</v>
      </c>
      <c r="F6" s="34">
        <f>+'CE'!E51</f>
        <v>24889.834999999977</v>
      </c>
      <c r="G6" s="34">
        <f>+'CE'!F51</f>
        <v>54058.81999999998</v>
      </c>
      <c r="H6" s="34">
        <f>+'CE'!G51</f>
        <v>55424.404217962896</v>
      </c>
      <c r="I6" s="34">
        <f>+'CE'!H51</f>
        <v>57993.300120285065</v>
      </c>
      <c r="J6" s="15"/>
    </row>
    <row r="7" spans="2:10" ht="15">
      <c r="B7" s="16"/>
      <c r="C7" s="17"/>
      <c r="D7" s="17"/>
      <c r="E7" s="17"/>
      <c r="F7" s="17"/>
      <c r="G7" s="17"/>
      <c r="H7" s="17"/>
      <c r="I7" s="17"/>
      <c r="J7" s="15"/>
    </row>
    <row r="8" spans="2:10" ht="15">
      <c r="B8" s="16"/>
      <c r="C8" s="17"/>
      <c r="D8" s="17" t="s">
        <v>286</v>
      </c>
      <c r="E8" s="17"/>
      <c r="F8" s="17"/>
      <c r="G8" s="17"/>
      <c r="H8" s="17"/>
      <c r="I8" s="17"/>
      <c r="J8" s="15"/>
    </row>
    <row r="9" spans="2:10" ht="15">
      <c r="B9" s="16"/>
      <c r="C9" s="17"/>
      <c r="D9" s="17" t="s">
        <v>287</v>
      </c>
      <c r="E9" s="33">
        <f>+'CE'!D43</f>
        <v>42600</v>
      </c>
      <c r="F9" s="33">
        <f>+'CE'!E43</f>
        <v>44730</v>
      </c>
      <c r="G9" s="33">
        <f>+'CE'!F43</f>
        <v>44730</v>
      </c>
      <c r="H9" s="33">
        <f>+'CE'!G43</f>
        <v>44730</v>
      </c>
      <c r="I9" s="33">
        <f>+'CE'!H43</f>
        <v>44730</v>
      </c>
      <c r="J9" s="15"/>
    </row>
    <row r="10" spans="2:10" ht="15">
      <c r="B10" s="16"/>
      <c r="C10" s="17"/>
      <c r="D10" s="17" t="s">
        <v>224</v>
      </c>
      <c r="E10" s="33">
        <f>+'CE'!D46</f>
        <v>0</v>
      </c>
      <c r="F10" s="33">
        <f>+'CE'!E46</f>
        <v>0</v>
      </c>
      <c r="G10" s="33">
        <f>+'CE'!F46</f>
        <v>0</v>
      </c>
      <c r="H10" s="33">
        <f>+'CE'!G46</f>
        <v>0</v>
      </c>
      <c r="I10" s="33">
        <f>+'CE'!H46</f>
        <v>0</v>
      </c>
      <c r="J10" s="15"/>
    </row>
    <row r="11" spans="2:10" ht="15">
      <c r="B11" s="16"/>
      <c r="C11" s="17"/>
      <c r="D11" s="12" t="s">
        <v>288</v>
      </c>
      <c r="E11" s="34">
        <f>SUM(E9:E10)</f>
        <v>42600</v>
      </c>
      <c r="F11" s="34">
        <f>SUM(F9:F10)</f>
        <v>44730</v>
      </c>
      <c r="G11" s="34">
        <f>SUM(G9:G10)</f>
        <v>44730</v>
      </c>
      <c r="H11" s="34">
        <f>SUM(H9:H10)</f>
        <v>44730</v>
      </c>
      <c r="I11" s="34">
        <f>SUM(I9:I10)</f>
        <v>44730</v>
      </c>
      <c r="J11" s="15"/>
    </row>
    <row r="12" spans="2:10" ht="15">
      <c r="B12" s="16"/>
      <c r="C12" s="17"/>
      <c r="D12" s="17"/>
      <c r="E12" s="17"/>
      <c r="F12" s="17"/>
      <c r="G12" s="17"/>
      <c r="H12" s="17"/>
      <c r="I12" s="17"/>
      <c r="J12" s="15"/>
    </row>
    <row r="13" spans="2:10" ht="15">
      <c r="B13" s="16"/>
      <c r="C13" s="17"/>
      <c r="D13" s="17"/>
      <c r="E13" s="17"/>
      <c r="F13" s="17"/>
      <c r="G13" s="17"/>
      <c r="H13" s="17"/>
      <c r="I13" s="17"/>
      <c r="J13" s="15"/>
    </row>
    <row r="14" spans="2:10" ht="15">
      <c r="B14" s="16"/>
      <c r="C14" s="17"/>
      <c r="D14" s="17" t="s">
        <v>289</v>
      </c>
      <c r="E14" s="45">
        <f>+E6+E11</f>
        <v>38559.465924999975</v>
      </c>
      <c r="F14" s="45">
        <f>+F6+F11</f>
        <v>69619.83499999998</v>
      </c>
      <c r="G14" s="45">
        <f>+G6+G11</f>
        <v>98788.81999999998</v>
      </c>
      <c r="H14" s="45">
        <f>+H6+H11</f>
        <v>100154.4042179629</v>
      </c>
      <c r="I14" s="45">
        <f>+I6+I11</f>
        <v>102723.30012028507</v>
      </c>
      <c r="J14" s="15"/>
    </row>
    <row r="15" spans="2:10" ht="15">
      <c r="B15" s="16"/>
      <c r="C15" s="17"/>
      <c r="D15" s="17"/>
      <c r="E15" s="17"/>
      <c r="F15" s="17"/>
      <c r="G15" s="17"/>
      <c r="H15" s="17"/>
      <c r="I15" s="17"/>
      <c r="J15" s="15"/>
    </row>
    <row r="16" spans="2:10" ht="15">
      <c r="B16" s="16"/>
      <c r="C16" s="17"/>
      <c r="D16" s="17" t="s">
        <v>292</v>
      </c>
      <c r="E16" s="45">
        <f>+E14*$D$3</f>
        <v>1503.819171074999</v>
      </c>
      <c r="F16" s="45">
        <f>+F14*$D$3</f>
        <v>2715.173564999999</v>
      </c>
      <c r="G16" s="45">
        <f>+G14*$D$3</f>
        <v>3852.7639799999993</v>
      </c>
      <c r="H16" s="45">
        <f>+H14*$D$3</f>
        <v>3906.021764500553</v>
      </c>
      <c r="I16" s="45">
        <f>+I14*$D$3</f>
        <v>4006.208704691118</v>
      </c>
      <c r="J16" s="15"/>
    </row>
    <row r="17" spans="2:10" ht="15">
      <c r="B17" s="16"/>
      <c r="C17" s="17"/>
      <c r="D17" s="17"/>
      <c r="E17" s="17"/>
      <c r="F17" s="17"/>
      <c r="G17" s="17"/>
      <c r="H17" s="17"/>
      <c r="I17" s="17"/>
      <c r="J17" s="15"/>
    </row>
    <row r="18" spans="2:10" ht="15">
      <c r="B18" s="16"/>
      <c r="C18" s="17"/>
      <c r="D18" s="17" t="s">
        <v>293</v>
      </c>
      <c r="E18" s="17">
        <v>0</v>
      </c>
      <c r="F18" s="45">
        <f>+E16*2</f>
        <v>3007.638342149998</v>
      </c>
      <c r="G18" s="45">
        <f>+F16</f>
        <v>2715.173564999999</v>
      </c>
      <c r="H18" s="45">
        <f>+G16</f>
        <v>3852.7639799999993</v>
      </c>
      <c r="I18" s="45">
        <f>+H16</f>
        <v>3906.021764500553</v>
      </c>
      <c r="J18" s="15"/>
    </row>
    <row r="19" spans="2:10" ht="15">
      <c r="B19" s="16"/>
      <c r="C19" s="17"/>
      <c r="D19" s="17"/>
      <c r="E19" s="17"/>
      <c r="F19" s="17"/>
      <c r="G19" s="17"/>
      <c r="H19" s="17"/>
      <c r="I19" s="17"/>
      <c r="J19" s="15"/>
    </row>
    <row r="20" spans="2:10" ht="15">
      <c r="B20" s="16"/>
      <c r="C20" s="17"/>
      <c r="D20" s="17" t="s">
        <v>294</v>
      </c>
      <c r="E20" s="45">
        <f>+IF($E$16-$E$18&gt;0,$E$16-$E$18,0)</f>
        <v>1503.819171074999</v>
      </c>
      <c r="F20" s="45">
        <f>+IF(SUM(E$16:F16)-SUM($E$18:$F$18)&gt;0,SUM($E$16:$F$16)-SUM($E$18:$F$18),0)</f>
        <v>1211.3543939249998</v>
      </c>
      <c r="G20" s="45">
        <f>+IF(SUM($E$16:$G$16)-SUM($E$18:$G$18)&gt;0,SUM($E$16:$G$16)-SUM($E$18:$G$18),0)</f>
        <v>2348.944808925</v>
      </c>
      <c r="H20" s="45">
        <f>+IF(SUM($E$16:$H$16)-SUM($E$18:$H$18)&gt;0,SUM($E$16:$H$16)-SUM($E$18:$H$18),0)</f>
        <v>2402.2025934255544</v>
      </c>
      <c r="I20" s="45">
        <f>+IF(SUM($E$16:$I$16)-SUM($E$18:$I$18)&gt;0,SUM($E$16:$I$16)-SUM($E$18:$I$18),0)</f>
        <v>2502.3895336161186</v>
      </c>
      <c r="J20" s="15"/>
    </row>
    <row r="21" spans="2:10" ht="15">
      <c r="B21" s="16"/>
      <c r="C21" s="17"/>
      <c r="D21" s="17" t="s">
        <v>295</v>
      </c>
      <c r="E21" s="45">
        <f>+IF($E$16-$E$18&lt;0,-($E$16-$E$18),0)</f>
        <v>0</v>
      </c>
      <c r="F21" s="45">
        <f>+IF(SUM(E$16:F17)-SUM($E$18:$F$18)&lt;0,-(SUM($E$16:$F$16)-SUM($E$18:$F$18)),0)</f>
        <v>0</v>
      </c>
      <c r="G21" s="45">
        <f>+IF(SUM($E$16:$G$16)-SUM($E$18:$G$18)&lt;0,-(SUM($E$16:$G$16)-SUM($E$18:$G$18)),0)</f>
        <v>0</v>
      </c>
      <c r="H21" s="45">
        <f>+IF(SUM($E$16:$H$16)-SUM($E$18:$H$18)&lt;0,-(SUM($E$16:$H$16)-SUM($E$18:$H$18)),0)</f>
        <v>0</v>
      </c>
      <c r="I21" s="45">
        <f>+IF(SUM($E$16:$I$16)-SUM($E$18:$I$18)&lt;0,-(SUM($E$16:$I$16)-SUM($E$18:$I$18)),0)</f>
        <v>0</v>
      </c>
      <c r="J21" s="15"/>
    </row>
    <row r="22" spans="2:10" ht="15">
      <c r="B22" s="16"/>
      <c r="C22" s="17"/>
      <c r="D22" s="17"/>
      <c r="E22" s="17"/>
      <c r="F22" s="17"/>
      <c r="G22" s="17"/>
      <c r="H22" s="17"/>
      <c r="I22" s="17"/>
      <c r="J22" s="15"/>
    </row>
    <row r="23" spans="2:10" ht="15">
      <c r="B23" s="16"/>
      <c r="C23" s="17"/>
      <c r="D23" s="17" t="s">
        <v>37</v>
      </c>
      <c r="E23" s="45">
        <f>+E18</f>
        <v>0</v>
      </c>
      <c r="F23" s="45">
        <f>+F18</f>
        <v>3007.638342149998</v>
      </c>
      <c r="G23" s="45">
        <f>+G18</f>
        <v>2715.173564999999</v>
      </c>
      <c r="H23" s="45">
        <f>+H18</f>
        <v>3852.7639799999993</v>
      </c>
      <c r="I23" s="45">
        <f>+I18</f>
        <v>3906.021764500553</v>
      </c>
      <c r="J23" s="15"/>
    </row>
    <row r="24" spans="2:10" ht="15">
      <c r="B24" s="16"/>
      <c r="C24" s="17"/>
      <c r="D24" s="17"/>
      <c r="E24" s="17"/>
      <c r="F24" s="17"/>
      <c r="G24" s="17"/>
      <c r="H24" s="17"/>
      <c r="I24" s="17"/>
      <c r="J24" s="15"/>
    </row>
    <row r="25" spans="2:10" ht="15.75" thickBot="1">
      <c r="B25" s="18"/>
      <c r="C25" s="19"/>
      <c r="D25" s="19"/>
      <c r="E25" s="19"/>
      <c r="F25" s="19"/>
      <c r="G25" s="19"/>
      <c r="H25" s="19"/>
      <c r="I25" s="19"/>
      <c r="J2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Z292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13.28125" defaultRowHeight="15"/>
  <cols>
    <col min="1" max="1" width="17.7109375" style="87" bestFit="1" customWidth="1"/>
    <col min="2" max="2" width="6.421875" style="87" bestFit="1" customWidth="1"/>
    <col min="3" max="3" width="67.8515625" style="87" bestFit="1" customWidth="1"/>
    <col min="4" max="6" width="11.57421875" style="87" bestFit="1" customWidth="1"/>
    <col min="7" max="11" width="20.28125" style="87" bestFit="1" customWidth="1"/>
    <col min="12" max="12" width="9.140625" style="87" customWidth="1"/>
    <col min="13" max="13" width="11.28125" style="87" bestFit="1" customWidth="1"/>
    <col min="14" max="14" width="9.140625" style="87" customWidth="1"/>
    <col min="15" max="15" width="11.00390625" style="87" bestFit="1" customWidth="1"/>
    <col min="16" max="225" width="9.140625" style="87" customWidth="1"/>
    <col min="226" max="226" width="17.7109375" style="87" bestFit="1" customWidth="1"/>
    <col min="227" max="227" width="55.57421875" style="87" bestFit="1" customWidth="1"/>
    <col min="228" max="238" width="11.57421875" style="87" bestFit="1" customWidth="1"/>
    <col min="239" max="239" width="13.28125" style="87" bestFit="1" customWidth="1"/>
    <col min="240" max="249" width="11.57421875" style="87" bestFit="1" customWidth="1"/>
    <col min="250" max="250" width="13.28125" style="87" bestFit="1" customWidth="1"/>
    <col min="251" max="16384" width="13.28125" style="87" customWidth="1"/>
  </cols>
  <sheetData>
    <row r="1" spans="3:52" s="86" customFormat="1" ht="15">
      <c r="C1" s="91"/>
      <c r="D1" s="91"/>
      <c r="E1" s="91"/>
      <c r="F1" s="91"/>
      <c r="G1" s="91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</row>
    <row r="2" spans="3:52" s="86" customFormat="1" ht="15">
      <c r="C2" s="91"/>
      <c r="D2" s="91"/>
      <c r="E2" s="91"/>
      <c r="F2" s="91"/>
      <c r="G2" s="91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</row>
    <row r="3" spans="3:52" s="86" customFormat="1" ht="15">
      <c r="C3" s="86" t="s">
        <v>271</v>
      </c>
      <c r="D3" s="93" t="str">
        <f>+Input!D6</f>
        <v>Anno 1</v>
      </c>
      <c r="E3" s="93" t="str">
        <f>+Input!E6</f>
        <v>Anno 2</v>
      </c>
      <c r="F3" s="93" t="str">
        <f>+Input!F6</f>
        <v>Anno 3</v>
      </c>
      <c r="G3" s="93" t="str">
        <f>+Input!G6</f>
        <v>Anno 4</v>
      </c>
      <c r="H3" s="93" t="str">
        <f>+Input!H6</f>
        <v>Anno 5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</row>
    <row r="4" spans="2:52" s="86" customFormat="1" ht="1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</row>
    <row r="5" spans="2:52" s="86" customFormat="1" ht="15">
      <c r="B5" s="87"/>
      <c r="C5" s="87" t="s">
        <v>249</v>
      </c>
      <c r="D5" s="88">
        <f>+'CE'!D51</f>
        <v>-4040.5340750000237</v>
      </c>
      <c r="E5" s="88">
        <f>+'CE'!E51</f>
        <v>24889.834999999977</v>
      </c>
      <c r="F5" s="88">
        <f>+'CE'!F51</f>
        <v>54058.81999999998</v>
      </c>
      <c r="G5" s="88">
        <f>+'CE'!G51</f>
        <v>55424.404217962896</v>
      </c>
      <c r="H5" s="88">
        <f>+'CE'!H51</f>
        <v>57993.300120285065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</row>
    <row r="6" ht="15">
      <c r="A6" s="86"/>
    </row>
    <row r="7" spans="1:8" ht="15">
      <c r="A7" s="86"/>
      <c r="C7" s="87" t="s">
        <v>272</v>
      </c>
      <c r="D7" s="94">
        <v>1</v>
      </c>
      <c r="E7" s="94">
        <v>1</v>
      </c>
      <c r="F7" s="94">
        <v>1</v>
      </c>
      <c r="G7" s="94">
        <v>1</v>
      </c>
      <c r="H7" s="94">
        <v>1</v>
      </c>
    </row>
    <row r="8" ht="15">
      <c r="A8" s="86"/>
    </row>
    <row r="9" spans="2:52" s="86" customFormat="1" ht="15">
      <c r="B9" s="87"/>
      <c r="C9" s="87" t="s">
        <v>273</v>
      </c>
      <c r="D9" s="94">
        <f>+Input!$D$27</f>
        <v>1</v>
      </c>
      <c r="E9" s="94">
        <f>+Input!$D$27</f>
        <v>1</v>
      </c>
      <c r="F9" s="94">
        <f>+Input!$D$27</f>
        <v>1</v>
      </c>
      <c r="G9" s="94">
        <f>+Input!$D$27</f>
        <v>1</v>
      </c>
      <c r="H9" s="94">
        <f>+Input!$D$27</f>
        <v>1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</row>
    <row r="10" ht="15">
      <c r="A10" s="86"/>
    </row>
    <row r="11" spans="1:8" ht="15">
      <c r="A11" s="86"/>
      <c r="C11" s="87" t="s">
        <v>274</v>
      </c>
      <c r="D11" s="88">
        <f>+D5*D7*D9</f>
        <v>-4040.5340750000237</v>
      </c>
      <c r="E11" s="88">
        <f>+E5*E7*E9</f>
        <v>24889.834999999977</v>
      </c>
      <c r="F11" s="88">
        <f>+F5*F7*F9</f>
        <v>54058.81999999998</v>
      </c>
      <c r="G11" s="88">
        <f>+G5*G7*G9</f>
        <v>55424.404217962896</v>
      </c>
      <c r="H11" s="88">
        <f>+H5*H7*H9</f>
        <v>57993.300120285065</v>
      </c>
    </row>
    <row r="12" spans="2:52" s="86" customFormat="1" ht="15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</row>
    <row r="13" ht="15">
      <c r="A13" s="86"/>
    </row>
    <row r="14" ht="15">
      <c r="A14" s="86"/>
    </row>
    <row r="15" spans="1:9" ht="15">
      <c r="A15" s="86"/>
      <c r="B15" s="86"/>
      <c r="C15" s="86" t="s">
        <v>275</v>
      </c>
      <c r="D15" s="93">
        <f>+D11</f>
        <v>-4040.5340750000237</v>
      </c>
      <c r="E15" s="93">
        <f>+E11</f>
        <v>24889.834999999977</v>
      </c>
      <c r="F15" s="93">
        <f>+F11</f>
        <v>54058.81999999998</v>
      </c>
      <c r="G15" s="93">
        <f>+G11</f>
        <v>55424.404217962896</v>
      </c>
      <c r="H15" s="93">
        <f>+H11</f>
        <v>57993.300120285065</v>
      </c>
      <c r="I15" s="86"/>
    </row>
    <row r="16" ht="15">
      <c r="A16" s="92"/>
    </row>
    <row r="17" ht="15">
      <c r="A17" s="92"/>
    </row>
    <row r="18" spans="1:9" ht="15">
      <c r="A18" s="92"/>
      <c r="B18" s="86"/>
      <c r="C18" s="95" t="s">
        <v>276</v>
      </c>
      <c r="D18" s="86"/>
      <c r="E18" s="86"/>
      <c r="F18" s="86"/>
      <c r="G18" s="91"/>
      <c r="H18" s="91"/>
      <c r="I18" s="91"/>
    </row>
    <row r="19" spans="1:14" ht="15">
      <c r="A19" s="92"/>
      <c r="B19" s="86"/>
      <c r="C19" s="95"/>
      <c r="D19" s="86"/>
      <c r="E19" s="86"/>
      <c r="F19" s="86">
        <f>+IF(D15&lt;0,0,1)</f>
        <v>0</v>
      </c>
      <c r="G19" s="91"/>
      <c r="H19" s="86">
        <f>+IF(E15&lt;0,0,1)</f>
        <v>1</v>
      </c>
      <c r="I19" s="91"/>
      <c r="J19" s="86">
        <f>+IF(F15&lt;0,0,1)</f>
        <v>1</v>
      </c>
      <c r="L19" s="86">
        <f>+IF(G15&lt;0,0,1)</f>
        <v>1</v>
      </c>
      <c r="N19" s="86">
        <f>+IF(H15&lt;0,0,1)</f>
        <v>1</v>
      </c>
    </row>
    <row r="20" spans="1:15" ht="15">
      <c r="A20" s="92"/>
      <c r="B20" s="86"/>
      <c r="C20" s="95" t="s">
        <v>277</v>
      </c>
      <c r="D20" s="86"/>
      <c r="E20" s="86"/>
      <c r="F20" s="149" t="s">
        <v>260</v>
      </c>
      <c r="G20" s="150"/>
      <c r="H20" s="149" t="s">
        <v>261</v>
      </c>
      <c r="I20" s="150"/>
      <c r="J20" s="149" t="s">
        <v>262</v>
      </c>
      <c r="K20" s="150"/>
      <c r="L20" s="149" t="s">
        <v>263</v>
      </c>
      <c r="M20" s="150"/>
      <c r="N20" s="149" t="s">
        <v>264</v>
      </c>
      <c r="O20" s="150"/>
    </row>
    <row r="21" spans="1:15" ht="15">
      <c r="A21" s="92"/>
      <c r="B21" s="86"/>
      <c r="C21" s="95" t="s">
        <v>278</v>
      </c>
      <c r="D21" s="86" t="s">
        <v>279</v>
      </c>
      <c r="E21" s="86" t="s">
        <v>280</v>
      </c>
      <c r="F21" s="86" t="s">
        <v>281</v>
      </c>
      <c r="G21" s="91" t="s">
        <v>284</v>
      </c>
      <c r="H21" s="86" t="s">
        <v>281</v>
      </c>
      <c r="I21" s="91" t="s">
        <v>284</v>
      </c>
      <c r="J21" s="86" t="s">
        <v>281</v>
      </c>
      <c r="K21" s="91" t="s">
        <v>284</v>
      </c>
      <c r="L21" s="86" t="s">
        <v>281</v>
      </c>
      <c r="M21" s="91" t="s">
        <v>284</v>
      </c>
      <c r="N21" s="86" t="s">
        <v>281</v>
      </c>
      <c r="O21" s="91" t="s">
        <v>284</v>
      </c>
    </row>
    <row r="22" spans="1:15" ht="15">
      <c r="A22" s="92"/>
      <c r="B22" s="86"/>
      <c r="C22" s="91">
        <v>0</v>
      </c>
      <c r="D22" s="91">
        <v>15000</v>
      </c>
      <c r="E22" s="96">
        <v>0.23</v>
      </c>
      <c r="F22" s="97">
        <f>+IF(D15&gt;$D$22,$D22,D15)*F19</f>
        <v>0</v>
      </c>
      <c r="G22" s="97">
        <f>+$E$22*F22</f>
        <v>0</v>
      </c>
      <c r="H22" s="97">
        <f>+IF(E15&gt;$D$22,$D22,E15)*H19</f>
        <v>15000</v>
      </c>
      <c r="I22" s="97">
        <f>+$E$22*H22</f>
        <v>3450</v>
      </c>
      <c r="J22" s="97">
        <f>+IF(F15&gt;$D$22,$D22,F15)*J19</f>
        <v>15000</v>
      </c>
      <c r="K22" s="97">
        <f>+$E$22*J22</f>
        <v>3450</v>
      </c>
      <c r="L22" s="97">
        <f>+IF(G15&gt;$D$22,$D22,G15)*L19</f>
        <v>15000</v>
      </c>
      <c r="M22" s="97">
        <f>+$E$22*L22</f>
        <v>3450</v>
      </c>
      <c r="N22" s="97">
        <f>+IF(H15&gt;$D$22,$D22,H15)*N19</f>
        <v>15000</v>
      </c>
      <c r="O22" s="97">
        <f>+$E$22*N22</f>
        <v>3450</v>
      </c>
    </row>
    <row r="23" spans="1:15" ht="15">
      <c r="A23" s="92"/>
      <c r="B23" s="86"/>
      <c r="C23" s="91">
        <v>15000</v>
      </c>
      <c r="D23" s="91">
        <v>28000</v>
      </c>
      <c r="E23" s="86">
        <v>0.27</v>
      </c>
      <c r="F23" s="97">
        <f>+IF(F22=D15,0,IF(D15&gt;$D$23,$D$23-$C$23,D15-$C$23))*F19</f>
        <v>0</v>
      </c>
      <c r="G23" s="97">
        <f>+$E$23*F23</f>
        <v>0</v>
      </c>
      <c r="H23" s="97">
        <f>+IF(H22=E15,0,IF(E15&gt;$D$23,$D$23-$C$23,E15-$C$23))*H19</f>
        <v>9889.834999999977</v>
      </c>
      <c r="I23" s="97">
        <f>+$E$23*H23</f>
        <v>2670.255449999994</v>
      </c>
      <c r="J23" s="97">
        <f>+IF(J22=F15,0,IF(F15&gt;$D$23,$D$23-$C$23,F15-$C$23))*J19</f>
        <v>13000</v>
      </c>
      <c r="K23" s="97">
        <f>+$E$23*J23</f>
        <v>3510.0000000000005</v>
      </c>
      <c r="L23" s="97">
        <f>+IF(L22=G15,0,IF(G15&gt;$D$23,$D$23-$C$23,G15-$C$23))*L19</f>
        <v>13000</v>
      </c>
      <c r="M23" s="97">
        <f>+$E$23*L23</f>
        <v>3510.0000000000005</v>
      </c>
      <c r="N23" s="97">
        <f>+IF(N22=H15,0,IF(H15&gt;$D$23,$D$23-$C$23,H15-$C$23))*N19</f>
        <v>13000</v>
      </c>
      <c r="O23" s="97">
        <f>+$E$23*N23</f>
        <v>3510.0000000000005</v>
      </c>
    </row>
    <row r="24" spans="1:15" ht="15">
      <c r="A24" s="92"/>
      <c r="B24" s="86"/>
      <c r="C24" s="91">
        <v>28000</v>
      </c>
      <c r="D24" s="91">
        <v>55000</v>
      </c>
      <c r="E24" s="86">
        <v>0.38</v>
      </c>
      <c r="F24" s="97">
        <f>+IF(F22+F23=D15,0,IF(D15&gt;$D$24,$D$24-$C$24,D15-$C$24))*F19</f>
        <v>0</v>
      </c>
      <c r="G24" s="97">
        <f>+$E$24*F24</f>
        <v>0</v>
      </c>
      <c r="H24" s="97">
        <f>+IF(H22+H23=E15,0,IF(E15&gt;$D$24,$D$24-$C$24,E15-$C$24))*H19</f>
        <v>0</v>
      </c>
      <c r="I24" s="97">
        <f>+$E$24*H24</f>
        <v>0</v>
      </c>
      <c r="J24" s="97">
        <f>+IF(J22+J23=F15,0,IF(F15&gt;$D$24,$D$24-$C$24,F15-$C$24))*J19</f>
        <v>26058.819999999978</v>
      </c>
      <c r="K24" s="97">
        <f>+$E$24*J24</f>
        <v>9902.35159999999</v>
      </c>
      <c r="L24" s="97">
        <f>+IF(L22+L23=G15,0,IF(G15&gt;$D$24,$D$24-$C$24,G15-$C$24))*L19</f>
        <v>27000</v>
      </c>
      <c r="M24" s="97">
        <f>+$E$24*L24</f>
        <v>10260</v>
      </c>
      <c r="N24" s="97">
        <f>+IF(N22+N23=H15,0,IF(H15&gt;$D$24,$D$24-$C$24,H15-$C$24))*N19</f>
        <v>27000</v>
      </c>
      <c r="O24" s="97">
        <f>+$E$24*N24</f>
        <v>10260</v>
      </c>
    </row>
    <row r="25" spans="1:15" ht="15">
      <c r="A25" s="92"/>
      <c r="B25" s="86"/>
      <c r="C25" s="91">
        <v>55000</v>
      </c>
      <c r="D25" s="91">
        <v>75000</v>
      </c>
      <c r="E25" s="86">
        <v>0.41</v>
      </c>
      <c r="F25" s="97">
        <f>+IF(F23+F24+F22=D15,0,IF(D15&gt;$D$25,$D$25-$C$25,D15-$C$25))*F19</f>
        <v>0</v>
      </c>
      <c r="G25" s="97">
        <f>+$E$25*F25</f>
        <v>0</v>
      </c>
      <c r="H25" s="97">
        <f>+IF(H23+H24+H22=E15,0,IF(E15&gt;$D$25,$D$25-$C$25,E15-$C$25))*H19</f>
        <v>0</v>
      </c>
      <c r="I25" s="97">
        <f>+$E$25*H25</f>
        <v>0</v>
      </c>
      <c r="J25" s="97">
        <f>+IF(J23+J24+J22=F15,0,IF(F15&gt;$D$25,$D$25-$C$25,F15-$C$25))*J19</f>
        <v>0</v>
      </c>
      <c r="K25" s="97">
        <f>+$E$25*J25</f>
        <v>0</v>
      </c>
      <c r="L25" s="97">
        <f>+IF(L23+L24+L22=G15,0,IF(G15&gt;$D$25,$D$25-$C$25,G15-$C$25))*L19</f>
        <v>424.4042179628959</v>
      </c>
      <c r="M25" s="97">
        <f>+$E$25*L25</f>
        <v>174.00572936478733</v>
      </c>
      <c r="N25" s="97">
        <f>+IF(N23+N24+N22=H15,0,IF(H15&gt;$D$25,$D$25-$C$25,H15-$C$25))*N19</f>
        <v>2993.3001202850646</v>
      </c>
      <c r="O25" s="97">
        <f>+$E$25*N25</f>
        <v>1227.2530493168765</v>
      </c>
    </row>
    <row r="26" spans="1:15" ht="15">
      <c r="A26" s="92"/>
      <c r="B26" s="86"/>
      <c r="C26" s="91">
        <v>75000</v>
      </c>
      <c r="D26" s="91"/>
      <c r="E26" s="86">
        <v>0.43</v>
      </c>
      <c r="F26" s="97">
        <f>+IF(F24+F25+F23+F22=D15,0,D15-$C$26)*F19</f>
        <v>0</v>
      </c>
      <c r="G26" s="97">
        <f>+$E$26*F26</f>
        <v>0</v>
      </c>
      <c r="H26" s="97">
        <f>+IF(H24+H25+H23+H22=E15,0,E15-$C$26)*H19</f>
        <v>0</v>
      </c>
      <c r="I26" s="97">
        <f>+$E$26*H26</f>
        <v>0</v>
      </c>
      <c r="J26" s="97">
        <f>+IF(J24+J25+J23+J22=F15,0,F15-$C$26)*J19</f>
        <v>0</v>
      </c>
      <c r="K26" s="97">
        <f>+$E$26*J26</f>
        <v>0</v>
      </c>
      <c r="L26" s="97">
        <f>+IF(L24+L25+L23+L22=G15,0,G15-$C$26)*L19</f>
        <v>0</v>
      </c>
      <c r="M26" s="97">
        <f>+$E$26*L26</f>
        <v>0</v>
      </c>
      <c r="N26" s="97">
        <f>+IF(N24+N25+N23+N22=H15,0,H15-$C$26)*N19</f>
        <v>0</v>
      </c>
      <c r="O26" s="97">
        <f>+$E$26*N26</f>
        <v>0</v>
      </c>
    </row>
    <row r="27" spans="1:15" ht="15">
      <c r="A27" s="92"/>
      <c r="B27" s="86"/>
      <c r="C27" s="91"/>
      <c r="D27" s="91"/>
      <c r="E27" s="86"/>
      <c r="F27" s="86" t="s">
        <v>15</v>
      </c>
      <c r="G27" s="98">
        <f>SUM(G22:G26)</f>
        <v>0</v>
      </c>
      <c r="H27" s="86" t="s">
        <v>15</v>
      </c>
      <c r="I27" s="98">
        <f>SUM(I22:I26)</f>
        <v>6120.255449999994</v>
      </c>
      <c r="J27" s="86" t="s">
        <v>15</v>
      </c>
      <c r="K27" s="98">
        <f>SUM(K22:K26)</f>
        <v>16862.35159999999</v>
      </c>
      <c r="L27" s="86" t="s">
        <v>15</v>
      </c>
      <c r="M27" s="98">
        <f>SUM(M22:M26)</f>
        <v>17394.005729364788</v>
      </c>
      <c r="N27" s="86" t="s">
        <v>15</v>
      </c>
      <c r="O27" s="98">
        <f>SUM(O22:O26)</f>
        <v>18447.253049316878</v>
      </c>
    </row>
    <row r="28" spans="1:9" ht="15">
      <c r="A28" s="92"/>
      <c r="B28" s="86"/>
      <c r="C28" s="95"/>
      <c r="D28" s="86"/>
      <c r="E28" s="86"/>
      <c r="F28" s="86"/>
      <c r="G28" s="91"/>
      <c r="H28" s="91"/>
      <c r="I28" s="91"/>
    </row>
    <row r="29" spans="1:7" ht="15">
      <c r="A29" s="92"/>
      <c r="B29" s="92"/>
      <c r="C29" s="90"/>
      <c r="D29" s="90"/>
      <c r="E29" s="90"/>
      <c r="F29" s="90"/>
      <c r="G29" s="90"/>
    </row>
    <row r="30" spans="1:7" ht="15">
      <c r="A30" s="92"/>
      <c r="B30" s="92"/>
      <c r="C30" s="90"/>
      <c r="D30" s="90"/>
      <c r="E30" s="90"/>
      <c r="F30" s="90"/>
      <c r="G30" s="90"/>
    </row>
    <row r="31" spans="1:7" ht="15">
      <c r="A31" s="92"/>
      <c r="B31" s="92"/>
      <c r="C31" s="90"/>
      <c r="D31" s="90"/>
      <c r="E31" s="90"/>
      <c r="F31" s="90"/>
      <c r="G31" s="90"/>
    </row>
    <row r="32" spans="1:7" ht="15">
      <c r="A32" s="92"/>
      <c r="B32" s="92"/>
      <c r="C32" s="90"/>
      <c r="D32" s="90"/>
      <c r="E32" s="90"/>
      <c r="F32" s="90"/>
      <c r="G32" s="90"/>
    </row>
    <row r="33" spans="1:7" ht="15">
      <c r="A33" s="92"/>
      <c r="B33" s="92"/>
      <c r="C33" s="90"/>
      <c r="D33" s="90"/>
      <c r="E33" s="90"/>
      <c r="F33" s="90"/>
      <c r="G33" s="90"/>
    </row>
    <row r="34" spans="1:7" ht="15">
      <c r="A34" s="92"/>
      <c r="B34" s="92"/>
      <c r="C34" s="90"/>
      <c r="D34" s="90"/>
      <c r="E34" s="90"/>
      <c r="F34" s="90"/>
      <c r="G34" s="90"/>
    </row>
    <row r="35" spans="1:7" ht="15">
      <c r="A35" s="92"/>
      <c r="B35" s="92"/>
      <c r="C35" s="90"/>
      <c r="D35" s="90"/>
      <c r="E35" s="90"/>
      <c r="F35" s="90"/>
      <c r="G35" s="90"/>
    </row>
    <row r="36" spans="1:7" ht="15">
      <c r="A36" s="92"/>
      <c r="B36" s="92"/>
      <c r="C36" s="90"/>
      <c r="D36" s="90"/>
      <c r="E36" s="90"/>
      <c r="F36" s="90"/>
      <c r="G36" s="90"/>
    </row>
    <row r="37" spans="1:7" ht="15">
      <c r="A37" s="92"/>
      <c r="B37" s="92"/>
      <c r="C37" s="90"/>
      <c r="D37" s="90"/>
      <c r="E37" s="90"/>
      <c r="F37" s="90"/>
      <c r="G37" s="90"/>
    </row>
    <row r="38" spans="1:7" ht="15">
      <c r="A38" s="92"/>
      <c r="B38" s="92"/>
      <c r="C38" s="90"/>
      <c r="D38" s="90"/>
      <c r="E38" s="90"/>
      <c r="F38" s="90"/>
      <c r="G38" s="90"/>
    </row>
    <row r="39" spans="1:7" ht="15">
      <c r="A39" s="92"/>
      <c r="B39" s="92"/>
      <c r="C39" s="90"/>
      <c r="D39" s="90"/>
      <c r="E39" s="90"/>
      <c r="F39" s="90"/>
      <c r="G39" s="90"/>
    </row>
    <row r="40" spans="1:7" ht="15">
      <c r="A40" s="92"/>
      <c r="B40" s="92"/>
      <c r="C40" s="90"/>
      <c r="D40" s="90"/>
      <c r="E40" s="90"/>
      <c r="F40" s="90"/>
      <c r="G40" s="90"/>
    </row>
    <row r="41" spans="1:7" ht="15">
      <c r="A41" s="92"/>
      <c r="B41" s="92"/>
      <c r="C41" s="90"/>
      <c r="D41" s="90"/>
      <c r="E41" s="90"/>
      <c r="F41" s="90"/>
      <c r="G41" s="90"/>
    </row>
    <row r="42" spans="1:7" ht="15">
      <c r="A42" s="92"/>
      <c r="B42" s="92"/>
      <c r="C42" s="90"/>
      <c r="D42" s="90"/>
      <c r="E42" s="90"/>
      <c r="F42" s="90"/>
      <c r="G42" s="90"/>
    </row>
    <row r="43" spans="1:7" ht="15">
      <c r="A43" s="92"/>
      <c r="B43" s="92"/>
      <c r="C43" s="90"/>
      <c r="D43" s="90"/>
      <c r="E43" s="90"/>
      <c r="F43" s="90"/>
      <c r="G43" s="90"/>
    </row>
    <row r="44" spans="1:7" ht="15">
      <c r="A44" s="92"/>
      <c r="B44" s="92"/>
      <c r="C44" s="90"/>
      <c r="D44" s="90"/>
      <c r="E44" s="90"/>
      <c r="F44" s="90"/>
      <c r="G44" s="90"/>
    </row>
    <row r="45" spans="1:7" ht="15">
      <c r="A45" s="92"/>
      <c r="B45" s="92"/>
      <c r="C45" s="90"/>
      <c r="D45" s="90"/>
      <c r="E45" s="90"/>
      <c r="F45" s="90"/>
      <c r="G45" s="90"/>
    </row>
    <row r="46" spans="1:7" ht="15">
      <c r="A46" s="92"/>
      <c r="B46" s="92"/>
      <c r="C46" s="90"/>
      <c r="D46" s="90"/>
      <c r="E46" s="90"/>
      <c r="F46" s="90"/>
      <c r="G46" s="90"/>
    </row>
    <row r="47" spans="1:7" ht="15">
      <c r="A47" s="92"/>
      <c r="B47" s="92"/>
      <c r="C47" s="90"/>
      <c r="D47" s="90"/>
      <c r="E47" s="90"/>
      <c r="F47" s="90"/>
      <c r="G47" s="90"/>
    </row>
    <row r="48" spans="1:7" ht="15">
      <c r="A48" s="92"/>
      <c r="B48" s="92"/>
      <c r="C48" s="90"/>
      <c r="D48" s="90"/>
      <c r="E48" s="90"/>
      <c r="F48" s="90"/>
      <c r="G48" s="90"/>
    </row>
    <row r="49" spans="1:7" ht="15">
      <c r="A49" s="92"/>
      <c r="B49" s="92"/>
      <c r="C49" s="90"/>
      <c r="D49" s="90"/>
      <c r="E49" s="90"/>
      <c r="F49" s="90"/>
      <c r="G49" s="90"/>
    </row>
    <row r="50" spans="1:7" ht="15">
      <c r="A50" s="92"/>
      <c r="B50" s="92"/>
      <c r="C50" s="90"/>
      <c r="D50" s="90"/>
      <c r="E50" s="90"/>
      <c r="F50" s="90"/>
      <c r="G50" s="90"/>
    </row>
    <row r="51" spans="1:7" ht="15">
      <c r="A51" s="92"/>
      <c r="B51" s="92"/>
      <c r="C51" s="90"/>
      <c r="D51" s="90"/>
      <c r="E51" s="90"/>
      <c r="F51" s="90"/>
      <c r="G51" s="90"/>
    </row>
    <row r="52" spans="1:7" ht="15">
      <c r="A52" s="92"/>
      <c r="B52" s="92"/>
      <c r="C52" s="90"/>
      <c r="D52" s="90"/>
      <c r="E52" s="90"/>
      <c r="F52" s="90"/>
      <c r="G52" s="90"/>
    </row>
    <row r="53" spans="1:7" ht="15">
      <c r="A53" s="92"/>
      <c r="B53" s="92"/>
      <c r="C53" s="90"/>
      <c r="D53" s="90"/>
      <c r="E53" s="90"/>
      <c r="F53" s="90"/>
      <c r="G53" s="90"/>
    </row>
    <row r="54" spans="1:7" ht="15">
      <c r="A54" s="92"/>
      <c r="B54" s="92"/>
      <c r="C54" s="90"/>
      <c r="D54" s="90"/>
      <c r="E54" s="90"/>
      <c r="F54" s="90"/>
      <c r="G54" s="90"/>
    </row>
    <row r="55" spans="1:7" ht="15">
      <c r="A55" s="92"/>
      <c r="B55" s="92"/>
      <c r="C55" s="90"/>
      <c r="D55" s="90"/>
      <c r="E55" s="90"/>
      <c r="F55" s="90"/>
      <c r="G55" s="90"/>
    </row>
    <row r="56" spans="1:7" ht="15">
      <c r="A56" s="92"/>
      <c r="B56" s="92"/>
      <c r="C56" s="90"/>
      <c r="D56" s="90"/>
      <c r="E56" s="90"/>
      <c r="F56" s="90"/>
      <c r="G56" s="90"/>
    </row>
    <row r="57" spans="1:7" ht="15">
      <c r="A57" s="92"/>
      <c r="B57" s="92"/>
      <c r="C57" s="90"/>
      <c r="D57" s="90"/>
      <c r="E57" s="90"/>
      <c r="F57" s="90"/>
      <c r="G57" s="90"/>
    </row>
    <row r="58" spans="1:7" ht="15">
      <c r="A58" s="92"/>
      <c r="B58" s="92"/>
      <c r="C58" s="90"/>
      <c r="D58" s="90"/>
      <c r="E58" s="90"/>
      <c r="F58" s="90"/>
      <c r="G58" s="90"/>
    </row>
    <row r="59" spans="1:7" ht="15">
      <c r="A59" s="92"/>
      <c r="B59" s="92"/>
      <c r="C59" s="90"/>
      <c r="D59" s="90"/>
      <c r="E59" s="90"/>
      <c r="F59" s="90"/>
      <c r="G59" s="90"/>
    </row>
    <row r="60" spans="1:7" ht="15">
      <c r="A60" s="92"/>
      <c r="B60" s="92"/>
      <c r="C60" s="90"/>
      <c r="D60" s="90"/>
      <c r="E60" s="90"/>
      <c r="F60" s="90"/>
      <c r="G60" s="90"/>
    </row>
    <row r="61" spans="1:7" ht="15">
      <c r="A61" s="92"/>
      <c r="B61" s="92"/>
      <c r="C61" s="90"/>
      <c r="D61" s="90"/>
      <c r="E61" s="90"/>
      <c r="F61" s="90"/>
      <c r="G61" s="90"/>
    </row>
    <row r="62" spans="1:7" ht="15">
      <c r="A62" s="92"/>
      <c r="B62" s="92"/>
      <c r="C62" s="90"/>
      <c r="D62" s="90"/>
      <c r="E62" s="90"/>
      <c r="F62" s="90"/>
      <c r="G62" s="90"/>
    </row>
    <row r="63" spans="1:7" ht="15">
      <c r="A63" s="92"/>
      <c r="B63" s="92"/>
      <c r="C63" s="90"/>
      <c r="D63" s="90"/>
      <c r="E63" s="90"/>
      <c r="F63" s="90"/>
      <c r="G63" s="90"/>
    </row>
    <row r="64" spans="1:7" ht="15">
      <c r="A64" s="92"/>
      <c r="B64" s="92"/>
      <c r="C64" s="90"/>
      <c r="D64" s="90"/>
      <c r="E64" s="90"/>
      <c r="F64" s="90"/>
      <c r="G64" s="90"/>
    </row>
    <row r="65" spans="1:7" ht="15">
      <c r="A65" s="92"/>
      <c r="B65" s="92"/>
      <c r="C65" s="90"/>
      <c r="D65" s="90"/>
      <c r="E65" s="90"/>
      <c r="F65" s="90"/>
      <c r="G65" s="90"/>
    </row>
    <row r="66" spans="1:7" ht="15">
      <c r="A66" s="92"/>
      <c r="B66" s="92"/>
      <c r="C66" s="90"/>
      <c r="D66" s="90"/>
      <c r="E66" s="90"/>
      <c r="F66" s="90"/>
      <c r="G66" s="90"/>
    </row>
    <row r="67" spans="1:7" ht="15">
      <c r="A67" s="92"/>
      <c r="B67" s="92"/>
      <c r="C67" s="90"/>
      <c r="D67" s="90"/>
      <c r="E67" s="90"/>
      <c r="F67" s="90"/>
      <c r="G67" s="90"/>
    </row>
    <row r="68" spans="1:7" ht="15">
      <c r="A68" s="92"/>
      <c r="B68" s="92"/>
      <c r="C68" s="90"/>
      <c r="D68" s="90"/>
      <c r="E68" s="90"/>
      <c r="F68" s="90"/>
      <c r="G68" s="90"/>
    </row>
    <row r="69" spans="1:7" ht="15">
      <c r="A69" s="92"/>
      <c r="B69" s="92"/>
      <c r="C69" s="90"/>
      <c r="D69" s="90"/>
      <c r="E69" s="90"/>
      <c r="F69" s="90"/>
      <c r="G69" s="90"/>
    </row>
    <row r="70" spans="1:7" ht="15">
      <c r="A70" s="92"/>
      <c r="B70" s="92"/>
      <c r="C70" s="90"/>
      <c r="D70" s="90"/>
      <c r="E70" s="90"/>
      <c r="F70" s="90"/>
      <c r="G70" s="90"/>
    </row>
    <row r="71" spans="1:7" ht="15">
      <c r="A71" s="92"/>
      <c r="B71" s="92"/>
      <c r="C71" s="90"/>
      <c r="D71" s="90"/>
      <c r="E71" s="90"/>
      <c r="F71" s="90"/>
      <c r="G71" s="90"/>
    </row>
    <row r="72" spans="1:7" ht="15">
      <c r="A72" s="92"/>
      <c r="B72" s="92"/>
      <c r="C72" s="90"/>
      <c r="D72" s="90"/>
      <c r="E72" s="90"/>
      <c r="F72" s="90"/>
      <c r="G72" s="90"/>
    </row>
    <row r="73" spans="1:7" ht="15">
      <c r="A73" s="92"/>
      <c r="B73" s="92"/>
      <c r="C73" s="90"/>
      <c r="D73" s="90"/>
      <c r="E73" s="90"/>
      <c r="F73" s="90"/>
      <c r="G73" s="90"/>
    </row>
    <row r="74" spans="1:7" ht="15">
      <c r="A74" s="92"/>
      <c r="B74" s="92"/>
      <c r="C74" s="90"/>
      <c r="D74" s="90"/>
      <c r="E74" s="90"/>
      <c r="F74" s="90"/>
      <c r="G74" s="90"/>
    </row>
    <row r="75" spans="1:7" ht="15">
      <c r="A75" s="92"/>
      <c r="B75" s="92"/>
      <c r="C75" s="90"/>
      <c r="D75" s="90"/>
      <c r="E75" s="90"/>
      <c r="F75" s="90"/>
      <c r="G75" s="90"/>
    </row>
    <row r="76" spans="1:7" ht="15">
      <c r="A76" s="92"/>
      <c r="B76" s="92"/>
      <c r="C76" s="90"/>
      <c r="D76" s="90"/>
      <c r="E76" s="90"/>
      <c r="F76" s="90"/>
      <c r="G76" s="90"/>
    </row>
    <row r="77" spans="1:7" ht="15">
      <c r="A77" s="92"/>
      <c r="B77" s="92"/>
      <c r="C77" s="90"/>
      <c r="D77" s="90"/>
      <c r="E77" s="90"/>
      <c r="F77" s="90"/>
      <c r="G77" s="90"/>
    </row>
    <row r="78" spans="1:7" ht="15">
      <c r="A78" s="92"/>
      <c r="B78" s="92"/>
      <c r="C78" s="90"/>
      <c r="D78" s="90"/>
      <c r="E78" s="90"/>
      <c r="F78" s="90"/>
      <c r="G78" s="90"/>
    </row>
    <row r="79" spans="1:7" ht="15">
      <c r="A79" s="92"/>
      <c r="B79" s="92"/>
      <c r="C79" s="90"/>
      <c r="D79" s="90"/>
      <c r="E79" s="90"/>
      <c r="F79" s="90"/>
      <c r="G79" s="90"/>
    </row>
    <row r="80" spans="1:7" ht="15">
      <c r="A80" s="92"/>
      <c r="B80" s="92"/>
      <c r="C80" s="90"/>
      <c r="D80" s="90"/>
      <c r="E80" s="90"/>
      <c r="F80" s="90"/>
      <c r="G80" s="90"/>
    </row>
    <row r="81" spans="1:7" ht="15">
      <c r="A81" s="92"/>
      <c r="B81" s="92"/>
      <c r="C81" s="90"/>
      <c r="D81" s="90"/>
      <c r="E81" s="90"/>
      <c r="F81" s="90"/>
      <c r="G81" s="90"/>
    </row>
    <row r="82" spans="1:7" ht="15">
      <c r="A82" s="92"/>
      <c r="B82" s="92"/>
      <c r="C82" s="90"/>
      <c r="D82" s="90"/>
      <c r="E82" s="90"/>
      <c r="F82" s="90"/>
      <c r="G82" s="90"/>
    </row>
    <row r="83" spans="1:7" ht="15">
      <c r="A83" s="92"/>
      <c r="B83" s="92"/>
      <c r="C83" s="90"/>
      <c r="D83" s="90"/>
      <c r="E83" s="90"/>
      <c r="F83" s="90"/>
      <c r="G83" s="90"/>
    </row>
    <row r="84" spans="1:7" ht="15">
      <c r="A84" s="92"/>
      <c r="B84" s="92"/>
      <c r="C84" s="90"/>
      <c r="D84" s="90"/>
      <c r="E84" s="90"/>
      <c r="F84" s="90"/>
      <c r="G84" s="90"/>
    </row>
    <row r="85" spans="1:7" ht="15">
      <c r="A85" s="92"/>
      <c r="B85" s="92"/>
      <c r="C85" s="90"/>
      <c r="D85" s="90"/>
      <c r="E85" s="90"/>
      <c r="F85" s="90"/>
      <c r="G85" s="90"/>
    </row>
    <row r="86" spans="1:7" ht="15">
      <c r="A86" s="92"/>
      <c r="B86" s="92"/>
      <c r="C86" s="90"/>
      <c r="D86" s="90"/>
      <c r="E86" s="90"/>
      <c r="F86" s="90"/>
      <c r="G86" s="90"/>
    </row>
    <row r="87" spans="1:7" ht="15">
      <c r="A87" s="92"/>
      <c r="B87" s="92"/>
      <c r="C87" s="90"/>
      <c r="D87" s="90"/>
      <c r="E87" s="90"/>
      <c r="F87" s="90"/>
      <c r="G87" s="90"/>
    </row>
    <row r="88" spans="1:7" ht="15">
      <c r="A88" s="92"/>
      <c r="B88" s="92"/>
      <c r="C88" s="90"/>
      <c r="D88" s="90"/>
      <c r="E88" s="90"/>
      <c r="F88" s="90"/>
      <c r="G88" s="90"/>
    </row>
    <row r="89" spans="1:7" ht="15">
      <c r="A89" s="92"/>
      <c r="B89" s="92"/>
      <c r="C89" s="90"/>
      <c r="D89" s="90"/>
      <c r="E89" s="90"/>
      <c r="F89" s="90"/>
      <c r="G89" s="90"/>
    </row>
    <row r="90" spans="1:7" ht="15">
      <c r="A90" s="92"/>
      <c r="B90" s="92"/>
      <c r="C90" s="90"/>
      <c r="D90" s="90"/>
      <c r="E90" s="90"/>
      <c r="F90" s="90"/>
      <c r="G90" s="90"/>
    </row>
    <row r="91" spans="1:7" ht="15">
      <c r="A91" s="92"/>
      <c r="B91" s="92"/>
      <c r="C91" s="90"/>
      <c r="D91" s="90"/>
      <c r="E91" s="90"/>
      <c r="F91" s="90"/>
      <c r="G91" s="90"/>
    </row>
    <row r="92" spans="1:7" ht="15">
      <c r="A92" s="92"/>
      <c r="B92" s="92"/>
      <c r="C92" s="90"/>
      <c r="D92" s="90"/>
      <c r="E92" s="90"/>
      <c r="F92" s="90"/>
      <c r="G92" s="90"/>
    </row>
    <row r="93" spans="1:7" ht="15">
      <c r="A93" s="92"/>
      <c r="B93" s="92"/>
      <c r="C93" s="90"/>
      <c r="D93" s="90"/>
      <c r="E93" s="90"/>
      <c r="F93" s="90"/>
      <c r="G93" s="90"/>
    </row>
    <row r="94" spans="1:7" ht="15">
      <c r="A94" s="92"/>
      <c r="B94" s="92"/>
      <c r="C94" s="90"/>
      <c r="D94" s="90"/>
      <c r="E94" s="90"/>
      <c r="F94" s="90"/>
      <c r="G94" s="90"/>
    </row>
    <row r="95" spans="1:7" ht="15">
      <c r="A95" s="92"/>
      <c r="B95" s="92"/>
      <c r="C95" s="90"/>
      <c r="D95" s="90"/>
      <c r="E95" s="90"/>
      <c r="F95" s="90"/>
      <c r="G95" s="90"/>
    </row>
    <row r="96" spans="1:7" ht="15">
      <c r="A96" s="92"/>
      <c r="B96" s="92"/>
      <c r="C96" s="90"/>
      <c r="D96" s="90"/>
      <c r="E96" s="90"/>
      <c r="F96" s="90"/>
      <c r="G96" s="90"/>
    </row>
    <row r="97" spans="1:7" ht="15">
      <c r="A97" s="92"/>
      <c r="B97" s="92"/>
      <c r="C97" s="90"/>
      <c r="D97" s="90"/>
      <c r="E97" s="90"/>
      <c r="F97" s="90"/>
      <c r="G97" s="90"/>
    </row>
    <row r="98" spans="1:7" ht="15">
      <c r="A98" s="92"/>
      <c r="B98" s="92"/>
      <c r="C98" s="90"/>
      <c r="D98" s="90"/>
      <c r="E98" s="90"/>
      <c r="F98" s="90"/>
      <c r="G98" s="90"/>
    </row>
    <row r="99" spans="1:7" ht="15">
      <c r="A99" s="92"/>
      <c r="B99" s="92"/>
      <c r="C99" s="90"/>
      <c r="D99" s="90"/>
      <c r="E99" s="90"/>
      <c r="F99" s="90"/>
      <c r="G99" s="90"/>
    </row>
    <row r="100" spans="1:7" ht="15">
      <c r="A100" s="92"/>
      <c r="B100" s="92"/>
      <c r="C100" s="90"/>
      <c r="D100" s="90"/>
      <c r="E100" s="90"/>
      <c r="F100" s="90"/>
      <c r="G100" s="90"/>
    </row>
    <row r="101" spans="1:7" ht="15">
      <c r="A101" s="92"/>
      <c r="B101" s="92"/>
      <c r="C101" s="90"/>
      <c r="D101" s="90"/>
      <c r="E101" s="90"/>
      <c r="F101" s="90"/>
      <c r="G101" s="90"/>
    </row>
    <row r="102" spans="1:7" ht="15">
      <c r="A102" s="92"/>
      <c r="B102" s="92"/>
      <c r="C102" s="90"/>
      <c r="D102" s="90"/>
      <c r="E102" s="90"/>
      <c r="F102" s="90"/>
      <c r="G102" s="90"/>
    </row>
    <row r="103" spans="1:7" ht="15">
      <c r="A103" s="92"/>
      <c r="B103" s="92"/>
      <c r="C103" s="90"/>
      <c r="D103" s="90"/>
      <c r="E103" s="90"/>
      <c r="F103" s="90"/>
      <c r="G103" s="90"/>
    </row>
    <row r="104" spans="1:7" ht="15">
      <c r="A104" s="92"/>
      <c r="B104" s="92"/>
      <c r="C104" s="90"/>
      <c r="D104" s="90"/>
      <c r="E104" s="90"/>
      <c r="F104" s="90"/>
      <c r="G104" s="90"/>
    </row>
    <row r="105" spans="1:7" ht="15">
      <c r="A105" s="92"/>
      <c r="B105" s="92"/>
      <c r="C105" s="90"/>
      <c r="D105" s="90"/>
      <c r="E105" s="90"/>
      <c r="F105" s="90"/>
      <c r="G105" s="90"/>
    </row>
    <row r="106" spans="1:7" ht="15">
      <c r="A106" s="92"/>
      <c r="B106" s="92"/>
      <c r="C106" s="90"/>
      <c r="D106" s="90"/>
      <c r="E106" s="90"/>
      <c r="F106" s="90"/>
      <c r="G106" s="90"/>
    </row>
    <row r="107" spans="1:7" ht="15">
      <c r="A107" s="92"/>
      <c r="B107" s="92"/>
      <c r="C107" s="90"/>
      <c r="D107" s="90"/>
      <c r="E107" s="90"/>
      <c r="F107" s="90"/>
      <c r="G107" s="90"/>
    </row>
    <row r="108" spans="1:7" ht="15">
      <c r="A108" s="92"/>
      <c r="B108" s="92"/>
      <c r="C108" s="90"/>
      <c r="D108" s="90"/>
      <c r="E108" s="90"/>
      <c r="F108" s="90"/>
      <c r="G108" s="90"/>
    </row>
    <row r="109" spans="1:7" ht="15">
      <c r="A109" s="92"/>
      <c r="B109" s="92"/>
      <c r="C109" s="90"/>
      <c r="D109" s="90"/>
      <c r="E109" s="90"/>
      <c r="F109" s="90"/>
      <c r="G109" s="90"/>
    </row>
    <row r="110" spans="1:7" ht="15">
      <c r="A110" s="92"/>
      <c r="B110" s="92"/>
      <c r="C110" s="90"/>
      <c r="D110" s="90"/>
      <c r="E110" s="90"/>
      <c r="F110" s="90"/>
      <c r="G110" s="90"/>
    </row>
    <row r="111" spans="1:7" ht="15">
      <c r="A111" s="92"/>
      <c r="B111" s="92"/>
      <c r="C111" s="90"/>
      <c r="D111" s="90"/>
      <c r="E111" s="90"/>
      <c r="F111" s="90"/>
      <c r="G111" s="90"/>
    </row>
    <row r="112" spans="1:7" ht="15">
      <c r="A112" s="92"/>
      <c r="B112" s="92"/>
      <c r="C112" s="90"/>
      <c r="D112" s="90"/>
      <c r="E112" s="90"/>
      <c r="F112" s="90"/>
      <c r="G112" s="90"/>
    </row>
    <row r="113" spans="1:7" ht="15">
      <c r="A113" s="92"/>
      <c r="B113" s="92"/>
      <c r="C113" s="90"/>
      <c r="D113" s="90"/>
      <c r="E113" s="90"/>
      <c r="F113" s="90"/>
      <c r="G113" s="90"/>
    </row>
    <row r="114" spans="1:7" ht="15">
      <c r="A114" s="92"/>
      <c r="B114" s="92"/>
      <c r="C114" s="90"/>
      <c r="D114" s="90"/>
      <c r="E114" s="90"/>
      <c r="F114" s="90"/>
      <c r="G114" s="90"/>
    </row>
    <row r="115" spans="1:7" ht="15">
      <c r="A115" s="92"/>
      <c r="B115" s="92"/>
      <c r="C115" s="90"/>
      <c r="D115" s="90"/>
      <c r="E115" s="90"/>
      <c r="F115" s="90"/>
      <c r="G115" s="90"/>
    </row>
    <row r="116" spans="1:7" ht="15">
      <c r="A116" s="92"/>
      <c r="B116" s="92"/>
      <c r="C116" s="90"/>
      <c r="D116" s="90"/>
      <c r="E116" s="90"/>
      <c r="F116" s="90"/>
      <c r="G116" s="90"/>
    </row>
    <row r="117" spans="1:7" ht="15">
      <c r="A117" s="92"/>
      <c r="B117" s="92"/>
      <c r="C117" s="90"/>
      <c r="D117" s="90"/>
      <c r="E117" s="90"/>
      <c r="F117" s="90"/>
      <c r="G117" s="90"/>
    </row>
    <row r="118" spans="1:7" ht="15">
      <c r="A118" s="92"/>
      <c r="B118" s="92"/>
      <c r="C118" s="90"/>
      <c r="D118" s="90"/>
      <c r="E118" s="90"/>
      <c r="F118" s="90"/>
      <c r="G118" s="90"/>
    </row>
    <row r="119" spans="1:7" ht="15">
      <c r="A119" s="92"/>
      <c r="B119" s="92"/>
      <c r="C119" s="90"/>
      <c r="D119" s="90"/>
      <c r="E119" s="90"/>
      <c r="F119" s="90"/>
      <c r="G119" s="90"/>
    </row>
    <row r="120" spans="1:7" ht="15">
      <c r="A120" s="92"/>
      <c r="B120" s="92"/>
      <c r="C120" s="90"/>
      <c r="D120" s="90"/>
      <c r="E120" s="90"/>
      <c r="F120" s="90"/>
      <c r="G120" s="90"/>
    </row>
    <row r="121" spans="1:7" ht="15">
      <c r="A121" s="92"/>
      <c r="B121" s="92"/>
      <c r="C121" s="90"/>
      <c r="D121" s="90"/>
      <c r="E121" s="90"/>
      <c r="F121" s="90"/>
      <c r="G121" s="90"/>
    </row>
    <row r="122" spans="1:7" ht="15">
      <c r="A122" s="92"/>
      <c r="B122" s="92"/>
      <c r="C122" s="90"/>
      <c r="D122" s="90"/>
      <c r="E122" s="90"/>
      <c r="F122" s="90"/>
      <c r="G122" s="90"/>
    </row>
    <row r="123" spans="1:7" ht="15">
      <c r="A123" s="92"/>
      <c r="B123" s="92"/>
      <c r="C123" s="90"/>
      <c r="D123" s="90"/>
      <c r="E123" s="90"/>
      <c r="F123" s="90"/>
      <c r="G123" s="90"/>
    </row>
    <row r="124" spans="1:7" ht="15">
      <c r="A124" s="92"/>
      <c r="B124" s="92"/>
      <c r="C124" s="90"/>
      <c r="D124" s="90"/>
      <c r="E124" s="90"/>
      <c r="F124" s="90"/>
      <c r="G124" s="90"/>
    </row>
    <row r="125" spans="1:7" ht="15">
      <c r="A125" s="92"/>
      <c r="B125" s="92"/>
      <c r="C125" s="90"/>
      <c r="D125" s="90"/>
      <c r="E125" s="90"/>
      <c r="F125" s="90"/>
      <c r="G125" s="90"/>
    </row>
    <row r="126" spans="1:7" ht="15">
      <c r="A126" s="92"/>
      <c r="B126" s="92"/>
      <c r="C126" s="90"/>
      <c r="D126" s="90"/>
      <c r="E126" s="90"/>
      <c r="F126" s="90"/>
      <c r="G126" s="90"/>
    </row>
    <row r="127" spans="1:7" ht="15">
      <c r="A127" s="92"/>
      <c r="B127" s="92"/>
      <c r="C127" s="90"/>
      <c r="D127" s="90"/>
      <c r="E127" s="90"/>
      <c r="F127" s="90"/>
      <c r="G127" s="90"/>
    </row>
    <row r="128" spans="1:7" ht="15">
      <c r="A128" s="92"/>
      <c r="B128" s="92"/>
      <c r="C128" s="90"/>
      <c r="D128" s="90"/>
      <c r="E128" s="90"/>
      <c r="F128" s="90"/>
      <c r="G128" s="90"/>
    </row>
    <row r="129" spans="1:7" ht="15">
      <c r="A129" s="92"/>
      <c r="B129" s="92"/>
      <c r="C129" s="90"/>
      <c r="D129" s="90"/>
      <c r="E129" s="90"/>
      <c r="F129" s="90"/>
      <c r="G129" s="90"/>
    </row>
    <row r="130" spans="1:7" ht="15">
      <c r="A130" s="92"/>
      <c r="B130" s="92"/>
      <c r="C130" s="90"/>
      <c r="D130" s="90"/>
      <c r="E130" s="90"/>
      <c r="F130" s="90"/>
      <c r="G130" s="90"/>
    </row>
    <row r="131" spans="1:7" ht="15">
      <c r="A131" s="92"/>
      <c r="B131" s="92"/>
      <c r="C131" s="90"/>
      <c r="D131" s="90"/>
      <c r="E131" s="90"/>
      <c r="F131" s="90"/>
      <c r="G131" s="90"/>
    </row>
    <row r="132" spans="1:7" ht="15">
      <c r="A132" s="92"/>
      <c r="B132" s="92"/>
      <c r="C132" s="90"/>
      <c r="D132" s="90"/>
      <c r="E132" s="90"/>
      <c r="F132" s="90"/>
      <c r="G132" s="90"/>
    </row>
    <row r="133" spans="1:7" ht="15">
      <c r="A133" s="92"/>
      <c r="B133" s="92"/>
      <c r="C133" s="90"/>
      <c r="D133" s="90"/>
      <c r="E133" s="90"/>
      <c r="F133" s="90"/>
      <c r="G133" s="90"/>
    </row>
    <row r="134" spans="1:7" ht="15">
      <c r="A134" s="92"/>
      <c r="B134" s="92"/>
      <c r="C134" s="90"/>
      <c r="D134" s="90"/>
      <c r="E134" s="90"/>
      <c r="F134" s="90"/>
      <c r="G134" s="90"/>
    </row>
    <row r="135" spans="1:7" ht="15">
      <c r="A135" s="92"/>
      <c r="B135" s="92"/>
      <c r="C135" s="90"/>
      <c r="D135" s="90"/>
      <c r="E135" s="90"/>
      <c r="F135" s="90"/>
      <c r="G135" s="90"/>
    </row>
    <row r="136" spans="1:7" ht="15">
      <c r="A136" s="92"/>
      <c r="B136" s="92"/>
      <c r="C136" s="90"/>
      <c r="D136" s="90"/>
      <c r="E136" s="90"/>
      <c r="F136" s="90"/>
      <c r="G136" s="90"/>
    </row>
    <row r="137" spans="1:7" ht="15">
      <c r="A137" s="92"/>
      <c r="B137" s="92"/>
      <c r="C137" s="90"/>
      <c r="D137" s="90"/>
      <c r="E137" s="90"/>
      <c r="F137" s="90"/>
      <c r="G137" s="90"/>
    </row>
    <row r="138" spans="1:7" ht="15">
      <c r="A138" s="92"/>
      <c r="B138" s="92"/>
      <c r="C138" s="90"/>
      <c r="D138" s="90"/>
      <c r="E138" s="90"/>
      <c r="F138" s="90"/>
      <c r="G138" s="90"/>
    </row>
    <row r="139" spans="1:7" ht="15">
      <c r="A139" s="92"/>
      <c r="B139" s="92"/>
      <c r="C139" s="90"/>
      <c r="D139" s="90"/>
      <c r="E139" s="90"/>
      <c r="F139" s="90"/>
      <c r="G139" s="90"/>
    </row>
    <row r="140" spans="1:7" ht="15">
      <c r="A140" s="92"/>
      <c r="B140" s="92"/>
      <c r="C140" s="90"/>
      <c r="D140" s="90"/>
      <c r="E140" s="90"/>
      <c r="F140" s="90"/>
      <c r="G140" s="90"/>
    </row>
    <row r="141" spans="1:7" ht="15">
      <c r="A141" s="92"/>
      <c r="B141" s="92"/>
      <c r="C141" s="90"/>
      <c r="D141" s="90"/>
      <c r="E141" s="90"/>
      <c r="F141" s="90"/>
      <c r="G141" s="90"/>
    </row>
    <row r="142" spans="1:7" ht="15">
      <c r="A142" s="92"/>
      <c r="B142" s="92"/>
      <c r="C142" s="90"/>
      <c r="D142" s="90"/>
      <c r="E142" s="90"/>
      <c r="F142" s="90"/>
      <c r="G142" s="90"/>
    </row>
    <row r="143" spans="1:7" ht="15">
      <c r="A143" s="92"/>
      <c r="B143" s="92"/>
      <c r="C143" s="90"/>
      <c r="D143" s="90"/>
      <c r="E143" s="90"/>
      <c r="F143" s="90"/>
      <c r="G143" s="90"/>
    </row>
    <row r="144" spans="1:7" ht="15">
      <c r="A144" s="92"/>
      <c r="B144" s="92"/>
      <c r="C144" s="90"/>
      <c r="D144" s="90"/>
      <c r="E144" s="90"/>
      <c r="F144" s="90"/>
      <c r="G144" s="90"/>
    </row>
    <row r="145" spans="1:7" ht="15">
      <c r="A145" s="92"/>
      <c r="B145" s="92"/>
      <c r="C145" s="90"/>
      <c r="D145" s="90"/>
      <c r="E145" s="90"/>
      <c r="F145" s="90"/>
      <c r="G145" s="90"/>
    </row>
    <row r="146" spans="1:7" ht="15">
      <c r="A146" s="92"/>
      <c r="B146" s="92"/>
      <c r="C146" s="90"/>
      <c r="D146" s="90"/>
      <c r="E146" s="90"/>
      <c r="F146" s="90"/>
      <c r="G146" s="90"/>
    </row>
    <row r="147" spans="1:7" ht="15">
      <c r="A147" s="92"/>
      <c r="B147" s="92"/>
      <c r="C147" s="90"/>
      <c r="D147" s="90"/>
      <c r="E147" s="90"/>
      <c r="F147" s="90"/>
      <c r="G147" s="90"/>
    </row>
    <row r="148" spans="1:7" ht="15">
      <c r="A148" s="92"/>
      <c r="B148" s="92"/>
      <c r="C148" s="90"/>
      <c r="D148" s="90"/>
      <c r="E148" s="90"/>
      <c r="F148" s="90"/>
      <c r="G148" s="90"/>
    </row>
    <row r="149" spans="1:7" ht="15">
      <c r="A149" s="92"/>
      <c r="B149" s="92"/>
      <c r="C149" s="90"/>
      <c r="D149" s="90"/>
      <c r="E149" s="90"/>
      <c r="F149" s="90"/>
      <c r="G149" s="90"/>
    </row>
    <row r="150" spans="1:7" ht="15">
      <c r="A150" s="92"/>
      <c r="B150" s="92"/>
      <c r="C150" s="90"/>
      <c r="D150" s="90"/>
      <c r="E150" s="90"/>
      <c r="F150" s="90"/>
      <c r="G150" s="90"/>
    </row>
    <row r="151" spans="1:7" ht="15">
      <c r="A151" s="92"/>
      <c r="B151" s="92"/>
      <c r="C151" s="90"/>
      <c r="D151" s="90"/>
      <c r="E151" s="90"/>
      <c r="F151" s="90"/>
      <c r="G151" s="90"/>
    </row>
    <row r="152" spans="1:7" ht="15">
      <c r="A152" s="92"/>
      <c r="B152" s="92"/>
      <c r="C152" s="90"/>
      <c r="D152" s="90"/>
      <c r="E152" s="90"/>
      <c r="F152" s="90"/>
      <c r="G152" s="90"/>
    </row>
    <row r="153" spans="1:7" ht="15">
      <c r="A153" s="92"/>
      <c r="B153" s="92"/>
      <c r="C153" s="90"/>
      <c r="D153" s="90"/>
      <c r="E153" s="90"/>
      <c r="F153" s="90"/>
      <c r="G153" s="90"/>
    </row>
    <row r="154" spans="1:7" ht="15">
      <c r="A154" s="92"/>
      <c r="B154" s="92"/>
      <c r="C154" s="90"/>
      <c r="D154" s="90"/>
      <c r="E154" s="90"/>
      <c r="F154" s="90"/>
      <c r="G154" s="90"/>
    </row>
    <row r="155" spans="1:7" ht="15">
      <c r="A155" s="92"/>
      <c r="B155" s="92"/>
      <c r="C155" s="90"/>
      <c r="D155" s="90"/>
      <c r="E155" s="90"/>
      <c r="F155" s="90"/>
      <c r="G155" s="90"/>
    </row>
    <row r="156" spans="1:7" ht="15">
      <c r="A156" s="92"/>
      <c r="B156" s="92"/>
      <c r="C156" s="90"/>
      <c r="D156" s="90"/>
      <c r="E156" s="90"/>
      <c r="F156" s="90"/>
      <c r="G156" s="90"/>
    </row>
    <row r="157" spans="1:7" ht="15">
      <c r="A157" s="92"/>
      <c r="B157" s="92"/>
      <c r="C157" s="90"/>
      <c r="D157" s="90"/>
      <c r="E157" s="90"/>
      <c r="F157" s="90"/>
      <c r="G157" s="90"/>
    </row>
    <row r="158" spans="1:7" ht="15">
      <c r="A158" s="92"/>
      <c r="B158" s="92"/>
      <c r="C158" s="90"/>
      <c r="D158" s="90"/>
      <c r="E158" s="90"/>
      <c r="F158" s="90"/>
      <c r="G158" s="90"/>
    </row>
    <row r="159" spans="1:7" ht="15">
      <c r="A159" s="92"/>
      <c r="B159" s="92"/>
      <c r="C159" s="90"/>
      <c r="D159" s="90"/>
      <c r="E159" s="90"/>
      <c r="F159" s="90"/>
      <c r="G159" s="90"/>
    </row>
    <row r="160" spans="1:7" ht="15">
      <c r="A160" s="92"/>
      <c r="B160" s="92"/>
      <c r="C160" s="90"/>
      <c r="D160" s="90"/>
      <c r="E160" s="90"/>
      <c r="F160" s="90"/>
      <c r="G160" s="90"/>
    </row>
    <row r="161" spans="1:7" ht="15">
      <c r="A161" s="92"/>
      <c r="B161" s="92"/>
      <c r="C161" s="90"/>
      <c r="D161" s="90"/>
      <c r="E161" s="90"/>
      <c r="F161" s="90"/>
      <c r="G161" s="90"/>
    </row>
    <row r="162" spans="1:7" ht="15">
      <c r="A162" s="92"/>
      <c r="B162" s="92"/>
      <c r="C162" s="90"/>
      <c r="D162" s="90"/>
      <c r="E162" s="90"/>
      <c r="F162" s="90"/>
      <c r="G162" s="90"/>
    </row>
    <row r="163" spans="1:7" ht="15">
      <c r="A163" s="92"/>
      <c r="B163" s="92"/>
      <c r="C163" s="90"/>
      <c r="D163" s="90"/>
      <c r="E163" s="90"/>
      <c r="F163" s="90"/>
      <c r="G163" s="90"/>
    </row>
    <row r="164" spans="1:7" ht="15">
      <c r="A164" s="92"/>
      <c r="B164" s="92"/>
      <c r="C164" s="90"/>
      <c r="D164" s="90"/>
      <c r="E164" s="90"/>
      <c r="F164" s="90"/>
      <c r="G164" s="90"/>
    </row>
    <row r="165" spans="1:7" ht="15">
      <c r="A165" s="92"/>
      <c r="B165" s="92"/>
      <c r="C165" s="90"/>
      <c r="D165" s="90"/>
      <c r="E165" s="90"/>
      <c r="F165" s="90"/>
      <c r="G165" s="90"/>
    </row>
    <row r="166" spans="1:7" ht="15">
      <c r="A166" s="92"/>
      <c r="B166" s="92"/>
      <c r="C166" s="90"/>
      <c r="D166" s="90"/>
      <c r="E166" s="90"/>
      <c r="F166" s="90"/>
      <c r="G166" s="90"/>
    </row>
    <row r="167" spans="1:7" ht="15">
      <c r="A167" s="92"/>
      <c r="B167" s="92"/>
      <c r="C167" s="90"/>
      <c r="D167" s="90"/>
      <c r="E167" s="90"/>
      <c r="F167" s="90"/>
      <c r="G167" s="90"/>
    </row>
    <row r="168" spans="1:7" ht="15">
      <c r="A168" s="92"/>
      <c r="B168" s="92"/>
      <c r="C168" s="90"/>
      <c r="D168" s="90"/>
      <c r="E168" s="90"/>
      <c r="F168" s="90"/>
      <c r="G168" s="90"/>
    </row>
    <row r="169" spans="1:7" ht="15">
      <c r="A169" s="92"/>
      <c r="B169" s="92"/>
      <c r="C169" s="90"/>
      <c r="D169" s="90"/>
      <c r="E169" s="90"/>
      <c r="F169" s="90"/>
      <c r="G169" s="90"/>
    </row>
    <row r="170" spans="1:7" ht="15">
      <c r="A170" s="92"/>
      <c r="B170" s="92"/>
      <c r="C170" s="90"/>
      <c r="D170" s="90"/>
      <c r="E170" s="90"/>
      <c r="F170" s="90"/>
      <c r="G170" s="90"/>
    </row>
    <row r="171" spans="1:7" ht="15">
      <c r="A171" s="92"/>
      <c r="B171" s="92"/>
      <c r="C171" s="90"/>
      <c r="D171" s="90"/>
      <c r="E171" s="90"/>
      <c r="F171" s="90"/>
      <c r="G171" s="90"/>
    </row>
    <row r="172" spans="1:7" ht="15">
      <c r="A172" s="92"/>
      <c r="B172" s="92"/>
      <c r="C172" s="90"/>
      <c r="D172" s="90"/>
      <c r="E172" s="90"/>
      <c r="F172" s="90"/>
      <c r="G172" s="90"/>
    </row>
    <row r="173" spans="1:7" ht="15">
      <c r="A173" s="92"/>
      <c r="B173" s="92"/>
      <c r="C173" s="90"/>
      <c r="D173" s="90"/>
      <c r="E173" s="90"/>
      <c r="F173" s="90"/>
      <c r="G173" s="90"/>
    </row>
    <row r="174" spans="1:7" ht="15">
      <c r="A174" s="92"/>
      <c r="B174" s="92"/>
      <c r="C174" s="90"/>
      <c r="D174" s="90"/>
      <c r="E174" s="90"/>
      <c r="F174" s="90"/>
      <c r="G174" s="90"/>
    </row>
    <row r="175" spans="1:7" ht="15">
      <c r="A175" s="92"/>
      <c r="B175" s="92"/>
      <c r="C175" s="90"/>
      <c r="D175" s="90"/>
      <c r="E175" s="90"/>
      <c r="F175" s="90"/>
      <c r="G175" s="90"/>
    </row>
    <row r="176" spans="1:7" ht="15">
      <c r="A176" s="92"/>
      <c r="B176" s="92"/>
      <c r="C176" s="90"/>
      <c r="D176" s="90"/>
      <c r="E176" s="90"/>
      <c r="F176" s="90"/>
      <c r="G176" s="90"/>
    </row>
    <row r="177" spans="1:7" ht="15">
      <c r="A177" s="92"/>
      <c r="B177" s="92"/>
      <c r="C177" s="90"/>
      <c r="D177" s="90"/>
      <c r="E177" s="90"/>
      <c r="F177" s="90"/>
      <c r="G177" s="90"/>
    </row>
    <row r="178" spans="1:7" ht="15">
      <c r="A178" s="92"/>
      <c r="B178" s="92"/>
      <c r="C178" s="90"/>
      <c r="D178" s="90"/>
      <c r="E178" s="90"/>
      <c r="F178" s="90"/>
      <c r="G178" s="90"/>
    </row>
    <row r="179" spans="1:7" ht="15">
      <c r="A179" s="92"/>
      <c r="B179" s="92"/>
      <c r="C179" s="90"/>
      <c r="D179" s="90"/>
      <c r="E179" s="90"/>
      <c r="F179" s="90"/>
      <c r="G179" s="90"/>
    </row>
    <row r="180" spans="1:7" ht="15">
      <c r="A180" s="92"/>
      <c r="B180" s="92"/>
      <c r="C180" s="90"/>
      <c r="D180" s="90"/>
      <c r="E180" s="90"/>
      <c r="F180" s="90"/>
      <c r="G180" s="90"/>
    </row>
    <row r="181" spans="1:7" ht="15">
      <c r="A181" s="92"/>
      <c r="B181" s="92"/>
      <c r="C181" s="90"/>
      <c r="D181" s="90"/>
      <c r="E181" s="90"/>
      <c r="F181" s="90"/>
      <c r="G181" s="90"/>
    </row>
    <row r="182" spans="1:7" ht="15">
      <c r="A182" s="92"/>
      <c r="B182" s="92"/>
      <c r="C182" s="90"/>
      <c r="D182" s="90"/>
      <c r="E182" s="90"/>
      <c r="F182" s="90"/>
      <c r="G182" s="90"/>
    </row>
    <row r="183" spans="1:7" ht="15">
      <c r="A183" s="92"/>
      <c r="B183" s="92"/>
      <c r="C183" s="90"/>
      <c r="D183" s="90"/>
      <c r="E183" s="90"/>
      <c r="F183" s="90"/>
      <c r="G183" s="90"/>
    </row>
    <row r="184" spans="1:7" ht="15">
      <c r="A184" s="92"/>
      <c r="B184" s="92"/>
      <c r="C184" s="90"/>
      <c r="D184" s="90"/>
      <c r="E184" s="90"/>
      <c r="F184" s="90"/>
      <c r="G184" s="90"/>
    </row>
    <row r="185" spans="1:7" ht="15">
      <c r="A185" s="92"/>
      <c r="B185" s="92"/>
      <c r="C185" s="90"/>
      <c r="D185" s="90"/>
      <c r="E185" s="90"/>
      <c r="F185" s="90"/>
      <c r="G185" s="90"/>
    </row>
    <row r="186" spans="1:7" ht="15">
      <c r="A186" s="92"/>
      <c r="B186" s="92"/>
      <c r="C186" s="90"/>
      <c r="D186" s="90"/>
      <c r="E186" s="90"/>
      <c r="F186" s="90"/>
      <c r="G186" s="90"/>
    </row>
    <row r="187" spans="1:7" ht="15">
      <c r="A187" s="92"/>
      <c r="B187" s="92"/>
      <c r="C187" s="90"/>
      <c r="D187" s="90"/>
      <c r="E187" s="90"/>
      <c r="F187" s="90"/>
      <c r="G187" s="90"/>
    </row>
    <row r="188" spans="1:7" ht="15">
      <c r="A188" s="92"/>
      <c r="B188" s="92"/>
      <c r="C188" s="90"/>
      <c r="D188" s="90"/>
      <c r="E188" s="90"/>
      <c r="F188" s="90"/>
      <c r="G188" s="90"/>
    </row>
    <row r="189" spans="1:7" ht="15">
      <c r="A189" s="92"/>
      <c r="B189" s="92"/>
      <c r="C189" s="90"/>
      <c r="D189" s="90"/>
      <c r="E189" s="90"/>
      <c r="F189" s="90"/>
      <c r="G189" s="90"/>
    </row>
    <row r="190" spans="1:7" ht="15">
      <c r="A190" s="92"/>
      <c r="B190" s="92"/>
      <c r="C190" s="90"/>
      <c r="D190" s="90"/>
      <c r="E190" s="90"/>
      <c r="F190" s="90"/>
      <c r="G190" s="90"/>
    </row>
    <row r="191" spans="1:7" ht="15">
      <c r="A191" s="92"/>
      <c r="B191" s="92"/>
      <c r="C191" s="90"/>
      <c r="D191" s="90"/>
      <c r="E191" s="90"/>
      <c r="F191" s="90"/>
      <c r="G191" s="90"/>
    </row>
    <row r="192" spans="1:7" ht="15">
      <c r="A192" s="92"/>
      <c r="B192" s="92"/>
      <c r="C192" s="90"/>
      <c r="D192" s="90"/>
      <c r="E192" s="90"/>
      <c r="F192" s="90"/>
      <c r="G192" s="90"/>
    </row>
    <row r="193" spans="1:7" ht="15">
      <c r="A193" s="92"/>
      <c r="B193" s="92"/>
      <c r="C193" s="90"/>
      <c r="D193" s="90"/>
      <c r="E193" s="90"/>
      <c r="F193" s="90"/>
      <c r="G193" s="90"/>
    </row>
    <row r="194" spans="1:7" ht="15">
      <c r="A194" s="92"/>
      <c r="B194" s="92"/>
      <c r="C194" s="90"/>
      <c r="D194" s="90"/>
      <c r="E194" s="90"/>
      <c r="F194" s="90"/>
      <c r="G194" s="90"/>
    </row>
    <row r="195" spans="1:7" ht="15">
      <c r="A195" s="92"/>
      <c r="B195" s="92"/>
      <c r="C195" s="90"/>
      <c r="D195" s="90"/>
      <c r="E195" s="90"/>
      <c r="F195" s="90"/>
      <c r="G195" s="90"/>
    </row>
    <row r="196" spans="1:7" ht="15">
      <c r="A196" s="92"/>
      <c r="B196" s="92"/>
      <c r="C196" s="90"/>
      <c r="D196" s="90"/>
      <c r="E196" s="90"/>
      <c r="F196" s="90"/>
      <c r="G196" s="90"/>
    </row>
    <row r="197" spans="1:7" ht="15">
      <c r="A197" s="92"/>
      <c r="B197" s="92"/>
      <c r="C197" s="90"/>
      <c r="D197" s="90"/>
      <c r="E197" s="90"/>
      <c r="F197" s="90"/>
      <c r="G197" s="90"/>
    </row>
    <row r="198" spans="1:7" ht="15">
      <c r="A198" s="92"/>
      <c r="B198" s="92"/>
      <c r="C198" s="90"/>
      <c r="D198" s="90"/>
      <c r="E198" s="90"/>
      <c r="F198" s="90"/>
      <c r="G198" s="90"/>
    </row>
    <row r="199" spans="1:7" ht="15">
      <c r="A199" s="92"/>
      <c r="B199" s="92"/>
      <c r="C199" s="90"/>
      <c r="D199" s="90"/>
      <c r="E199" s="90"/>
      <c r="F199" s="90"/>
      <c r="G199" s="90"/>
    </row>
    <row r="200" spans="1:7" ht="15">
      <c r="A200" s="92"/>
      <c r="B200" s="92"/>
      <c r="C200" s="90"/>
      <c r="D200" s="90"/>
      <c r="E200" s="90"/>
      <c r="F200" s="90"/>
      <c r="G200" s="90"/>
    </row>
    <row r="201" spans="1:7" ht="15">
      <c r="A201" s="92"/>
      <c r="B201" s="92"/>
      <c r="C201" s="90"/>
      <c r="D201" s="90"/>
      <c r="E201" s="90"/>
      <c r="F201" s="90"/>
      <c r="G201" s="90"/>
    </row>
    <row r="202" spans="1:7" ht="15">
      <c r="A202" s="92"/>
      <c r="B202" s="92"/>
      <c r="C202" s="90"/>
      <c r="D202" s="90"/>
      <c r="E202" s="90"/>
      <c r="F202" s="90"/>
      <c r="G202" s="90"/>
    </row>
    <row r="203" spans="1:7" ht="15">
      <c r="A203" s="92"/>
      <c r="B203" s="92"/>
      <c r="C203" s="90"/>
      <c r="D203" s="90"/>
      <c r="E203" s="90"/>
      <c r="F203" s="90"/>
      <c r="G203" s="90"/>
    </row>
    <row r="204" spans="1:7" ht="15">
      <c r="A204" s="92"/>
      <c r="B204" s="92"/>
      <c r="C204" s="90"/>
      <c r="D204" s="90"/>
      <c r="E204" s="90"/>
      <c r="F204" s="90"/>
      <c r="G204" s="90"/>
    </row>
    <row r="205" spans="1:7" ht="15">
      <c r="A205" s="92"/>
      <c r="B205" s="92"/>
      <c r="C205" s="90"/>
      <c r="D205" s="90"/>
      <c r="E205" s="90"/>
      <c r="F205" s="90"/>
      <c r="G205" s="90"/>
    </row>
    <row r="206" spans="1:7" ht="15">
      <c r="A206" s="92"/>
      <c r="B206" s="92"/>
      <c r="C206" s="90"/>
      <c r="D206" s="90"/>
      <c r="E206" s="90"/>
      <c r="F206" s="90"/>
      <c r="G206" s="90"/>
    </row>
    <row r="207" spans="1:7" ht="15">
      <c r="A207" s="92"/>
      <c r="B207" s="92"/>
      <c r="C207" s="90"/>
      <c r="D207" s="90"/>
      <c r="E207" s="90"/>
      <c r="F207" s="90"/>
      <c r="G207" s="90"/>
    </row>
    <row r="208" spans="1:7" ht="15">
      <c r="A208" s="92"/>
      <c r="B208" s="92"/>
      <c r="C208" s="90"/>
      <c r="D208" s="90"/>
      <c r="E208" s="90"/>
      <c r="F208" s="90"/>
      <c r="G208" s="90"/>
    </row>
    <row r="209" spans="1:7" ht="15">
      <c r="A209" s="92"/>
      <c r="B209" s="92"/>
      <c r="C209" s="90"/>
      <c r="D209" s="90"/>
      <c r="E209" s="90"/>
      <c r="F209" s="90"/>
      <c r="G209" s="90"/>
    </row>
    <row r="210" spans="1:7" ht="15">
      <c r="A210" s="92"/>
      <c r="B210" s="92"/>
      <c r="C210" s="90"/>
      <c r="D210" s="90"/>
      <c r="E210" s="90"/>
      <c r="F210" s="90"/>
      <c r="G210" s="90"/>
    </row>
    <row r="211" spans="1:7" ht="15">
      <c r="A211" s="92"/>
      <c r="B211" s="92"/>
      <c r="C211" s="90"/>
      <c r="D211" s="90"/>
      <c r="E211" s="90"/>
      <c r="F211" s="90"/>
      <c r="G211" s="90"/>
    </row>
    <row r="212" spans="1:7" ht="15">
      <c r="A212" s="92"/>
      <c r="B212" s="92"/>
      <c r="C212" s="90"/>
      <c r="D212" s="90"/>
      <c r="E212" s="90"/>
      <c r="F212" s="90"/>
      <c r="G212" s="90"/>
    </row>
    <row r="213" spans="1:7" ht="15">
      <c r="A213" s="92"/>
      <c r="B213" s="92"/>
      <c r="C213" s="90"/>
      <c r="D213" s="90"/>
      <c r="E213" s="90"/>
      <c r="F213" s="90"/>
      <c r="G213" s="90"/>
    </row>
    <row r="214" spans="1:7" ht="15">
      <c r="A214" s="92"/>
      <c r="B214" s="92"/>
      <c r="C214" s="90"/>
      <c r="D214" s="90"/>
      <c r="E214" s="90"/>
      <c r="F214" s="90"/>
      <c r="G214" s="90"/>
    </row>
    <row r="215" spans="1:7" ht="15">
      <c r="A215" s="92"/>
      <c r="B215" s="92"/>
      <c r="C215" s="90"/>
      <c r="D215" s="90"/>
      <c r="E215" s="90"/>
      <c r="F215" s="90"/>
      <c r="G215" s="90"/>
    </row>
    <row r="216" spans="1:7" ht="15">
      <c r="A216" s="92"/>
      <c r="B216" s="92"/>
      <c r="C216" s="90"/>
      <c r="D216" s="90"/>
      <c r="E216" s="90"/>
      <c r="F216" s="90"/>
      <c r="G216" s="90"/>
    </row>
    <row r="217" spans="1:7" ht="15">
      <c r="A217" s="92"/>
      <c r="B217" s="92"/>
      <c r="C217" s="90"/>
      <c r="D217" s="90"/>
      <c r="E217" s="90"/>
      <c r="F217" s="90"/>
      <c r="G217" s="90"/>
    </row>
    <row r="218" spans="1:7" ht="15">
      <c r="A218" s="92"/>
      <c r="B218" s="92"/>
      <c r="C218" s="90"/>
      <c r="D218" s="90"/>
      <c r="E218" s="90"/>
      <c r="F218" s="90"/>
      <c r="G218" s="90"/>
    </row>
    <row r="219" spans="1:7" ht="15">
      <c r="A219" s="92"/>
      <c r="B219" s="92"/>
      <c r="C219" s="90"/>
      <c r="D219" s="90"/>
      <c r="E219" s="90"/>
      <c r="F219" s="90"/>
      <c r="G219" s="90"/>
    </row>
    <row r="220" spans="1:7" ht="15">
      <c r="A220" s="92"/>
      <c r="B220" s="92"/>
      <c r="C220" s="90"/>
      <c r="D220" s="90"/>
      <c r="E220" s="90"/>
      <c r="F220" s="90"/>
      <c r="G220" s="90"/>
    </row>
    <row r="221" spans="1:7" ht="15">
      <c r="A221" s="92"/>
      <c r="B221" s="92"/>
      <c r="C221" s="90"/>
      <c r="D221" s="90"/>
      <c r="E221" s="90"/>
      <c r="F221" s="90"/>
      <c r="G221" s="90"/>
    </row>
    <row r="222" spans="1:7" ht="15">
      <c r="A222" s="92"/>
      <c r="B222" s="92"/>
      <c r="C222" s="90"/>
      <c r="D222" s="90"/>
      <c r="E222" s="90"/>
      <c r="F222" s="90"/>
      <c r="G222" s="90"/>
    </row>
    <row r="223" spans="1:7" ht="15">
      <c r="A223" s="92"/>
      <c r="B223" s="92"/>
      <c r="C223" s="90"/>
      <c r="D223" s="90"/>
      <c r="E223" s="90"/>
      <c r="F223" s="90"/>
      <c r="G223" s="90"/>
    </row>
    <row r="224" spans="1:7" ht="15">
      <c r="A224" s="92"/>
      <c r="B224" s="92"/>
      <c r="C224" s="90"/>
      <c r="D224" s="90"/>
      <c r="E224" s="90"/>
      <c r="F224" s="90"/>
      <c r="G224" s="90"/>
    </row>
    <row r="225" spans="1:7" ht="15">
      <c r="A225" s="92"/>
      <c r="B225" s="92"/>
      <c r="C225" s="90"/>
      <c r="D225" s="90"/>
      <c r="E225" s="90"/>
      <c r="F225" s="90"/>
      <c r="G225" s="90"/>
    </row>
    <row r="226" spans="1:7" ht="15">
      <c r="A226" s="92"/>
      <c r="B226" s="92"/>
      <c r="C226" s="90"/>
      <c r="D226" s="90"/>
      <c r="E226" s="90"/>
      <c r="F226" s="90"/>
      <c r="G226" s="90"/>
    </row>
    <row r="227" spans="1:7" ht="15">
      <c r="A227" s="92"/>
      <c r="B227" s="92"/>
      <c r="C227" s="90"/>
      <c r="D227" s="90"/>
      <c r="E227" s="90"/>
      <c r="F227" s="90"/>
      <c r="G227" s="90"/>
    </row>
    <row r="228" spans="1:7" ht="15">
      <c r="A228" s="92"/>
      <c r="B228" s="92"/>
      <c r="C228" s="90"/>
      <c r="D228" s="90"/>
      <c r="E228" s="90"/>
      <c r="F228" s="90"/>
      <c r="G228" s="90"/>
    </row>
    <row r="229" spans="1:7" ht="15">
      <c r="A229" s="92"/>
      <c r="B229" s="92"/>
      <c r="C229" s="90"/>
      <c r="D229" s="90"/>
      <c r="E229" s="90"/>
      <c r="F229" s="90"/>
      <c r="G229" s="90"/>
    </row>
    <row r="230" spans="1:7" ht="15">
      <c r="A230" s="92"/>
      <c r="B230" s="92"/>
      <c r="C230" s="90"/>
      <c r="D230" s="90"/>
      <c r="E230" s="90"/>
      <c r="F230" s="90"/>
      <c r="G230" s="90"/>
    </row>
    <row r="231" spans="1:7" ht="15">
      <c r="A231" s="92"/>
      <c r="B231" s="92"/>
      <c r="C231" s="90"/>
      <c r="D231" s="90"/>
      <c r="E231" s="90"/>
      <c r="F231" s="90"/>
      <c r="G231" s="90"/>
    </row>
    <row r="232" spans="1:7" ht="15">
      <c r="A232" s="92"/>
      <c r="B232" s="92"/>
      <c r="C232" s="90"/>
      <c r="D232" s="90"/>
      <c r="E232" s="90"/>
      <c r="F232" s="90"/>
      <c r="G232" s="90"/>
    </row>
    <row r="233" spans="1:7" ht="15">
      <c r="A233" s="92"/>
      <c r="B233" s="92"/>
      <c r="C233" s="90"/>
      <c r="D233" s="90"/>
      <c r="E233" s="90"/>
      <c r="F233" s="90"/>
      <c r="G233" s="90"/>
    </row>
    <row r="234" spans="1:7" ht="15">
      <c r="A234" s="92"/>
      <c r="B234" s="92"/>
      <c r="C234" s="90"/>
      <c r="D234" s="90"/>
      <c r="E234" s="90"/>
      <c r="F234" s="90"/>
      <c r="G234" s="90"/>
    </row>
    <row r="235" spans="1:7" ht="15">
      <c r="A235" s="92"/>
      <c r="B235" s="92"/>
      <c r="C235" s="90"/>
      <c r="D235" s="90"/>
      <c r="E235" s="90"/>
      <c r="F235" s="90"/>
      <c r="G235" s="90"/>
    </row>
    <row r="236" spans="1:7" ht="15">
      <c r="A236" s="92"/>
      <c r="B236" s="92"/>
      <c r="C236" s="90"/>
      <c r="D236" s="90"/>
      <c r="E236" s="90"/>
      <c r="F236" s="90"/>
      <c r="G236" s="90"/>
    </row>
    <row r="237" spans="1:7" ht="15">
      <c r="A237" s="92"/>
      <c r="B237" s="92"/>
      <c r="C237" s="90"/>
      <c r="D237" s="90"/>
      <c r="E237" s="90"/>
      <c r="F237" s="90"/>
      <c r="G237" s="90"/>
    </row>
    <row r="238" spans="1:7" ht="15">
      <c r="A238" s="92"/>
      <c r="B238" s="92"/>
      <c r="C238" s="90"/>
      <c r="D238" s="90"/>
      <c r="E238" s="90"/>
      <c r="F238" s="90"/>
      <c r="G238" s="90"/>
    </row>
    <row r="239" spans="1:7" ht="15">
      <c r="A239" s="92"/>
      <c r="B239" s="92"/>
      <c r="C239" s="90"/>
      <c r="D239" s="90"/>
      <c r="E239" s="90"/>
      <c r="F239" s="90"/>
      <c r="G239" s="90"/>
    </row>
    <row r="240" spans="1:7" ht="15">
      <c r="A240" s="92"/>
      <c r="B240" s="92"/>
      <c r="C240" s="90"/>
      <c r="D240" s="90"/>
      <c r="E240" s="90"/>
      <c r="F240" s="90"/>
      <c r="G240" s="90"/>
    </row>
    <row r="241" spans="1:7" ht="15">
      <c r="A241" s="92"/>
      <c r="B241" s="92"/>
      <c r="C241" s="90"/>
      <c r="D241" s="90"/>
      <c r="E241" s="90"/>
      <c r="F241" s="90"/>
      <c r="G241" s="90"/>
    </row>
    <row r="242" spans="1:7" ht="15">
      <c r="A242" s="92"/>
      <c r="B242" s="92"/>
      <c r="C242" s="90"/>
      <c r="D242" s="90"/>
      <c r="E242" s="90"/>
      <c r="F242" s="90"/>
      <c r="G242" s="90"/>
    </row>
    <row r="243" spans="1:7" ht="15">
      <c r="A243" s="92"/>
      <c r="B243" s="92"/>
      <c r="C243" s="90"/>
      <c r="D243" s="90"/>
      <c r="E243" s="90"/>
      <c r="F243" s="90"/>
      <c r="G243" s="90"/>
    </row>
    <row r="244" spans="1:7" ht="15">
      <c r="A244" s="92"/>
      <c r="B244" s="92"/>
      <c r="C244" s="90"/>
      <c r="D244" s="90"/>
      <c r="E244" s="90"/>
      <c r="F244" s="90"/>
      <c r="G244" s="90"/>
    </row>
    <row r="245" spans="1:7" ht="15">
      <c r="A245" s="92"/>
      <c r="B245" s="92"/>
      <c r="C245" s="90"/>
      <c r="D245" s="90"/>
      <c r="E245" s="90"/>
      <c r="F245" s="90"/>
      <c r="G245" s="90"/>
    </row>
    <row r="246" spans="1:7" ht="15">
      <c r="A246" s="92"/>
      <c r="B246" s="92"/>
      <c r="C246" s="90"/>
      <c r="D246" s="90"/>
      <c r="E246" s="90"/>
      <c r="F246" s="90"/>
      <c r="G246" s="90"/>
    </row>
    <row r="247" spans="1:7" ht="15">
      <c r="A247" s="92"/>
      <c r="B247" s="92"/>
      <c r="C247" s="90"/>
      <c r="D247" s="90"/>
      <c r="E247" s="90"/>
      <c r="F247" s="90"/>
      <c r="G247" s="90"/>
    </row>
    <row r="248" spans="1:7" ht="15">
      <c r="A248" s="92"/>
      <c r="B248" s="92"/>
      <c r="C248" s="90"/>
      <c r="D248" s="90"/>
      <c r="E248" s="90"/>
      <c r="F248" s="90"/>
      <c r="G248" s="90"/>
    </row>
    <row r="249" spans="1:7" ht="15">
      <c r="A249" s="92"/>
      <c r="B249" s="92"/>
      <c r="C249" s="90"/>
      <c r="D249" s="90"/>
      <c r="E249" s="90"/>
      <c r="F249" s="90"/>
      <c r="G249" s="90"/>
    </row>
    <row r="250" spans="1:7" ht="15">
      <c r="A250" s="92"/>
      <c r="B250" s="92"/>
      <c r="C250" s="90"/>
      <c r="D250" s="90"/>
      <c r="E250" s="90"/>
      <c r="F250" s="90"/>
      <c r="G250" s="90"/>
    </row>
    <row r="251" spans="1:7" ht="15">
      <c r="A251" s="92"/>
      <c r="B251" s="92"/>
      <c r="C251" s="90"/>
      <c r="D251" s="90"/>
      <c r="E251" s="90"/>
      <c r="F251" s="90"/>
      <c r="G251" s="90"/>
    </row>
    <row r="252" spans="1:7" ht="15">
      <c r="A252" s="92"/>
      <c r="B252" s="92"/>
      <c r="C252" s="90"/>
      <c r="D252" s="90"/>
      <c r="E252" s="90"/>
      <c r="F252" s="90"/>
      <c r="G252" s="90"/>
    </row>
    <row r="253" spans="1:7" ht="15">
      <c r="A253" s="92"/>
      <c r="B253" s="92"/>
      <c r="C253" s="90"/>
      <c r="D253" s="90"/>
      <c r="E253" s="90"/>
      <c r="F253" s="90"/>
      <c r="G253" s="90"/>
    </row>
    <row r="254" spans="1:7" ht="15">
      <c r="A254" s="92"/>
      <c r="B254" s="92"/>
      <c r="C254" s="90"/>
      <c r="D254" s="90"/>
      <c r="E254" s="90"/>
      <c r="F254" s="90"/>
      <c r="G254" s="90"/>
    </row>
    <row r="255" spans="1:7" ht="15">
      <c r="A255" s="92"/>
      <c r="B255" s="92"/>
      <c r="C255" s="90"/>
      <c r="D255" s="90"/>
      <c r="E255" s="90"/>
      <c r="F255" s="90"/>
      <c r="G255" s="90"/>
    </row>
    <row r="256" spans="1:7" ht="15">
      <c r="A256" s="92"/>
      <c r="B256" s="92"/>
      <c r="C256" s="90"/>
      <c r="D256" s="90"/>
      <c r="E256" s="90"/>
      <c r="F256" s="90"/>
      <c r="G256" s="90"/>
    </row>
    <row r="257" spans="1:7" ht="15">
      <c r="A257" s="92"/>
      <c r="B257" s="92"/>
      <c r="C257" s="90"/>
      <c r="D257" s="90"/>
      <c r="E257" s="90"/>
      <c r="F257" s="90"/>
      <c r="G257" s="90"/>
    </row>
    <row r="258" spans="1:7" ht="15">
      <c r="A258" s="92"/>
      <c r="B258" s="92"/>
      <c r="C258" s="90"/>
      <c r="D258" s="90"/>
      <c r="E258" s="90"/>
      <c r="F258" s="90"/>
      <c r="G258" s="90"/>
    </row>
    <row r="259" spans="1:7" ht="15">
      <c r="A259" s="92"/>
      <c r="B259" s="92"/>
      <c r="C259" s="90"/>
      <c r="D259" s="90"/>
      <c r="E259" s="90"/>
      <c r="F259" s="90"/>
      <c r="G259" s="90"/>
    </row>
    <row r="260" spans="1:7" ht="15">
      <c r="A260" s="92"/>
      <c r="B260" s="92"/>
      <c r="C260" s="90"/>
      <c r="D260" s="90"/>
      <c r="E260" s="90"/>
      <c r="F260" s="90"/>
      <c r="G260" s="90"/>
    </row>
    <row r="261" spans="1:7" ht="15">
      <c r="A261" s="92"/>
      <c r="B261" s="92"/>
      <c r="C261" s="90"/>
      <c r="D261" s="90"/>
      <c r="E261" s="90"/>
      <c r="F261" s="90"/>
      <c r="G261" s="90"/>
    </row>
    <row r="262" spans="1:7" ht="15">
      <c r="A262" s="92"/>
      <c r="B262" s="92"/>
      <c r="C262" s="90"/>
      <c r="D262" s="90"/>
      <c r="E262" s="90"/>
      <c r="F262" s="90"/>
      <c r="G262" s="90"/>
    </row>
    <row r="263" spans="1:7" ht="15">
      <c r="A263" s="92"/>
      <c r="B263" s="92"/>
      <c r="C263" s="90"/>
      <c r="D263" s="90"/>
      <c r="E263" s="90"/>
      <c r="F263" s="90"/>
      <c r="G263" s="90"/>
    </row>
    <row r="264" spans="1:7" ht="15">
      <c r="A264" s="92"/>
      <c r="B264" s="92"/>
      <c r="C264" s="90"/>
      <c r="D264" s="90"/>
      <c r="E264" s="90"/>
      <c r="F264" s="90"/>
      <c r="G264" s="90"/>
    </row>
    <row r="265" spans="1:7" ht="15">
      <c r="A265" s="92"/>
      <c r="B265" s="92"/>
      <c r="C265" s="90"/>
      <c r="D265" s="90"/>
      <c r="E265" s="90"/>
      <c r="F265" s="90"/>
      <c r="G265" s="90"/>
    </row>
    <row r="266" spans="1:7" ht="15">
      <c r="A266" s="92"/>
      <c r="B266" s="92"/>
      <c r="C266" s="90"/>
      <c r="D266" s="90"/>
      <c r="E266" s="90"/>
      <c r="F266" s="90"/>
      <c r="G266" s="90"/>
    </row>
    <row r="267" spans="1:7" ht="15">
      <c r="A267" s="92"/>
      <c r="B267" s="92"/>
      <c r="C267" s="90"/>
      <c r="D267" s="90"/>
      <c r="E267" s="90"/>
      <c r="F267" s="90"/>
      <c r="G267" s="90"/>
    </row>
    <row r="268" spans="1:7" ht="15">
      <c r="A268" s="92"/>
      <c r="B268" s="92"/>
      <c r="C268" s="90"/>
      <c r="D268" s="90"/>
      <c r="E268" s="90"/>
      <c r="F268" s="90"/>
      <c r="G268" s="90"/>
    </row>
    <row r="269" spans="1:7" ht="15">
      <c r="A269" s="92"/>
      <c r="B269" s="92"/>
      <c r="C269" s="90"/>
      <c r="D269" s="90"/>
      <c r="E269" s="90"/>
      <c r="F269" s="90"/>
      <c r="G269" s="90"/>
    </row>
    <row r="270" spans="1:7" ht="15">
      <c r="A270" s="92"/>
      <c r="B270" s="92"/>
      <c r="C270" s="90"/>
      <c r="D270" s="90"/>
      <c r="E270" s="90"/>
      <c r="F270" s="90"/>
      <c r="G270" s="90"/>
    </row>
    <row r="271" spans="1:7" ht="15">
      <c r="A271" s="92"/>
      <c r="B271" s="92"/>
      <c r="C271" s="90"/>
      <c r="D271" s="90"/>
      <c r="E271" s="90"/>
      <c r="F271" s="90"/>
      <c r="G271" s="90"/>
    </row>
    <row r="272" spans="1:7" ht="15">
      <c r="A272" s="92"/>
      <c r="B272" s="92"/>
      <c r="C272" s="90"/>
      <c r="D272" s="90"/>
      <c r="E272" s="90"/>
      <c r="F272" s="90"/>
      <c r="G272" s="90"/>
    </row>
    <row r="273" spans="1:7" ht="15">
      <c r="A273" s="92"/>
      <c r="B273" s="92"/>
      <c r="C273" s="90"/>
      <c r="D273" s="90"/>
      <c r="E273" s="90"/>
      <c r="F273" s="90"/>
      <c r="G273" s="90"/>
    </row>
    <row r="274" spans="1:7" ht="15">
      <c r="A274" s="92"/>
      <c r="B274" s="92"/>
      <c r="C274" s="90"/>
      <c r="D274" s="90"/>
      <c r="E274" s="90"/>
      <c r="F274" s="90"/>
      <c r="G274" s="90"/>
    </row>
    <row r="275" spans="1:7" ht="15">
      <c r="A275" s="92"/>
      <c r="B275" s="92"/>
      <c r="C275" s="90"/>
      <c r="D275" s="90"/>
      <c r="E275" s="90"/>
      <c r="F275" s="90"/>
      <c r="G275" s="90"/>
    </row>
    <row r="276" spans="1:7" ht="15">
      <c r="A276" s="92"/>
      <c r="B276" s="92"/>
      <c r="C276" s="90"/>
      <c r="D276" s="90"/>
      <c r="E276" s="90"/>
      <c r="F276" s="90"/>
      <c r="G276" s="90"/>
    </row>
    <row r="277" spans="1:7" ht="15">
      <c r="A277" s="92"/>
      <c r="B277" s="92"/>
      <c r="C277" s="90"/>
      <c r="D277" s="90"/>
      <c r="E277" s="90"/>
      <c r="F277" s="90"/>
      <c r="G277" s="90"/>
    </row>
    <row r="278" spans="1:7" ht="15">
      <c r="A278" s="92"/>
      <c r="B278" s="92"/>
      <c r="C278" s="90"/>
      <c r="D278" s="90"/>
      <c r="E278" s="90"/>
      <c r="F278" s="90"/>
      <c r="G278" s="90"/>
    </row>
    <row r="279" spans="1:7" ht="15">
      <c r="A279" s="92"/>
      <c r="B279" s="92"/>
      <c r="C279" s="90"/>
      <c r="D279" s="90"/>
      <c r="E279" s="90"/>
      <c r="F279" s="90"/>
      <c r="G279" s="90"/>
    </row>
    <row r="280" spans="1:7" ht="15">
      <c r="A280" s="92"/>
      <c r="B280" s="92"/>
      <c r="C280" s="90"/>
      <c r="D280" s="90"/>
      <c r="E280" s="90"/>
      <c r="F280" s="90"/>
      <c r="G280" s="90"/>
    </row>
    <row r="281" spans="1:7" ht="15">
      <c r="A281" s="92"/>
      <c r="B281" s="92"/>
      <c r="C281" s="90"/>
      <c r="D281" s="90"/>
      <c r="E281" s="90"/>
      <c r="F281" s="90"/>
      <c r="G281" s="90"/>
    </row>
    <row r="282" spans="1:7" ht="15">
      <c r="A282" s="92"/>
      <c r="B282" s="92"/>
      <c r="C282" s="90"/>
      <c r="D282" s="90"/>
      <c r="E282" s="90"/>
      <c r="F282" s="90"/>
      <c r="G282" s="90"/>
    </row>
    <row r="283" spans="1:7" ht="15">
      <c r="A283" s="92"/>
      <c r="B283" s="92"/>
      <c r="C283" s="90"/>
      <c r="D283" s="90"/>
      <c r="E283" s="90"/>
      <c r="F283" s="90"/>
      <c r="G283" s="90"/>
    </row>
    <row r="284" spans="1:7" ht="15">
      <c r="A284" s="92"/>
      <c r="B284" s="92"/>
      <c r="C284" s="90"/>
      <c r="D284" s="90"/>
      <c r="E284" s="90"/>
      <c r="F284" s="90"/>
      <c r="G284" s="90"/>
    </row>
    <row r="285" spans="1:7" ht="15">
      <c r="A285" s="92"/>
      <c r="B285" s="92"/>
      <c r="C285" s="90"/>
      <c r="D285" s="90"/>
      <c r="E285" s="90"/>
      <c r="F285" s="90"/>
      <c r="G285" s="90"/>
    </row>
    <row r="286" spans="1:7" ht="15">
      <c r="A286" s="92"/>
      <c r="B286" s="92"/>
      <c r="C286" s="90"/>
      <c r="D286" s="90"/>
      <c r="E286" s="90"/>
      <c r="F286" s="90"/>
      <c r="G286" s="90"/>
    </row>
    <row r="287" spans="1:7" ht="15">
      <c r="A287" s="92"/>
      <c r="B287" s="92"/>
      <c r="C287" s="90"/>
      <c r="D287" s="90"/>
      <c r="E287" s="90"/>
      <c r="F287" s="90"/>
      <c r="G287" s="90"/>
    </row>
    <row r="288" spans="1:7" ht="15">
      <c r="A288" s="92"/>
      <c r="B288" s="92"/>
      <c r="C288" s="90"/>
      <c r="D288" s="90"/>
      <c r="E288" s="90"/>
      <c r="F288" s="90"/>
      <c r="G288" s="90"/>
    </row>
    <row r="289" spans="1:7" ht="15">
      <c r="A289" s="92"/>
      <c r="B289" s="92"/>
      <c r="C289" s="90"/>
      <c r="D289" s="90"/>
      <c r="E289" s="90"/>
      <c r="F289" s="90"/>
      <c r="G289" s="90"/>
    </row>
    <row r="290" spans="1:7" ht="15">
      <c r="A290" s="92"/>
      <c r="B290" s="92"/>
      <c r="C290" s="90"/>
      <c r="D290" s="90"/>
      <c r="E290" s="90"/>
      <c r="F290" s="90"/>
      <c r="G290" s="90"/>
    </row>
    <row r="291" spans="1:7" ht="15">
      <c r="A291" s="92"/>
      <c r="B291" s="92"/>
      <c r="C291" s="90"/>
      <c r="D291" s="90"/>
      <c r="E291" s="90"/>
      <c r="F291" s="90"/>
      <c r="G291" s="90"/>
    </row>
    <row r="292" spans="1:7" ht="15">
      <c r="A292" s="92"/>
      <c r="B292" s="92"/>
      <c r="C292" s="90"/>
      <c r="D292" s="90"/>
      <c r="E292" s="90"/>
      <c r="F292" s="90"/>
      <c r="G292" s="90"/>
    </row>
  </sheetData>
  <sheetProtection/>
  <mergeCells count="5">
    <mergeCell ref="F20:G20"/>
    <mergeCell ref="H20:I20"/>
    <mergeCell ref="J20:K20"/>
    <mergeCell ref="L20:M20"/>
    <mergeCell ref="N20:O2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C2:X23"/>
  <sheetViews>
    <sheetView showGridLines="0" zoomScalePageLayoutView="0"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15" sqref="Z15"/>
    </sheetView>
  </sheetViews>
  <sheetFormatPr defaultColWidth="9.140625" defaultRowHeight="15"/>
  <cols>
    <col min="3" max="3" width="43.7109375" style="0" bestFit="1" customWidth="1"/>
    <col min="4" max="8" width="9.57421875" style="0" bestFit="1" customWidth="1"/>
    <col min="13" max="13" width="18.00390625" style="0" customWidth="1"/>
    <col min="14" max="15" width="14.00390625" style="0" bestFit="1" customWidth="1"/>
    <col min="16" max="17" width="15.57421875" style="0" customWidth="1"/>
    <col min="18" max="18" width="13.57421875" style="0" customWidth="1"/>
    <col min="20" max="20" width="12.00390625" style="0" customWidth="1"/>
    <col min="21" max="21" width="11.7109375" style="0" customWidth="1"/>
    <col min="22" max="22" width="13.7109375" style="0" customWidth="1"/>
    <col min="23" max="23" width="11.00390625" style="0" customWidth="1"/>
    <col min="24" max="24" width="11.28125" style="0" customWidth="1"/>
  </cols>
  <sheetData>
    <row r="2" spans="3:8" ht="15">
      <c r="C2" s="86"/>
      <c r="D2" s="93"/>
      <c r="E2" s="93"/>
      <c r="F2" s="93"/>
      <c r="G2" s="93"/>
      <c r="H2" s="93"/>
    </row>
    <row r="3" spans="3:8" ht="15">
      <c r="C3" s="86" t="s">
        <v>271</v>
      </c>
      <c r="D3" s="93" t="str">
        <f>+Input!D6</f>
        <v>Anno 1</v>
      </c>
      <c r="E3" s="93" t="str">
        <f>+Input!E6</f>
        <v>Anno 2</v>
      </c>
      <c r="F3" s="93" t="str">
        <f>+Input!F6</f>
        <v>Anno 3</v>
      </c>
      <c r="G3" s="93" t="str">
        <f>+Input!G6</f>
        <v>Anno 4</v>
      </c>
      <c r="H3" s="93" t="str">
        <f>+Input!H6</f>
        <v>Anno 5</v>
      </c>
    </row>
    <row r="4" spans="3:8" ht="15">
      <c r="C4" s="87"/>
      <c r="D4" s="87"/>
      <c r="E4" s="87"/>
      <c r="F4" s="87"/>
      <c r="G4" s="87"/>
      <c r="H4" s="87"/>
    </row>
    <row r="5" spans="3:8" ht="15">
      <c r="C5" s="87" t="s">
        <v>249</v>
      </c>
      <c r="D5" s="88">
        <f>+'CE'!D51</f>
        <v>-4040.5340750000237</v>
      </c>
      <c r="E5" s="88">
        <f>+'CE'!E51</f>
        <v>24889.834999999977</v>
      </c>
      <c r="F5" s="88">
        <f>+'CE'!F51</f>
        <v>54058.81999999998</v>
      </c>
      <c r="G5" s="88">
        <f>+'CE'!G51</f>
        <v>55424.404217962896</v>
      </c>
      <c r="H5" s="88">
        <f>+'CE'!H51</f>
        <v>57993.300120285065</v>
      </c>
    </row>
    <row r="6" spans="3:8" ht="15">
      <c r="C6" s="87"/>
      <c r="D6" s="87"/>
      <c r="E6" s="87"/>
      <c r="F6" s="87"/>
      <c r="G6" s="87"/>
      <c r="H6" s="87"/>
    </row>
    <row r="7" spans="3:8" ht="15">
      <c r="C7" s="87" t="s">
        <v>272</v>
      </c>
      <c r="D7" s="94">
        <v>1</v>
      </c>
      <c r="E7" s="94">
        <v>1</v>
      </c>
      <c r="F7" s="94">
        <v>1</v>
      </c>
      <c r="G7" s="94">
        <v>1</v>
      </c>
      <c r="H7" s="94">
        <v>1</v>
      </c>
    </row>
    <row r="8" spans="3:8" ht="15">
      <c r="C8" s="87"/>
      <c r="D8" s="87"/>
      <c r="E8" s="87"/>
      <c r="F8" s="87"/>
      <c r="G8" s="87"/>
      <c r="H8" s="87"/>
    </row>
    <row r="9" spans="3:8" ht="15">
      <c r="C9" s="87" t="s">
        <v>356</v>
      </c>
      <c r="D9" s="94">
        <f>+Input!$D$27</f>
        <v>1</v>
      </c>
      <c r="E9" s="94">
        <f>+Input!$D$27</f>
        <v>1</v>
      </c>
      <c r="F9" s="94">
        <f>+Input!$D$27</f>
        <v>1</v>
      </c>
      <c r="G9" s="94">
        <f>+Input!$D$27</f>
        <v>1</v>
      </c>
      <c r="H9" s="94">
        <f>+Input!$D$27</f>
        <v>1</v>
      </c>
    </row>
    <row r="10" spans="3:8" ht="15">
      <c r="C10" s="87"/>
      <c r="D10" s="87"/>
      <c r="E10" s="87"/>
      <c r="F10" s="87"/>
      <c r="G10" s="87"/>
      <c r="H10" s="87"/>
    </row>
    <row r="11" spans="3:8" ht="15">
      <c r="C11" s="87" t="s">
        <v>274</v>
      </c>
      <c r="D11" s="88">
        <f>+D5*D7*D9</f>
        <v>-4040.5340750000237</v>
      </c>
      <c r="E11" s="88">
        <f>+E5*E7*E9</f>
        <v>24889.834999999977</v>
      </c>
      <c r="F11" s="88">
        <f>+F5*F7*F9</f>
        <v>54058.81999999998</v>
      </c>
      <c r="G11" s="88">
        <f>+G5*G7*G9</f>
        <v>55424.404217962896</v>
      </c>
      <c r="H11" s="88">
        <f>+H5*H7*H9</f>
        <v>57993.300120285065</v>
      </c>
    </row>
    <row r="13" spans="3:8" ht="15">
      <c r="C13" t="s">
        <v>359</v>
      </c>
      <c r="D13" s="117">
        <f>+T23</f>
        <v>3192.89</v>
      </c>
      <c r="E13" s="117">
        <f>+U23</f>
        <v>5323.082667499995</v>
      </c>
      <c r="F13" s="117">
        <f>+V23</f>
        <v>11660.874519999994</v>
      </c>
      <c r="G13" s="117">
        <f>+W23</f>
        <v>11966.628826401891</v>
      </c>
      <c r="H13" s="117">
        <f>+X23</f>
        <v>12541.804618931827</v>
      </c>
    </row>
    <row r="15" ht="15">
      <c r="H15" s="125"/>
    </row>
    <row r="18" spans="20:24" ht="15">
      <c r="T18" s="1" t="s">
        <v>260</v>
      </c>
      <c r="U18" s="1" t="s">
        <v>261</v>
      </c>
      <c r="V18" s="1" t="s">
        <v>262</v>
      </c>
      <c r="W18" s="1" t="s">
        <v>263</v>
      </c>
      <c r="X18" s="1" t="s">
        <v>264</v>
      </c>
    </row>
    <row r="19" spans="12:24" ht="25.5">
      <c r="L19" s="151" t="s">
        <v>357</v>
      </c>
      <c r="M19" s="152"/>
      <c r="N19" s="152"/>
      <c r="O19" s="153"/>
      <c r="P19" s="113" t="s">
        <v>362</v>
      </c>
      <c r="Q19" s="113" t="s">
        <v>360</v>
      </c>
      <c r="R19" s="113" t="s">
        <v>361</v>
      </c>
      <c r="S19" s="113" t="s">
        <v>363</v>
      </c>
      <c r="T19" s="119" t="s">
        <v>364</v>
      </c>
      <c r="U19" s="119" t="s">
        <v>364</v>
      </c>
      <c r="V19" s="119" t="s">
        <v>364</v>
      </c>
      <c r="W19" s="119" t="s">
        <v>364</v>
      </c>
      <c r="X19" s="119" t="s">
        <v>364</v>
      </c>
    </row>
    <row r="20" spans="12:24" ht="15">
      <c r="L20" s="151" t="s">
        <v>358</v>
      </c>
      <c r="M20" s="152"/>
      <c r="N20" s="152"/>
      <c r="O20" s="153"/>
      <c r="P20" s="116"/>
      <c r="Q20" s="116">
        <v>14931</v>
      </c>
      <c r="R20" s="116">
        <v>3192.89</v>
      </c>
      <c r="S20" s="116"/>
      <c r="T20" s="120">
        <f>+$R$20</f>
        <v>3192.89</v>
      </c>
      <c r="U20" s="120">
        <f>+$R$20</f>
        <v>3192.89</v>
      </c>
      <c r="V20" s="120">
        <f>+$R$20</f>
        <v>3192.89</v>
      </c>
      <c r="W20" s="120">
        <f>+$R$20</f>
        <v>3192.89</v>
      </c>
      <c r="X20" s="120">
        <f>+$R$20</f>
        <v>3192.89</v>
      </c>
    </row>
    <row r="21" spans="12:24" ht="15">
      <c r="L21" s="151" t="s">
        <v>358</v>
      </c>
      <c r="M21" s="152"/>
      <c r="N21" s="152"/>
      <c r="O21" s="153"/>
      <c r="P21" s="116">
        <v>14931.01</v>
      </c>
      <c r="Q21" s="116">
        <v>44204</v>
      </c>
      <c r="R21" s="116"/>
      <c r="S21" s="115">
        <v>0.2139</v>
      </c>
      <c r="T21" s="120">
        <f>+IF(D11&lt;$P$21,0,IF(D11&gt;$Q$21,(($Q$21-$P$21)*$S$21),((D11-$P$21)*$S$21)))</f>
        <v>0</v>
      </c>
      <c r="U21" s="120">
        <f>+IF(E11&lt;$P$21,0,IF(E11&gt;$Q$21,(($Q$21-$P$21)*$S$21),((E11-$P$21)*$S$21)))</f>
        <v>2130.192667499995</v>
      </c>
      <c r="V21" s="120">
        <f>+IF(F11&lt;$P$21,0,IF(F11&gt;$Q$21,(($Q$21-$P$21)*$S$21),((F11-$P$21)*$S$21)))</f>
        <v>6261.492561</v>
      </c>
      <c r="W21" s="120">
        <f>+IF(G11&lt;$P$21,0,IF(G11&gt;$Q$21,(($Q$21-$P$21)*$S$21),((G11-$P$21)*$S$21)))</f>
        <v>6261.492561</v>
      </c>
      <c r="X21" s="120">
        <f>+IF(H11&lt;$P$21,0,IF(H11&gt;$Q$21,(($Q$21-$P$21)*$S$21),((H11-$P$21)*$S$21)))</f>
        <v>6261.492561</v>
      </c>
    </row>
    <row r="22" spans="12:24" ht="15">
      <c r="L22" s="151" t="s">
        <v>358</v>
      </c>
      <c r="M22" s="152"/>
      <c r="N22" s="152"/>
      <c r="O22" s="153"/>
      <c r="P22" s="116">
        <v>44204.01</v>
      </c>
      <c r="Q22" s="114"/>
      <c r="R22" s="115"/>
      <c r="S22" s="115">
        <v>0.2239</v>
      </c>
      <c r="T22" s="120">
        <f>+IF(D11&lt;$P$22,0,(D11-$P$22)*$S$22)</f>
        <v>0</v>
      </c>
      <c r="U22" s="120">
        <f>+IF(E11&lt;$P$22,0,(E11-$P$22)*$S$22)</f>
        <v>0</v>
      </c>
      <c r="V22" s="120">
        <f>+IF(F11&lt;$P$22,0,(F11-$P$22)*$S$22)</f>
        <v>2206.4919589999945</v>
      </c>
      <c r="W22" s="120">
        <f>+IF(G11&lt;$P$22,0,(G11-$P$22)*$S$22)</f>
        <v>2512.246265401892</v>
      </c>
      <c r="X22" s="120">
        <f>+IF(H11&lt;$P$22,0,(H11-$P$22)*$S$22)</f>
        <v>3087.4220579318253</v>
      </c>
    </row>
    <row r="23" spans="4:24" ht="15">
      <c r="D23" s="112"/>
      <c r="S23" s="6" t="s">
        <v>15</v>
      </c>
      <c r="T23" s="118">
        <f>SUM(T20:T22)</f>
        <v>3192.89</v>
      </c>
      <c r="U23" s="118">
        <f>SUM(U20:U22)</f>
        <v>5323.082667499995</v>
      </c>
      <c r="V23" s="118">
        <f>SUM(V20:V22)</f>
        <v>11660.874519999994</v>
      </c>
      <c r="W23" s="118">
        <f>SUM(W20:W22)</f>
        <v>11966.628826401891</v>
      </c>
      <c r="X23" s="118">
        <f>SUM(X20:X22)</f>
        <v>12541.804618931827</v>
      </c>
    </row>
  </sheetData>
  <sheetProtection/>
  <mergeCells count="4">
    <mergeCell ref="L21:O21"/>
    <mergeCell ref="L19:O19"/>
    <mergeCell ref="L22:O22"/>
    <mergeCell ref="L20:O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2:H24"/>
  <sheetViews>
    <sheetView showGridLines="0" zoomScalePageLayoutView="0" workbookViewId="0" topLeftCell="A1">
      <selection activeCell="H4" sqref="H4"/>
    </sheetView>
  </sheetViews>
  <sheetFormatPr defaultColWidth="9.140625" defaultRowHeight="15"/>
  <cols>
    <col min="2" max="2" width="21.57421875" style="0" bestFit="1" customWidth="1"/>
    <col min="3" max="3" width="11.57421875" style="0" bestFit="1" customWidth="1"/>
    <col min="4" max="7" width="13.28125" style="0" bestFit="1" customWidth="1"/>
  </cols>
  <sheetData>
    <row r="2" spans="3:7" ht="15">
      <c r="C2" s="7" t="str">
        <f>+SP!C3</f>
        <v>Anno 1</v>
      </c>
      <c r="D2" s="7" t="str">
        <f>+SP!D3</f>
        <v>Anno 2</v>
      </c>
      <c r="E2" s="7" t="str">
        <f>+SP!E3</f>
        <v>Anno 3</v>
      </c>
      <c r="F2" s="7" t="str">
        <f>+SP!F3</f>
        <v>Anno 4</v>
      </c>
      <c r="G2" s="7" t="str">
        <f>+SP!G3</f>
        <v>Anno 5</v>
      </c>
    </row>
    <row r="3" spans="2:7" ht="15">
      <c r="B3" t="s">
        <v>36</v>
      </c>
      <c r="C3" s="25">
        <f>+MCL!D69+finanziamento!E33+Input!D29+'Mutuo invitalia'!E33+Input!D147</f>
        <v>318550</v>
      </c>
      <c r="D3" s="25">
        <f>+MCL!E69+finanziamento!F33+Input!E29+C3+'Mutuo invitalia'!F33+Input!E147</f>
        <v>666300</v>
      </c>
      <c r="E3" s="25">
        <f>+MCL!F69+finanziamento!G33+Input!F29+D3+'Mutuo invitalia'!G33+Input!F147</f>
        <v>1091010</v>
      </c>
      <c r="F3" s="25">
        <f>+MCL!G69+finanziamento!H33+Input!G29+E3+'Mutuo invitalia'!H33+Input!G147</f>
        <v>1519350</v>
      </c>
      <c r="G3" s="25">
        <f>+MCL!H69+finanziamento!I33+Input!H29+F3+'Mutuo invitalia'!I33+Input!H147</f>
        <v>1954950</v>
      </c>
    </row>
    <row r="4" spans="2:8" ht="15">
      <c r="B4" t="s">
        <v>61</v>
      </c>
      <c r="C4" s="25">
        <f>+MCL!M69+Inve!M23+Personale!D23+finanziamento!E34+'Altri costi'!D51+Iva!C27+Irap!E23+Input!D30+MCL!D89+Input!D130+'Mutuo invitalia'!E34</f>
        <v>339757.6815</v>
      </c>
      <c r="D4" s="25">
        <f>+MCL!N69+Inve!N23+Personale!E23+finanziamento!F34+'Altri costi'!E51+Iva!D27+Irap!F23+Input!E30+C4+MCL!E89+Input!E130+'Mutuo invitalia'!F34</f>
        <v>627222.67760465</v>
      </c>
      <c r="E4" s="25">
        <f>+MCL!O69+Inve!O23+Personale!F23+finanziamento!G34+'Altri costi'!F51+Iva!E27+Irap!G23+Input!F30+D4+MCL!F89+Input!F130+'Mutuo invitalia'!G34</f>
        <v>989912.5459552958</v>
      </c>
      <c r="F4" s="25">
        <f>+MCL!P69+Inve!P23+Personale!G23+finanziamento!H34+'Altri costi'!G51+Iva!F27+Irap!H23+Input!G30+E4+MCL!G89+Input!G130+'Mutuo invitalia'!H34</f>
        <v>1357303.1445834415</v>
      </c>
      <c r="G4" s="25">
        <f>+MCL!Q69+Inve!Q23+Personale!H23+finanziamento!I34+'Altri costi'!H51+Iva!G27+Irap!I23+Input!H30+F4+MCL!H89+Input!H130+'Mutuo invitalia'!I34</f>
        <v>1727674.125996088</v>
      </c>
      <c r="H4" s="25"/>
    </row>
    <row r="6" spans="2:7" ht="15">
      <c r="B6" t="s">
        <v>331</v>
      </c>
      <c r="C6" s="85">
        <f>+IF((C3-C4)&gt;0,(C3-C4),0)</f>
        <v>0</v>
      </c>
      <c r="D6" s="85">
        <f>+IF((D3-D4)&gt;0,(D3-D4),0)</f>
        <v>39077.32239534997</v>
      </c>
      <c r="E6" s="85">
        <f>+IF((E3-E4)&gt;0,(E3-E4),0)</f>
        <v>101097.45404470421</v>
      </c>
      <c r="F6" s="85">
        <f>+IF((F3-F4)&gt;0,(F3-F4),0)</f>
        <v>162046.85541655845</v>
      </c>
      <c r="G6" s="85">
        <f>+IF((G3-G4)&gt;0,(G3-G4),0)</f>
        <v>227275.8740039121</v>
      </c>
    </row>
    <row r="7" spans="2:7" ht="15">
      <c r="B7" t="s">
        <v>332</v>
      </c>
      <c r="C7" s="85">
        <f>+IF((C3-C4)&lt;0,-(C3-C4),0)</f>
        <v>21207.681500000006</v>
      </c>
      <c r="D7" s="85">
        <f>+IF((D3-D4)&lt;0,-(D3-D4),0)</f>
        <v>0</v>
      </c>
      <c r="E7" s="85">
        <f>+IF((E3-E4)&lt;0,-(E3-E4),0)</f>
        <v>0</v>
      </c>
      <c r="F7" s="85">
        <f>+IF((F3-F4)&lt;0,-(F3-F4),0)</f>
        <v>0</v>
      </c>
      <c r="G7" s="85">
        <f>+IF((G3-G4)&lt;0,-(G3-G4),0)</f>
        <v>0</v>
      </c>
    </row>
    <row r="9" spans="2:7" ht="15">
      <c r="B9" t="s">
        <v>333</v>
      </c>
      <c r="C9" s="85">
        <f>+C7*Input!$D$123</f>
        <v>1060.3840750000004</v>
      </c>
      <c r="D9" s="85">
        <f>+D7*Input!$D$123</f>
        <v>0</v>
      </c>
      <c r="E9" s="85">
        <f>+E7*Input!$D$123</f>
        <v>0</v>
      </c>
      <c r="F9" s="85">
        <f>+F7*Input!$D$123</f>
        <v>0</v>
      </c>
      <c r="G9" s="85">
        <f>+G7*Input!$D$123</f>
        <v>0</v>
      </c>
    </row>
    <row r="10" spans="2:7" ht="15">
      <c r="B10" t="s">
        <v>340</v>
      </c>
      <c r="C10" s="85">
        <f>+C6*Input!D125</f>
        <v>0</v>
      </c>
      <c r="D10" s="85">
        <f>+D6*Input!E125</f>
        <v>0</v>
      </c>
      <c r="E10" s="85">
        <f>+E6*Input!F125</f>
        <v>0</v>
      </c>
      <c r="F10" s="85">
        <f>+F6*Input!G125</f>
        <v>0</v>
      </c>
      <c r="G10" s="85">
        <f>+G6*Input!H125</f>
        <v>0</v>
      </c>
    </row>
    <row r="12" ht="15">
      <c r="B12" t="s">
        <v>343</v>
      </c>
    </row>
    <row r="13" spans="2:7" ht="15">
      <c r="B13" t="s">
        <v>333</v>
      </c>
      <c r="C13" s="85">
        <f>+C7*Input!$D$123</f>
        <v>1060.3840750000004</v>
      </c>
      <c r="D13" s="85">
        <f>+D7*Input!$D$123+C13</f>
        <v>1060.3840750000004</v>
      </c>
      <c r="E13" s="85">
        <f>+E7*Input!$D$123+D13</f>
        <v>1060.3840750000004</v>
      </c>
      <c r="F13" s="85">
        <f>+F7*Input!$D$123+E13</f>
        <v>1060.3840750000004</v>
      </c>
      <c r="G13" s="85">
        <f>+G7*Input!$D$123+F13</f>
        <v>1060.3840750000004</v>
      </c>
    </row>
    <row r="14" spans="2:7" ht="15">
      <c r="B14" t="s">
        <v>340</v>
      </c>
      <c r="C14" s="85">
        <f>+C6*Input!D125</f>
        <v>0</v>
      </c>
      <c r="D14" s="85">
        <f>+D6*Input!E125+C14</f>
        <v>0</v>
      </c>
      <c r="E14" s="85">
        <f>+E6*Input!F125+D14</f>
        <v>0</v>
      </c>
      <c r="F14" s="85">
        <f>+F6*Input!G125+E14</f>
        <v>0</v>
      </c>
      <c r="G14" s="85">
        <f>+G6*Input!H125+F14</f>
        <v>0</v>
      </c>
    </row>
    <row r="16" spans="2:7" ht="15">
      <c r="B16" t="s">
        <v>335</v>
      </c>
      <c r="C16" s="85">
        <f>+C13</f>
        <v>1060.3840750000004</v>
      </c>
      <c r="D16" s="85">
        <f aca="true" t="shared" si="0" ref="D16:G17">+D13</f>
        <v>1060.3840750000004</v>
      </c>
      <c r="E16" s="85">
        <f t="shared" si="0"/>
        <v>1060.3840750000004</v>
      </c>
      <c r="F16" s="85">
        <f t="shared" si="0"/>
        <v>1060.3840750000004</v>
      </c>
      <c r="G16" s="85">
        <f t="shared" si="0"/>
        <v>1060.3840750000004</v>
      </c>
    </row>
    <row r="17" spans="2:7" ht="15">
      <c r="B17" t="s">
        <v>341</v>
      </c>
      <c r="C17" s="85">
        <f>+C14</f>
        <v>0</v>
      </c>
      <c r="D17" s="85">
        <f t="shared" si="0"/>
        <v>0</v>
      </c>
      <c r="E17" s="85">
        <f t="shared" si="0"/>
        <v>0</v>
      </c>
      <c r="F17" s="85">
        <f t="shared" si="0"/>
        <v>0</v>
      </c>
      <c r="G17" s="85">
        <f t="shared" si="0"/>
        <v>0</v>
      </c>
    </row>
    <row r="18" spans="3:7" ht="15">
      <c r="C18" s="85"/>
      <c r="D18" s="85"/>
      <c r="E18" s="85"/>
      <c r="F18" s="85"/>
      <c r="G18" s="85"/>
    </row>
    <row r="19" spans="2:7" ht="15">
      <c r="B19" t="s">
        <v>342</v>
      </c>
      <c r="C19" s="85"/>
      <c r="D19" s="85"/>
      <c r="E19" s="85"/>
      <c r="F19" s="85"/>
      <c r="G19" s="85"/>
    </row>
    <row r="20" spans="2:7" ht="15">
      <c r="B20" t="s">
        <v>36</v>
      </c>
      <c r="C20" s="85">
        <f>+C3+C17</f>
        <v>318550</v>
      </c>
      <c r="D20" s="85">
        <f>+D3+D17</f>
        <v>666300</v>
      </c>
      <c r="E20" s="85">
        <f>+E3+E17</f>
        <v>1091010</v>
      </c>
      <c r="F20" s="85">
        <f>+F3+F17</f>
        <v>1519350</v>
      </c>
      <c r="G20" s="85">
        <f>+G3+G17</f>
        <v>1954950</v>
      </c>
    </row>
    <row r="21" spans="2:7" ht="15">
      <c r="B21" t="s">
        <v>61</v>
      </c>
      <c r="C21" s="85">
        <f>+C4+C16</f>
        <v>340818.065575</v>
      </c>
      <c r="D21" s="85">
        <f>+D4+D16</f>
        <v>628283.06167965</v>
      </c>
      <c r="E21" s="85">
        <f>+E4+E16</f>
        <v>990972.9300302957</v>
      </c>
      <c r="F21" s="85">
        <f>+F4+F16</f>
        <v>1358363.5286584415</v>
      </c>
      <c r="G21" s="85">
        <f>+G4+G16</f>
        <v>1728734.5100710879</v>
      </c>
    </row>
    <row r="23" spans="2:7" ht="15">
      <c r="B23" t="s">
        <v>331</v>
      </c>
      <c r="C23" s="85">
        <f>+IF((C20-C21)&gt;0,(C20-C21),0)</f>
        <v>0</v>
      </c>
      <c r="D23" s="85">
        <f>+IF((D20-D21)&gt;0,(D20-D21),0)</f>
        <v>38016.93832035002</v>
      </c>
      <c r="E23" s="85">
        <f>+IF((E20-E21)&gt;0,(E20-E21),0)</f>
        <v>100037.06996970426</v>
      </c>
      <c r="F23" s="85">
        <f>+IF((F20-F21)&gt;0,(F20-F21),0)</f>
        <v>160986.4713415585</v>
      </c>
      <c r="G23" s="85">
        <f>+IF((G20-G21)&gt;0,(G20-G21),0)</f>
        <v>226215.48992891214</v>
      </c>
    </row>
    <row r="24" spans="2:7" ht="15">
      <c r="B24" t="s">
        <v>332</v>
      </c>
      <c r="C24" s="85">
        <f>+IF((C20-C21)&lt;0,-(C20-C21),0)</f>
        <v>22268.065575000015</v>
      </c>
      <c r="D24" s="85">
        <f>+IF((D20-D21)&lt;0,-(D20-D21),0)</f>
        <v>0</v>
      </c>
      <c r="E24" s="85">
        <f>+IF((E20-E21)&lt;0,-(E20-E21),0)</f>
        <v>0</v>
      </c>
      <c r="F24" s="85">
        <f>+IF((F20-F21)&lt;0,-(F20-F21),0)</f>
        <v>0</v>
      </c>
      <c r="G24" s="85">
        <f>+IF((G20-G21)&lt;0,-(G20-G21),0)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zoomScalePageLayoutView="0" workbookViewId="0" topLeftCell="A1">
      <selection activeCell="B32" sqref="B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L49"/>
  <sheetViews>
    <sheetView showGridLines="0" zoomScalePageLayoutView="0" workbookViewId="0" topLeftCell="A1">
      <pane xSplit="2" ySplit="3" topLeftCell="C2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7" sqref="D27"/>
    </sheetView>
  </sheetViews>
  <sheetFormatPr defaultColWidth="9.140625" defaultRowHeight="15"/>
  <cols>
    <col min="2" max="2" width="26.57421875" style="0" bestFit="1" customWidth="1"/>
    <col min="3" max="7" width="10.57421875" style="0" bestFit="1" customWidth="1"/>
  </cols>
  <sheetData>
    <row r="1" ht="15">
      <c r="A1" s="105" t="s">
        <v>346</v>
      </c>
    </row>
    <row r="3" spans="3:7" ht="15">
      <c r="C3" s="7" t="str">
        <f>+Input!I34</f>
        <v>Anno 1</v>
      </c>
      <c r="D3" s="7" t="str">
        <f>+Input!J34</f>
        <v>Anno 2</v>
      </c>
      <c r="E3" s="7" t="str">
        <f>+Input!K34</f>
        <v>Anno 3</v>
      </c>
      <c r="F3" s="7" t="str">
        <f>+Input!L34</f>
        <v>Anno 4</v>
      </c>
      <c r="G3" s="7" t="str">
        <f>+Input!M34</f>
        <v>Anno 5</v>
      </c>
    </row>
    <row r="4" spans="2:12" ht="15">
      <c r="B4" s="6" t="s">
        <v>32</v>
      </c>
      <c r="C4" s="35">
        <f>+Banca!C23</f>
        <v>0</v>
      </c>
      <c r="D4" s="35">
        <f>+Banca!D23</f>
        <v>38016.93832035002</v>
      </c>
      <c r="E4" s="35">
        <f>+Banca!E23</f>
        <v>100037.06996970426</v>
      </c>
      <c r="F4" s="35">
        <f>+Banca!F23</f>
        <v>160986.4713415585</v>
      </c>
      <c r="G4" s="35">
        <f>+Banca!G23</f>
        <v>226215.48992891214</v>
      </c>
      <c r="H4" s="25"/>
      <c r="I4" s="25"/>
      <c r="L4" s="25"/>
    </row>
    <row r="5" spans="2:12" ht="15">
      <c r="B5" s="6"/>
      <c r="C5" s="26"/>
      <c r="D5" s="26"/>
      <c r="E5" s="26"/>
      <c r="F5" s="26"/>
      <c r="G5" s="26"/>
      <c r="H5" s="25"/>
      <c r="I5" s="25"/>
      <c r="L5" s="25"/>
    </row>
    <row r="6" spans="2:12" ht="15">
      <c r="B6" s="6" t="s">
        <v>326</v>
      </c>
      <c r="C6" s="35">
        <f>SUM(C7:C9)</f>
        <v>8295.031499999997</v>
      </c>
      <c r="D6" s="35">
        <f>SUM(D7:D9)</f>
        <v>0</v>
      </c>
      <c r="E6" s="35">
        <f>SUM(E7:E9)</f>
        <v>0</v>
      </c>
      <c r="F6" s="35">
        <f>SUM(F7:F9)</f>
        <v>0</v>
      </c>
      <c r="G6" s="35">
        <f>SUM(G7:G9)</f>
        <v>0</v>
      </c>
      <c r="H6" s="25"/>
      <c r="I6" s="25"/>
      <c r="L6" s="25"/>
    </row>
    <row r="7" spans="2:12" ht="15">
      <c r="B7" t="s">
        <v>17</v>
      </c>
      <c r="C7" s="26">
        <f>+MCL!D41</f>
        <v>0</v>
      </c>
      <c r="D7" s="26">
        <f>+MCL!E41</f>
        <v>0</v>
      </c>
      <c r="E7" s="26">
        <f>+MCL!F41</f>
        <v>0</v>
      </c>
      <c r="F7" s="26">
        <f>+MCL!G41</f>
        <v>0</v>
      </c>
      <c r="G7" s="26">
        <f>+MCL!H41</f>
        <v>0</v>
      </c>
      <c r="I7" s="25"/>
      <c r="L7" s="25"/>
    </row>
    <row r="8" spans="2:8" ht="15">
      <c r="B8" t="s">
        <v>23</v>
      </c>
      <c r="C8" s="26">
        <f>+Iva!C25</f>
        <v>8295.031499999997</v>
      </c>
      <c r="D8" s="26">
        <f>+Iva!D25</f>
        <v>0</v>
      </c>
      <c r="E8" s="26">
        <f>+Iva!E25</f>
        <v>0</v>
      </c>
      <c r="F8" s="26">
        <f>+Iva!F25</f>
        <v>0</v>
      </c>
      <c r="G8" s="26">
        <f>+Iva!G25</f>
        <v>0</v>
      </c>
      <c r="H8" s="25"/>
    </row>
    <row r="9" spans="2:8" ht="15">
      <c r="B9" t="s">
        <v>297</v>
      </c>
      <c r="C9" s="26">
        <f>+Irap!E21</f>
        <v>0</v>
      </c>
      <c r="D9" s="26">
        <f>+Irap!F21</f>
        <v>0</v>
      </c>
      <c r="E9" s="26">
        <f>+Irap!G21</f>
        <v>0</v>
      </c>
      <c r="F9" s="26">
        <f>+Irap!H21</f>
        <v>0</v>
      </c>
      <c r="G9" s="26">
        <f>+Irap!I21</f>
        <v>0</v>
      </c>
      <c r="H9" s="25"/>
    </row>
    <row r="10" spans="3:8" ht="15">
      <c r="C10" s="26"/>
      <c r="D10" s="26"/>
      <c r="E10" s="26"/>
      <c r="F10" s="26"/>
      <c r="G10" s="26"/>
      <c r="H10" s="25"/>
    </row>
    <row r="11" spans="2:8" ht="15">
      <c r="B11" s="6" t="s">
        <v>38</v>
      </c>
      <c r="C11" s="35">
        <f>+MCL!M27</f>
        <v>28500.000000000004</v>
      </c>
      <c r="D11" s="35">
        <f>+MCL!N27</f>
        <v>39187.50000000001</v>
      </c>
      <c r="E11" s="35">
        <f>+MCL!O27</f>
        <v>50017.50000000001</v>
      </c>
      <c r="F11" s="35">
        <f>+MCL!P27</f>
        <v>50445.00000000001</v>
      </c>
      <c r="G11" s="35">
        <f>+MCL!Q27</f>
        <v>51300.00000000001</v>
      </c>
      <c r="H11" s="25"/>
    </row>
    <row r="13" spans="2:7" ht="15">
      <c r="B13" s="7" t="s">
        <v>39</v>
      </c>
      <c r="C13" s="35">
        <f>+C14+C15+C16-C17-C18-C19</f>
        <v>69120</v>
      </c>
      <c r="D13" s="35">
        <f>+D14+D15+D16-D17-D18-D19</f>
        <v>51840</v>
      </c>
      <c r="E13" s="35">
        <f>+E14+E15+E16-E17-E18-E19</f>
        <v>34560</v>
      </c>
      <c r="F13" s="35">
        <f>+F14+F15+F16-F17-F18-F19</f>
        <v>17280</v>
      </c>
      <c r="G13" s="35">
        <f>+G14+G15+G16-G17-G18-G19</f>
        <v>0</v>
      </c>
    </row>
    <row r="14" spans="2:7" ht="15">
      <c r="B14" t="s">
        <v>53</v>
      </c>
      <c r="C14" s="26">
        <f>+Input!E62</f>
        <v>86400</v>
      </c>
      <c r="D14" s="26">
        <f>+Input!F62+C14</f>
        <v>86400</v>
      </c>
      <c r="E14" s="26">
        <f>+Input!G62+D14</f>
        <v>86400</v>
      </c>
      <c r="F14" s="26">
        <f>+Input!H62+E14</f>
        <v>86400</v>
      </c>
      <c r="G14" s="26">
        <f>+Input!I62+F14</f>
        <v>86400</v>
      </c>
    </row>
    <row r="15" spans="2:7" ht="15">
      <c r="B15" t="s">
        <v>54</v>
      </c>
      <c r="C15" s="26">
        <f>+Input!E63</f>
        <v>0</v>
      </c>
      <c r="D15" s="26">
        <f>+Input!F63+C15</f>
        <v>0</v>
      </c>
      <c r="E15" s="26">
        <f>+Input!G63+D15</f>
        <v>0</v>
      </c>
      <c r="F15" s="26">
        <f>+Input!H63+E15</f>
        <v>0</v>
      </c>
      <c r="G15" s="26">
        <f>+Input!I63+F15</f>
        <v>0</v>
      </c>
    </row>
    <row r="16" spans="2:7" ht="15">
      <c r="B16" t="s">
        <v>417</v>
      </c>
      <c r="C16" s="26">
        <f>+Inve!D71</f>
        <v>0</v>
      </c>
      <c r="D16" s="26">
        <f>+Inve!E71</f>
        <v>0</v>
      </c>
      <c r="E16" s="26">
        <f>+Inve!F71</f>
        <v>0</v>
      </c>
      <c r="F16" s="26">
        <f>+Inve!G71</f>
        <v>0</v>
      </c>
      <c r="G16" s="26">
        <f>+Inve!H71</f>
        <v>0</v>
      </c>
    </row>
    <row r="17" spans="2:7" ht="15">
      <c r="B17" t="s">
        <v>55</v>
      </c>
      <c r="C17" s="26">
        <f>+Inve!D62</f>
        <v>17280</v>
      </c>
      <c r="D17" s="26">
        <f>+Inve!E62</f>
        <v>34560</v>
      </c>
      <c r="E17" s="26">
        <f>+Inve!F62</f>
        <v>51840</v>
      </c>
      <c r="F17" s="26">
        <f>+Inve!G62</f>
        <v>69120</v>
      </c>
      <c r="G17" s="26">
        <f>+Inve!H62</f>
        <v>86400</v>
      </c>
    </row>
    <row r="18" spans="2:7" ht="15">
      <c r="B18" t="s">
        <v>56</v>
      </c>
      <c r="C18" s="26">
        <f>+Inve!D63</f>
        <v>0</v>
      </c>
      <c r="D18" s="26">
        <f>+Inve!E63</f>
        <v>0</v>
      </c>
      <c r="E18" s="26">
        <f>+Inve!F63</f>
        <v>0</v>
      </c>
      <c r="F18" s="26">
        <f>+Inve!G63</f>
        <v>0</v>
      </c>
      <c r="G18" s="26">
        <f>+Inve!H63</f>
        <v>0</v>
      </c>
    </row>
    <row r="19" spans="2:7" ht="15">
      <c r="B19" t="s">
        <v>418</v>
      </c>
      <c r="C19" s="26">
        <f>+Inve!D75</f>
        <v>0</v>
      </c>
      <c r="D19" s="26">
        <f>+Inve!E75</f>
        <v>0</v>
      </c>
      <c r="E19" s="26">
        <f>+Inve!F75</f>
        <v>0</v>
      </c>
      <c r="F19" s="26">
        <f>+Inve!G75</f>
        <v>0</v>
      </c>
      <c r="G19" s="26">
        <f>+Inve!H75</f>
        <v>0</v>
      </c>
    </row>
    <row r="20" spans="3:7" ht="15">
      <c r="C20" s="26"/>
      <c r="D20" s="26"/>
      <c r="E20" s="26"/>
      <c r="F20" s="26"/>
      <c r="G20" s="26"/>
    </row>
    <row r="21" spans="2:7" ht="15">
      <c r="B21" t="s">
        <v>394</v>
      </c>
      <c r="C21" s="26">
        <f>+Input!D130</f>
        <v>20000</v>
      </c>
      <c r="D21" s="26">
        <f>+Input!E130+C21</f>
        <v>20000</v>
      </c>
      <c r="E21" s="26">
        <f>+Input!F130+D21</f>
        <v>20000</v>
      </c>
      <c r="F21" s="26">
        <f>+Input!G130+E21</f>
        <v>20000</v>
      </c>
      <c r="G21" s="26">
        <f>+Input!H130+F21</f>
        <v>20000</v>
      </c>
    </row>
    <row r="23" spans="2:12" ht="15">
      <c r="B23" s="6" t="s">
        <v>28</v>
      </c>
      <c r="C23" s="35">
        <f>+C13+C11+C6+C4+C21</f>
        <v>125915.0315</v>
      </c>
      <c r="D23" s="35">
        <f>+D13+D11+D6+D4+D21</f>
        <v>149044.43832035002</v>
      </c>
      <c r="E23" s="35">
        <f>+E13+E11+E6+E4+E21</f>
        <v>204614.56996970426</v>
      </c>
      <c r="F23" s="35">
        <f>+F13+F11+F6+F4+F21</f>
        <v>248711.4713415585</v>
      </c>
      <c r="G23" s="35">
        <f>+G13+G11+G6+G4+G21</f>
        <v>297515.48992891214</v>
      </c>
      <c r="H23" s="35"/>
      <c r="L23" s="25"/>
    </row>
    <row r="25" ht="15">
      <c r="D25" s="25"/>
    </row>
    <row r="26" spans="4:12" ht="15">
      <c r="D26" s="25"/>
      <c r="L26" s="25"/>
    </row>
    <row r="27" spans="2:8" ht="15">
      <c r="B27" s="6" t="s">
        <v>33</v>
      </c>
      <c r="C27" s="35">
        <f>+Banca!C24</f>
        <v>22268.065575000015</v>
      </c>
      <c r="D27" s="35">
        <f>+Banca!D24</f>
        <v>0</v>
      </c>
      <c r="E27" s="35">
        <f>+Banca!E24</f>
        <v>0</v>
      </c>
      <c r="F27" s="35">
        <f>+Banca!F24</f>
        <v>0</v>
      </c>
      <c r="G27" s="35">
        <f>+Banca!G24</f>
        <v>0</v>
      </c>
      <c r="H27" s="25"/>
    </row>
    <row r="28" spans="2:8" ht="15">
      <c r="B28" s="6"/>
      <c r="C28" s="26"/>
      <c r="D28" s="26"/>
      <c r="E28" s="26"/>
      <c r="F28" s="26"/>
      <c r="G28" s="26"/>
      <c r="H28" s="25"/>
    </row>
    <row r="29" spans="2:8" ht="15">
      <c r="B29" s="6" t="s">
        <v>327</v>
      </c>
      <c r="C29" s="35">
        <f>SUM(C30:C33)</f>
        <v>30241.319171075003</v>
      </c>
      <c r="D29" s="35">
        <f>SUM(D30:D33)</f>
        <v>35944.13013142501</v>
      </c>
      <c r="E29" s="35">
        <f>SUM(E30:E33)</f>
        <v>47067.41665892501</v>
      </c>
      <c r="F29" s="35">
        <f>SUM(F30:F33)</f>
        <v>45570.73069342556</v>
      </c>
      <c r="G29" s="35">
        <f>SUM(G30:G33)</f>
        <v>46481.34888361613</v>
      </c>
      <c r="H29" s="25"/>
    </row>
    <row r="30" spans="2:12" ht="15">
      <c r="B30" t="s">
        <v>22</v>
      </c>
      <c r="C30" s="26">
        <f>+MCL!D55</f>
        <v>28737.500000000004</v>
      </c>
      <c r="D30" s="26">
        <f>+MCL!E55</f>
        <v>33766.56250000001</v>
      </c>
      <c r="E30" s="26">
        <f>+MCL!F55</f>
        <v>42531.50000000001</v>
      </c>
      <c r="F30" s="26">
        <f>+MCL!G55</f>
        <v>40778.512500000004</v>
      </c>
      <c r="G30" s="26">
        <f>+MCL!H55</f>
        <v>41554.42500000001</v>
      </c>
      <c r="L30" s="25"/>
    </row>
    <row r="31" spans="2:12" ht="15">
      <c r="B31" t="s">
        <v>62</v>
      </c>
      <c r="C31" s="26">
        <f>+Inve!M15</f>
        <v>0</v>
      </c>
      <c r="D31" s="26">
        <f>+Inve!N15+C31</f>
        <v>0</v>
      </c>
      <c r="E31" s="26">
        <f>+Inve!O15+D31</f>
        <v>0</v>
      </c>
      <c r="F31" s="26">
        <f>+Inve!P15+E31</f>
        <v>0</v>
      </c>
      <c r="G31" s="26">
        <f>+Inve!Q15+F31</f>
        <v>0</v>
      </c>
      <c r="L31" s="25"/>
    </row>
    <row r="32" spans="2:12" ht="15">
      <c r="B32" t="s">
        <v>298</v>
      </c>
      <c r="C32" s="26">
        <f>+Irap!E20</f>
        <v>1503.819171074999</v>
      </c>
      <c r="D32" s="26">
        <f>+Irap!F20</f>
        <v>1211.3543939249998</v>
      </c>
      <c r="E32" s="26">
        <f>+Irap!G20</f>
        <v>2348.944808925</v>
      </c>
      <c r="F32" s="26">
        <f>+Irap!H20</f>
        <v>2402.2025934255544</v>
      </c>
      <c r="G32" s="26">
        <f>+Irap!I20</f>
        <v>2502.3895336161186</v>
      </c>
      <c r="L32" s="25"/>
    </row>
    <row r="33" spans="2:8" ht="15">
      <c r="B33" t="s">
        <v>19</v>
      </c>
      <c r="C33" s="26">
        <f>+Iva!C26</f>
        <v>0</v>
      </c>
      <c r="D33" s="26">
        <f>+Iva!D26</f>
        <v>966.2132375000001</v>
      </c>
      <c r="E33" s="26">
        <f>+Iva!E26</f>
        <v>2186.9718500000017</v>
      </c>
      <c r="F33" s="26">
        <f>+Iva!F26</f>
        <v>2390.0156000000025</v>
      </c>
      <c r="G33" s="26">
        <f>+Iva!G26</f>
        <v>2424.5343500000017</v>
      </c>
      <c r="H33" s="25"/>
    </row>
    <row r="34" spans="3:8" ht="15">
      <c r="C34" s="26"/>
      <c r="D34" s="26"/>
      <c r="E34" s="26"/>
      <c r="F34" s="26"/>
      <c r="G34" s="26"/>
      <c r="H34" s="25"/>
    </row>
    <row r="35" spans="2:8" ht="15">
      <c r="B35" s="6" t="s">
        <v>330</v>
      </c>
      <c r="C35" s="35">
        <f>SUM(C36:C40)</f>
        <v>78950</v>
      </c>
      <c r="D35" s="35">
        <f>SUM(D36:D40)</f>
        <v>96470</v>
      </c>
      <c r="E35" s="35">
        <f>SUM(E36:E40)</f>
        <v>90710.7891018542</v>
      </c>
      <c r="F35" s="35">
        <f>SUM(F36:F40)</f>
        <v>84785.9939857455</v>
      </c>
      <c r="G35" s="35">
        <f>SUM(G36:G40)</f>
        <v>78692.30296731462</v>
      </c>
      <c r="H35" s="25"/>
    </row>
    <row r="36" spans="2:8" ht="15">
      <c r="B36" t="s">
        <v>328</v>
      </c>
      <c r="C36" s="26">
        <f>+Personale!D22</f>
        <v>2400</v>
      </c>
      <c r="D36" s="26">
        <f>+Personale!E22+C36</f>
        <v>4920</v>
      </c>
      <c r="E36" s="26">
        <f>+Personale!F22+D36</f>
        <v>7440</v>
      </c>
      <c r="F36" s="26">
        <f>+Personale!G22+E36</f>
        <v>9960</v>
      </c>
      <c r="G36" s="26">
        <f>+Personale!H22+F36</f>
        <v>12480</v>
      </c>
      <c r="H36" s="25"/>
    </row>
    <row r="37" spans="2:8" ht="15">
      <c r="B37" t="s">
        <v>401</v>
      </c>
      <c r="C37" s="26">
        <f>+'Mutuo invitalia'!E22</f>
        <v>61550</v>
      </c>
      <c r="D37" s="26">
        <f>+'Mutuo invitalia'!F22</f>
        <v>61550</v>
      </c>
      <c r="E37" s="26">
        <f>+'Mutuo invitalia'!G22</f>
        <v>53270.78910185421</v>
      </c>
      <c r="F37" s="26">
        <f>+'Mutuo invitalia'!H22</f>
        <v>44825.9939857455</v>
      </c>
      <c r="G37" s="26">
        <f>+'Mutuo invitalia'!I22</f>
        <v>36212.30296731462</v>
      </c>
      <c r="H37" s="25"/>
    </row>
    <row r="38" spans="2:8" ht="15">
      <c r="B38" t="s">
        <v>223</v>
      </c>
      <c r="C38" s="102">
        <f>+finanziamento!E22</f>
        <v>0</v>
      </c>
      <c r="D38" s="102">
        <f>+finanziamento!F22</f>
        <v>0</v>
      </c>
      <c r="E38" s="102">
        <f>+finanziamento!G22</f>
        <v>0</v>
      </c>
      <c r="F38" s="102">
        <f>+finanziamento!H22</f>
        <v>0</v>
      </c>
      <c r="G38" s="102">
        <f>+finanziamento!I22</f>
        <v>0</v>
      </c>
      <c r="H38" s="25"/>
    </row>
    <row r="39" spans="2:8" ht="15">
      <c r="B39" t="s">
        <v>406</v>
      </c>
      <c r="C39" s="102">
        <f>+Input!D147</f>
        <v>15000</v>
      </c>
      <c r="D39" s="102">
        <f>+C39+Input!E147</f>
        <v>30000</v>
      </c>
      <c r="E39" s="102">
        <f>+D39+Input!F147</f>
        <v>30000</v>
      </c>
      <c r="F39" s="102">
        <f>+E39+Input!G147</f>
        <v>30000</v>
      </c>
      <c r="G39" s="102">
        <f>+F39+Input!H147</f>
        <v>30000</v>
      </c>
      <c r="H39" s="25"/>
    </row>
    <row r="40" spans="2:8" ht="15">
      <c r="B40" t="s">
        <v>329</v>
      </c>
      <c r="C40" s="102">
        <f>+Input!D29</f>
        <v>0</v>
      </c>
      <c r="D40" s="102">
        <f>+C40+Input!E29</f>
        <v>0</v>
      </c>
      <c r="E40" s="102">
        <f>+D40+Input!F29</f>
        <v>0</v>
      </c>
      <c r="F40" s="102">
        <f>+E40+Input!G29</f>
        <v>0</v>
      </c>
      <c r="G40" s="102">
        <f>+F40+Input!H29</f>
        <v>0</v>
      </c>
      <c r="H40" s="25"/>
    </row>
    <row r="42" spans="2:7" ht="15">
      <c r="B42" s="6" t="s">
        <v>249</v>
      </c>
      <c r="C42" s="35">
        <f>SUM(C43:C44)</f>
        <v>-5544.353246075023</v>
      </c>
      <c r="D42" s="35">
        <f>SUM(D43:D44)</f>
        <v>16630.30818892496</v>
      </c>
      <c r="E42" s="35">
        <f>SUM(E43:E44)</f>
        <v>66836.36420892493</v>
      </c>
      <c r="F42" s="35">
        <f>SUM(F43:F44)</f>
        <v>118354.74666238728</v>
      </c>
      <c r="G42" s="35">
        <f>SUM(G43:G44)</f>
        <v>172341.83807798123</v>
      </c>
    </row>
    <row r="43" spans="2:8" ht="15">
      <c r="B43" t="s">
        <v>31</v>
      </c>
      <c r="D43" s="26">
        <f>+C43+C44</f>
        <v>-5544.353246075023</v>
      </c>
      <c r="E43" s="26">
        <f>+D43+D44</f>
        <v>16630.30818892496</v>
      </c>
      <c r="F43" s="26">
        <f>+E43+E44</f>
        <v>66836.36420892493</v>
      </c>
      <c r="G43" s="26">
        <f>+F43+F44</f>
        <v>118354.74666238728</v>
      </c>
      <c r="H43" s="25"/>
    </row>
    <row r="44" spans="2:9" ht="15">
      <c r="B44" t="s">
        <v>30</v>
      </c>
      <c r="C44" s="26">
        <f>+'CE'!D55</f>
        <v>-5544.353246075023</v>
      </c>
      <c r="D44" s="26">
        <f>+'CE'!E55-Input!E30</f>
        <v>22174.66143499998</v>
      </c>
      <c r="E44" s="26">
        <f>+'CE'!F55-Input!F30</f>
        <v>50206.05601999998</v>
      </c>
      <c r="F44" s="26">
        <f>+'CE'!G55-Input!G30</f>
        <v>51518.38245346234</v>
      </c>
      <c r="G44" s="26">
        <f>+'CE'!H55-Input!H30</f>
        <v>53987.091415593946</v>
      </c>
      <c r="H44" s="25"/>
      <c r="I44" s="25"/>
    </row>
    <row r="45" spans="2:8" ht="15">
      <c r="B45" s="6" t="s">
        <v>29</v>
      </c>
      <c r="C45" s="35">
        <f>+C27+C29+C35+C42</f>
        <v>125915.0315</v>
      </c>
      <c r="D45" s="35">
        <f>+D27+D29+D35+D42</f>
        <v>149044.43832034996</v>
      </c>
      <c r="E45" s="35">
        <f>+E27+E29+E35+E42</f>
        <v>204614.56996970414</v>
      </c>
      <c r="F45" s="35">
        <f>+F27+F29+F35+F42</f>
        <v>248711.47134155832</v>
      </c>
      <c r="G45" s="35">
        <f>+G27+G29+G35+G42</f>
        <v>297515.48992891196</v>
      </c>
      <c r="H45" s="35"/>
    </row>
    <row r="47" spans="2:7" ht="15">
      <c r="B47" s="6" t="s">
        <v>322</v>
      </c>
      <c r="C47" s="25">
        <f>+C23-C45</f>
        <v>0</v>
      </c>
      <c r="D47" s="25">
        <f>+D23-D45</f>
        <v>0</v>
      </c>
      <c r="E47" s="25">
        <f>+E23-E45</f>
        <v>0</v>
      </c>
      <c r="F47" s="25">
        <f>+F23-F45</f>
        <v>0</v>
      </c>
      <c r="G47" s="25">
        <f>+G23-G45</f>
        <v>0</v>
      </c>
    </row>
    <row r="48" spans="3:7" ht="15">
      <c r="C48" s="25"/>
      <c r="D48" s="25"/>
      <c r="E48" s="25">
        <f>+E47-D47</f>
        <v>0</v>
      </c>
      <c r="F48" s="25">
        <f>+F47-E47</f>
        <v>0</v>
      </c>
      <c r="G48" s="25">
        <f>+G47-F47</f>
        <v>0</v>
      </c>
    </row>
    <row r="49" spans="5:7" ht="15">
      <c r="E49" s="25"/>
      <c r="F49" s="25"/>
      <c r="G49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66"/>
  <sheetViews>
    <sheetView showGridLines="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3" sqref="F3"/>
    </sheetView>
  </sheetViews>
  <sheetFormatPr defaultColWidth="9.140625" defaultRowHeight="15"/>
  <cols>
    <col min="2" max="2" width="36.00390625" style="0" bestFit="1" customWidth="1"/>
    <col min="3" max="3" width="5.57421875" style="0" bestFit="1" customWidth="1"/>
    <col min="4" max="4" width="14.7109375" style="0" bestFit="1" customWidth="1"/>
    <col min="5" max="8" width="11.57421875" style="0" bestFit="1" customWidth="1"/>
  </cols>
  <sheetData>
    <row r="1" ht="15">
      <c r="A1" s="105" t="s">
        <v>346</v>
      </c>
    </row>
    <row r="2" spans="4:8" ht="15">
      <c r="D2" s="7" t="str">
        <f>+Input!I34</f>
        <v>Anno 1</v>
      </c>
      <c r="E2" s="7" t="str">
        <f>+Input!J34</f>
        <v>Anno 2</v>
      </c>
      <c r="F2" s="7" t="str">
        <f>+Input!K34</f>
        <v>Anno 3</v>
      </c>
      <c r="G2" s="7" t="str">
        <f>+Input!L34</f>
        <v>Anno 4</v>
      </c>
      <c r="H2" s="7" t="str">
        <f>+Input!M34</f>
        <v>Anno 5</v>
      </c>
    </row>
    <row r="3" spans="2:8" ht="15">
      <c r="B3" s="6" t="s">
        <v>0</v>
      </c>
      <c r="C3" s="6"/>
      <c r="D3" s="35">
        <f>+MCL!D13</f>
        <v>200000</v>
      </c>
      <c r="E3" s="35">
        <f>+MCL!E13</f>
        <v>275000</v>
      </c>
      <c r="F3" s="35">
        <f>+MCL!F13</f>
        <v>351000</v>
      </c>
      <c r="G3" s="35">
        <f>+MCL!G13</f>
        <v>354000</v>
      </c>
      <c r="H3" s="35">
        <f>+MCL!H13</f>
        <v>360000</v>
      </c>
    </row>
    <row r="5" spans="2:8" ht="15">
      <c r="B5" s="6" t="s">
        <v>386</v>
      </c>
      <c r="D5" s="35">
        <f>+D7-D8+D6</f>
        <v>114000.00000000003</v>
      </c>
      <c r="E5" s="35">
        <f>+E7-E8+E6</f>
        <v>156750.00000000003</v>
      </c>
      <c r="F5" s="35">
        <f>+F7-F8+F6</f>
        <v>200070.00000000003</v>
      </c>
      <c r="G5" s="35">
        <f>+G7-G8+G6</f>
        <v>201780.00000000003</v>
      </c>
      <c r="H5" s="35">
        <f>+H7-H8+H6</f>
        <v>205200.00000000003</v>
      </c>
    </row>
    <row r="6" spans="2:8" ht="15">
      <c r="B6" t="s">
        <v>413</v>
      </c>
      <c r="D6" s="35"/>
      <c r="E6" s="35">
        <f>+D8</f>
        <v>28500.000000000004</v>
      </c>
      <c r="F6" s="35">
        <f>+E8</f>
        <v>39187.50000000001</v>
      </c>
      <c r="G6" s="35">
        <f>+F8</f>
        <v>50017.50000000001</v>
      </c>
      <c r="H6" s="35">
        <f>+G8</f>
        <v>50445.00000000001</v>
      </c>
    </row>
    <row r="7" spans="2:8" ht="15">
      <c r="B7" t="s">
        <v>9</v>
      </c>
      <c r="C7" s="6"/>
      <c r="D7" s="35">
        <f>+MCL!D27+MCL!M27</f>
        <v>142500.00000000003</v>
      </c>
      <c r="E7" s="35">
        <f>+MCL!E27+MCL!N27-MCL!M27</f>
        <v>167437.50000000003</v>
      </c>
      <c r="F7" s="35">
        <f>+MCL!F27+MCL!O27-MCL!N27</f>
        <v>210900.00000000003</v>
      </c>
      <c r="G7" s="35">
        <f>+MCL!G27+MCL!P27-MCL!O27</f>
        <v>202207.50000000003</v>
      </c>
      <c r="H7" s="35">
        <f>+MCL!H27+MCL!Q27-MCL!P27</f>
        <v>206055.00000000003</v>
      </c>
    </row>
    <row r="8" spans="2:8" ht="15">
      <c r="B8" t="s">
        <v>414</v>
      </c>
      <c r="C8" s="6"/>
      <c r="D8" s="35">
        <f>+MCL!M27</f>
        <v>28500.000000000004</v>
      </c>
      <c r="E8" s="35">
        <f>+MCL!N27</f>
        <v>39187.50000000001</v>
      </c>
      <c r="F8" s="35">
        <f>+MCL!O27</f>
        <v>50017.50000000001</v>
      </c>
      <c r="G8" s="35">
        <f>+MCL!P27</f>
        <v>50445.00000000001</v>
      </c>
      <c r="H8" s="35">
        <f>+MCL!Q27</f>
        <v>51300.00000000001</v>
      </c>
    </row>
    <row r="9" spans="3:8" ht="15">
      <c r="C9" s="6"/>
      <c r="D9" s="35"/>
      <c r="E9" s="35"/>
      <c r="F9" s="35"/>
      <c r="G9" s="35"/>
      <c r="H9" s="35"/>
    </row>
    <row r="10" spans="2:8" ht="15">
      <c r="B10" t="s">
        <v>385</v>
      </c>
      <c r="C10" s="6"/>
      <c r="D10" s="35">
        <f>+MCL!D74</f>
        <v>0.15</v>
      </c>
      <c r="E10" s="35">
        <f>+MCL!E74</f>
        <v>0.16499999999999998</v>
      </c>
      <c r="F10" s="35">
        <f>+MCL!F74</f>
        <v>0.18</v>
      </c>
      <c r="G10" s="35">
        <f>+MCL!G74</f>
        <v>0.18</v>
      </c>
      <c r="H10" s="35">
        <f>+MCL!H74</f>
        <v>0.18</v>
      </c>
    </row>
    <row r="11" spans="4:8" ht="15">
      <c r="D11" s="26"/>
      <c r="E11" s="26"/>
      <c r="F11" s="26"/>
      <c r="G11" s="26"/>
      <c r="H11" s="26"/>
    </row>
    <row r="12" spans="2:8" ht="15">
      <c r="B12" s="6" t="s">
        <v>323</v>
      </c>
      <c r="C12" s="6"/>
      <c r="D12" s="35">
        <f>+D3-D5-D10</f>
        <v>85999.84999999998</v>
      </c>
      <c r="E12" s="35">
        <f>+E3-E5-E10</f>
        <v>118249.83499999998</v>
      </c>
      <c r="F12" s="35">
        <f>+F3-F5-F10</f>
        <v>150929.81999999998</v>
      </c>
      <c r="G12" s="35">
        <f>+G3-G5-G10</f>
        <v>152219.81999999998</v>
      </c>
      <c r="H12" s="35">
        <f>+H3-H5-H10</f>
        <v>154799.81999999998</v>
      </c>
    </row>
    <row r="13" spans="2:8" ht="15">
      <c r="B13" t="s">
        <v>415</v>
      </c>
      <c r="D13" s="130">
        <f>+D12/D3</f>
        <v>0.4299992499999999</v>
      </c>
      <c r="E13" s="130">
        <f>+E12/E3</f>
        <v>0.4299993999999999</v>
      </c>
      <c r="F13" s="130">
        <f>+F12/F3</f>
        <v>0.4299994871794871</v>
      </c>
      <c r="G13" s="130">
        <f>+G12/G3</f>
        <v>0.42999949152542366</v>
      </c>
      <c r="H13" s="130">
        <f>+H12/H3</f>
        <v>0.4299994999999999</v>
      </c>
    </row>
    <row r="15" spans="2:8" ht="15">
      <c r="B15" s="6" t="s">
        <v>225</v>
      </c>
      <c r="C15" s="6"/>
      <c r="D15" s="35">
        <f>SUM(D16:D36)</f>
        <v>29100</v>
      </c>
      <c r="E15" s="35">
        <f>SUM(E16:E36)</f>
        <v>31350</v>
      </c>
      <c r="F15" s="35">
        <f>SUM(F16:F36)</f>
        <v>33630</v>
      </c>
      <c r="G15" s="35">
        <f>SUM(G16:G36)</f>
        <v>33720</v>
      </c>
      <c r="H15" s="35">
        <f>SUM(H16:H36)</f>
        <v>33900</v>
      </c>
    </row>
    <row r="16" spans="2:8" ht="15">
      <c r="B16" t="str">
        <f>+Input!C99</f>
        <v>spese utenze</v>
      </c>
      <c r="D16" s="26">
        <f>+Input!F99</f>
        <v>3000</v>
      </c>
      <c r="E16" s="26">
        <f>+Input!G99</f>
        <v>3000</v>
      </c>
      <c r="F16" s="26">
        <f>+Input!H99</f>
        <v>3000</v>
      </c>
      <c r="G16" s="26">
        <f>+Input!I99</f>
        <v>3000</v>
      </c>
      <c r="H16" s="26">
        <f>+Input!J99</f>
        <v>3000</v>
      </c>
    </row>
    <row r="17" spans="2:8" ht="15">
      <c r="B17" t="str">
        <f>+Input!C100</f>
        <v>spese di rappresentanza</v>
      </c>
      <c r="D17" s="26">
        <f>+Input!F100</f>
        <v>0</v>
      </c>
      <c r="E17" s="26">
        <f>+Input!G100</f>
        <v>0</v>
      </c>
      <c r="F17" s="26">
        <f>+Input!H100</f>
        <v>0</v>
      </c>
      <c r="G17" s="26">
        <f>+Input!I100</f>
        <v>0</v>
      </c>
      <c r="H17" s="26">
        <f>+Input!J100</f>
        <v>0</v>
      </c>
    </row>
    <row r="18" spans="2:8" ht="15">
      <c r="B18" t="str">
        <f>+Input!C101</f>
        <v>spese di pubblicità e promozioni</v>
      </c>
      <c r="D18" s="26">
        <f>+Input!F101</f>
        <v>0</v>
      </c>
      <c r="E18" s="26">
        <f>+Input!G101</f>
        <v>0</v>
      </c>
      <c r="F18" s="26">
        <f>+Input!H101</f>
        <v>0</v>
      </c>
      <c r="G18" s="26">
        <f>+Input!I101</f>
        <v>0</v>
      </c>
      <c r="H18" s="26">
        <f>+Input!J101</f>
        <v>0</v>
      </c>
    </row>
    <row r="19" spans="2:8" ht="15">
      <c r="B19" t="str">
        <f>+Input!C102</f>
        <v>beni strumentali inf. al milione</v>
      </c>
      <c r="D19" s="26">
        <f>+Input!F102</f>
        <v>0</v>
      </c>
      <c r="E19" s="26">
        <f>+Input!G102</f>
        <v>0</v>
      </c>
      <c r="F19" s="26">
        <f>+Input!H102</f>
        <v>0</v>
      </c>
      <c r="G19" s="26">
        <f>+Input!I102</f>
        <v>0</v>
      </c>
      <c r="H19" s="26">
        <f>+Input!J102</f>
        <v>0</v>
      </c>
    </row>
    <row r="20" spans="2:8" ht="15">
      <c r="B20" t="str">
        <f>+Input!C103</f>
        <v>spese di trasporto</v>
      </c>
      <c r="D20" s="26">
        <f>+Input!F103</f>
        <v>0</v>
      </c>
      <c r="E20" s="26">
        <f>+Input!G103</f>
        <v>0</v>
      </c>
      <c r="F20" s="26">
        <f>+Input!H103</f>
        <v>0</v>
      </c>
      <c r="G20" s="26">
        <f>+Input!I103</f>
        <v>0</v>
      </c>
      <c r="H20" s="26">
        <f>+Input!J103</f>
        <v>0</v>
      </c>
    </row>
    <row r="21" spans="2:8" ht="15">
      <c r="B21" t="str">
        <f>+Input!C104</f>
        <v>lavorazioni presso terzi</v>
      </c>
      <c r="D21" s="26">
        <f>+Input!F104</f>
        <v>0</v>
      </c>
      <c r="E21" s="26">
        <f>+Input!G104</f>
        <v>0</v>
      </c>
      <c r="F21" s="26">
        <f>+Input!H104</f>
        <v>0</v>
      </c>
      <c r="G21" s="26">
        <f>+Input!I104</f>
        <v>0</v>
      </c>
      <c r="H21" s="26">
        <f>+Input!J104</f>
        <v>0</v>
      </c>
    </row>
    <row r="22" spans="2:8" ht="15">
      <c r="B22" t="str">
        <f>+Input!C105</f>
        <v>consulenze legali, fiscali, notarili, ecc…</v>
      </c>
      <c r="D22" s="26">
        <f>+Input!F105</f>
        <v>600</v>
      </c>
      <c r="E22" s="26">
        <f>+Input!G105</f>
        <v>600</v>
      </c>
      <c r="F22" s="26">
        <f>+Input!H105</f>
        <v>600</v>
      </c>
      <c r="G22" s="26">
        <f>+Input!I105</f>
        <v>600</v>
      </c>
      <c r="H22" s="26">
        <f>+Input!J105</f>
        <v>600</v>
      </c>
    </row>
    <row r="23" spans="2:8" ht="15">
      <c r="B23" t="str">
        <f>+Input!C106</f>
        <v>compensi amministratori</v>
      </c>
      <c r="D23" s="26">
        <f>+Input!F106</f>
        <v>0</v>
      </c>
      <c r="E23" s="26">
        <f>+Input!G106</f>
        <v>0</v>
      </c>
      <c r="F23" s="26">
        <f>+Input!H106</f>
        <v>0</v>
      </c>
      <c r="G23" s="26">
        <f>+Input!I106</f>
        <v>0</v>
      </c>
      <c r="H23" s="26">
        <f>+Input!J106</f>
        <v>0</v>
      </c>
    </row>
    <row r="24" spans="2:8" ht="15">
      <c r="B24" t="str">
        <f>+Input!C107</f>
        <v>affitti </v>
      </c>
      <c r="D24" s="26">
        <f>+Input!F107</f>
        <v>18000</v>
      </c>
      <c r="E24" s="26">
        <f>+Input!G107</f>
        <v>18000</v>
      </c>
      <c r="F24" s="26">
        <f>+Input!H107</f>
        <v>18000</v>
      </c>
      <c r="G24" s="26">
        <f>+Input!I107</f>
        <v>18000</v>
      </c>
      <c r="H24" s="26">
        <f>+Input!J107</f>
        <v>18000</v>
      </c>
    </row>
    <row r="25" spans="2:8" ht="15">
      <c r="B25" t="str">
        <f>+Input!C108</f>
        <v>altri costi amministrativi</v>
      </c>
      <c r="D25" s="26">
        <f>+Input!F108</f>
        <v>0</v>
      </c>
      <c r="E25" s="26">
        <f>+Input!G108</f>
        <v>0</v>
      </c>
      <c r="F25" s="26">
        <f>+Input!H108</f>
        <v>0</v>
      </c>
      <c r="G25" s="26">
        <f>+Input!I108</f>
        <v>0</v>
      </c>
      <c r="H25" s="26">
        <f>+Input!J108</f>
        <v>0</v>
      </c>
    </row>
    <row r="26" spans="2:8" ht="15">
      <c r="B26" t="str">
        <f>+Input!C109</f>
        <v>Costi diversi</v>
      </c>
      <c r="D26" s="26">
        <f>+Input!F109</f>
        <v>1000</v>
      </c>
      <c r="E26" s="26">
        <f>+Input!G109</f>
        <v>1000</v>
      </c>
      <c r="F26" s="26">
        <f>+Input!H109</f>
        <v>1000</v>
      </c>
      <c r="G26" s="26">
        <f>+Input!I109</f>
        <v>1000</v>
      </c>
      <c r="H26" s="26">
        <f>+Input!J109</f>
        <v>1000</v>
      </c>
    </row>
    <row r="27" spans="2:8" ht="15">
      <c r="B27" t="str">
        <f>+Input!C110</f>
        <v>Premi assicurativi</v>
      </c>
      <c r="D27" s="26">
        <f>+Input!F110</f>
        <v>500</v>
      </c>
      <c r="E27" s="26">
        <f>+Input!G110</f>
        <v>500</v>
      </c>
      <c r="F27" s="26">
        <f>+Input!H110</f>
        <v>500</v>
      </c>
      <c r="G27" s="26">
        <f>+Input!I110</f>
        <v>500</v>
      </c>
      <c r="H27" s="26">
        <f>+Input!J110</f>
        <v>500</v>
      </c>
    </row>
    <row r="28" spans="2:8" ht="15">
      <c r="B28" t="str">
        <f>+Input!C111</f>
        <v>Costo annuale fidejussione</v>
      </c>
      <c r="D28" s="26">
        <f>+Input!F111</f>
        <v>0</v>
      </c>
      <c r="E28" s="26">
        <f>+Input!G111</f>
        <v>0</v>
      </c>
      <c r="F28" s="26">
        <f>+Input!H111</f>
        <v>0</v>
      </c>
      <c r="G28" s="26">
        <f>+Input!I111</f>
        <v>0</v>
      </c>
      <c r="H28" s="26">
        <f>+Input!J111</f>
        <v>0</v>
      </c>
    </row>
    <row r="29" spans="2:8" ht="15">
      <c r="B29" t="str">
        <f>+Input!C112</f>
        <v>Royalties Franchising</v>
      </c>
      <c r="D29" s="26">
        <f>+Input!F112</f>
        <v>6000</v>
      </c>
      <c r="E29" s="26">
        <f>+Input!G112</f>
        <v>8250</v>
      </c>
      <c r="F29" s="26">
        <f>+Input!H112</f>
        <v>10530</v>
      </c>
      <c r="G29" s="26">
        <f>+Input!I112</f>
        <v>10620</v>
      </c>
      <c r="H29" s="26">
        <f>+Input!J112</f>
        <v>10800</v>
      </c>
    </row>
    <row r="30" spans="2:8" ht="15">
      <c r="B30" t="str">
        <f>+Input!C113</f>
        <v>Altri costi 3</v>
      </c>
      <c r="D30" s="26">
        <f>+Input!F113</f>
        <v>0</v>
      </c>
      <c r="E30" s="26">
        <f>+Input!G113</f>
        <v>0</v>
      </c>
      <c r="F30" s="26">
        <f>+Input!H113</f>
        <v>0</v>
      </c>
      <c r="G30" s="26">
        <f>+Input!I113</f>
        <v>0</v>
      </c>
      <c r="H30" s="26">
        <f>+Input!J113</f>
        <v>0</v>
      </c>
    </row>
    <row r="31" spans="2:8" ht="15">
      <c r="B31" t="str">
        <f>+Input!C114</f>
        <v>Altri costi 4</v>
      </c>
      <c r="D31" s="26">
        <f>+Input!F114</f>
        <v>0</v>
      </c>
      <c r="E31" s="26">
        <f>+Input!G114</f>
        <v>0</v>
      </c>
      <c r="F31" s="26">
        <f>+Input!H114</f>
        <v>0</v>
      </c>
      <c r="G31" s="26">
        <f>+Input!I114</f>
        <v>0</v>
      </c>
      <c r="H31" s="26">
        <f>+Input!J114</f>
        <v>0</v>
      </c>
    </row>
    <row r="32" spans="2:8" ht="15">
      <c r="B32" t="str">
        <f>+Input!C115</f>
        <v>Altri costi 5</v>
      </c>
      <c r="D32" s="26">
        <f>+Input!F115</f>
        <v>0</v>
      </c>
      <c r="E32" s="26">
        <f>+Input!G115</f>
        <v>0</v>
      </c>
      <c r="F32" s="26">
        <f>+Input!H115</f>
        <v>0</v>
      </c>
      <c r="G32" s="26">
        <f>+Input!I115</f>
        <v>0</v>
      </c>
      <c r="H32" s="26">
        <f>+Input!J115</f>
        <v>0</v>
      </c>
    </row>
    <row r="33" spans="2:8" ht="15">
      <c r="B33" t="str">
        <f>+Input!C116</f>
        <v>Altri costi 6</v>
      </c>
      <c r="D33" s="26">
        <f>+Input!F116</f>
        <v>0</v>
      </c>
      <c r="E33" s="26">
        <f>+Input!G116</f>
        <v>0</v>
      </c>
      <c r="F33" s="26">
        <f>+Input!H116</f>
        <v>0</v>
      </c>
      <c r="G33" s="26">
        <f>+Input!I116</f>
        <v>0</v>
      </c>
      <c r="H33" s="26">
        <f>+Input!J116</f>
        <v>0</v>
      </c>
    </row>
    <row r="34" spans="2:8" ht="15">
      <c r="B34" t="str">
        <f>+Input!C117</f>
        <v>Altri costi 7</v>
      </c>
      <c r="D34" s="26">
        <f>+Input!F117</f>
        <v>0</v>
      </c>
      <c r="E34" s="26">
        <f>+Input!G117</f>
        <v>0</v>
      </c>
      <c r="F34" s="26">
        <f>+Input!H117</f>
        <v>0</v>
      </c>
      <c r="G34" s="26">
        <f>+Input!I117</f>
        <v>0</v>
      </c>
      <c r="H34" s="26">
        <f>+Input!J117</f>
        <v>0</v>
      </c>
    </row>
    <row r="35" spans="2:8" ht="15">
      <c r="B35" t="str">
        <f>+Input!C118</f>
        <v>Altri costi 8</v>
      </c>
      <c r="D35" s="26">
        <f>+Input!F118</f>
        <v>0</v>
      </c>
      <c r="E35" s="26">
        <f>+Input!G118</f>
        <v>0</v>
      </c>
      <c r="F35" s="26">
        <f>+Input!H118</f>
        <v>0</v>
      </c>
      <c r="G35" s="26">
        <f>+Input!I118</f>
        <v>0</v>
      </c>
      <c r="H35" s="26">
        <f>+Input!J118</f>
        <v>0</v>
      </c>
    </row>
    <row r="36" spans="2:8" ht="15">
      <c r="B36" t="str">
        <f>+Input!C119</f>
        <v>Altri costi 9</v>
      </c>
      <c r="D36" s="26">
        <f>+Input!F119</f>
        <v>0</v>
      </c>
      <c r="E36" s="26">
        <f>+Input!G119</f>
        <v>0</v>
      </c>
      <c r="F36" s="26">
        <f>+Input!H119</f>
        <v>0</v>
      </c>
      <c r="G36" s="26">
        <f>+Input!I119</f>
        <v>0</v>
      </c>
      <c r="H36" s="26">
        <f>+Input!J119</f>
        <v>0</v>
      </c>
    </row>
    <row r="38" spans="2:8" ht="15">
      <c r="B38" s="6" t="s">
        <v>325</v>
      </c>
      <c r="C38" s="6"/>
      <c r="D38" s="35">
        <f>SUM(D39:D41)</f>
        <v>17280</v>
      </c>
      <c r="E38" s="35">
        <f>SUM(E39:E41)</f>
        <v>17280</v>
      </c>
      <c r="F38" s="35">
        <f>SUM(F39:F41)</f>
        <v>17280</v>
      </c>
      <c r="G38" s="35">
        <f>SUM(G39:G41)</f>
        <v>17280</v>
      </c>
      <c r="H38" s="35">
        <f>SUM(H39:H41)</f>
        <v>17280</v>
      </c>
    </row>
    <row r="39" spans="2:8" ht="15">
      <c r="B39" t="s">
        <v>51</v>
      </c>
      <c r="D39" s="26">
        <f>+Inve!D57</f>
        <v>17280</v>
      </c>
      <c r="E39" s="26">
        <f>+Inve!E57</f>
        <v>17280</v>
      </c>
      <c r="F39" s="26">
        <f>+Inve!F57</f>
        <v>17280</v>
      </c>
      <c r="G39" s="26">
        <f>+Inve!G57</f>
        <v>17280</v>
      </c>
      <c r="H39" s="26">
        <f>+Inve!H57</f>
        <v>17280</v>
      </c>
    </row>
    <row r="40" spans="2:8" ht="15">
      <c r="B40" t="s">
        <v>52</v>
      </c>
      <c r="D40" s="26">
        <f>+Inve!D58</f>
        <v>0</v>
      </c>
      <c r="E40" s="26">
        <f>+Inve!E58</f>
        <v>0</v>
      </c>
      <c r="F40" s="26">
        <f>+Inve!F58</f>
        <v>0</v>
      </c>
      <c r="G40" s="26">
        <f>+Inve!G58</f>
        <v>0</v>
      </c>
      <c r="H40" s="26">
        <f>+Inve!H58</f>
        <v>0</v>
      </c>
    </row>
    <row r="41" spans="2:8" ht="15">
      <c r="B41" t="s">
        <v>421</v>
      </c>
      <c r="D41" s="26">
        <f>+Inve!D73</f>
        <v>0</v>
      </c>
      <c r="E41" s="26">
        <f>+Inve!E73</f>
        <v>0</v>
      </c>
      <c r="F41" s="26">
        <f>+Inve!F73</f>
        <v>0</v>
      </c>
      <c r="G41" s="26">
        <f>+Inve!G73</f>
        <v>0</v>
      </c>
      <c r="H41" s="26">
        <f>+Inve!H73</f>
        <v>0</v>
      </c>
    </row>
    <row r="42" spans="4:8" ht="15">
      <c r="D42" s="26"/>
      <c r="E42" s="26"/>
      <c r="F42" s="26"/>
      <c r="G42" s="26"/>
      <c r="H42" s="26"/>
    </row>
    <row r="43" spans="2:8" ht="15">
      <c r="B43" s="6" t="s">
        <v>75</v>
      </c>
      <c r="C43" s="6"/>
      <c r="D43" s="35">
        <f>+Personale!D8</f>
        <v>42600</v>
      </c>
      <c r="E43" s="35">
        <f>+Personale!E8</f>
        <v>44730</v>
      </c>
      <c r="F43" s="35">
        <f>+Personale!F8</f>
        <v>44730</v>
      </c>
      <c r="G43" s="35">
        <f>+Personale!G8</f>
        <v>44730</v>
      </c>
      <c r="H43" s="35">
        <f>+Personale!H8</f>
        <v>44730</v>
      </c>
    </row>
    <row r="44" spans="4:8" ht="15">
      <c r="D44" s="26"/>
      <c r="E44" s="26"/>
      <c r="F44" s="26"/>
      <c r="G44" s="26"/>
      <c r="H44" s="26"/>
    </row>
    <row r="45" spans="2:8" ht="15">
      <c r="B45" s="6" t="s">
        <v>324</v>
      </c>
      <c r="C45" s="6"/>
      <c r="D45" s="35">
        <f>+D12-D15-D38-D43</f>
        <v>-2980.1500000000233</v>
      </c>
      <c r="E45" s="35">
        <f>+E12-E15-E38-E43</f>
        <v>24889.834999999977</v>
      </c>
      <c r="F45" s="35">
        <f>+F12-F15-F38-F43</f>
        <v>55289.81999999998</v>
      </c>
      <c r="G45" s="35">
        <f>+G12-G15-G38-G43</f>
        <v>56489.81999999998</v>
      </c>
      <c r="H45" s="35">
        <f>+H12-H15-H38-H43</f>
        <v>58889.81999999998</v>
      </c>
    </row>
    <row r="46" spans="4:8" ht="15">
      <c r="D46" s="26"/>
      <c r="E46" s="26"/>
      <c r="F46" s="26"/>
      <c r="G46" s="26"/>
      <c r="H46" s="26"/>
    </row>
    <row r="47" spans="2:8" ht="15">
      <c r="B47" s="6" t="s">
        <v>339</v>
      </c>
      <c r="C47" s="6"/>
      <c r="D47" s="35">
        <f>-D48+D49</f>
        <v>-1060.3840750000004</v>
      </c>
      <c r="E47" s="35">
        <f>-E48+E49</f>
        <v>0</v>
      </c>
      <c r="F47" s="35">
        <f>-F48+F49</f>
        <v>-1231.0000000000011</v>
      </c>
      <c r="G47" s="35">
        <f>-G48+G49</f>
        <v>-1065.4157820370851</v>
      </c>
      <c r="H47" s="35">
        <f>-H48+H49</f>
        <v>-896.5198797149109</v>
      </c>
    </row>
    <row r="48" spans="2:8" ht="15">
      <c r="B48" t="s">
        <v>129</v>
      </c>
      <c r="D48" s="26">
        <f>+finanziamento!E28+Banca!C9+'Mutuo invitalia'!E28</f>
        <v>1060.3840750000004</v>
      </c>
      <c r="E48" s="26">
        <f>+finanziamento!F28+Banca!D9+'Mutuo invitalia'!F28</f>
        <v>0</v>
      </c>
      <c r="F48" s="26">
        <f>+finanziamento!G28+Banca!E9+'Mutuo invitalia'!G28</f>
        <v>1231.0000000000011</v>
      </c>
      <c r="G48" s="26">
        <f>+finanziamento!H28+Banca!F9+'Mutuo invitalia'!H28</f>
        <v>1065.4157820370851</v>
      </c>
      <c r="H48" s="26">
        <f>+finanziamento!I28+Banca!G9+'Mutuo invitalia'!I28</f>
        <v>896.5198797149109</v>
      </c>
    </row>
    <row r="49" spans="2:8" ht="15">
      <c r="B49" t="s">
        <v>338</v>
      </c>
      <c r="D49" s="26">
        <f>+Banca!C10</f>
        <v>0</v>
      </c>
      <c r="E49" s="26">
        <f>+Banca!D10</f>
        <v>0</v>
      </c>
      <c r="F49" s="26">
        <f>+Banca!E10</f>
        <v>0</v>
      </c>
      <c r="G49" s="26">
        <f>+Banca!F10</f>
        <v>0</v>
      </c>
      <c r="H49" s="26">
        <f>+Banca!G10</f>
        <v>0</v>
      </c>
    </row>
    <row r="51" spans="2:8" ht="15">
      <c r="B51" s="6" t="s">
        <v>247</v>
      </c>
      <c r="C51" s="6"/>
      <c r="D51" s="35">
        <f>+D45+D47</f>
        <v>-4040.5340750000237</v>
      </c>
      <c r="E51" s="35">
        <f>+E45+E47</f>
        <v>24889.834999999977</v>
      </c>
      <c r="F51" s="35">
        <f>+F45+F47</f>
        <v>54058.81999999998</v>
      </c>
      <c r="G51" s="35">
        <f>+G45+G47</f>
        <v>55424.404217962896</v>
      </c>
      <c r="H51" s="35">
        <f>+H45+H47</f>
        <v>57993.300120285065</v>
      </c>
    </row>
    <row r="53" spans="2:8" ht="15">
      <c r="B53" t="s">
        <v>290</v>
      </c>
      <c r="D53" s="35">
        <f>+Irap!E16</f>
        <v>1503.819171074999</v>
      </c>
      <c r="E53" s="35">
        <f>+Irap!F16</f>
        <v>2715.173564999999</v>
      </c>
      <c r="F53" s="35">
        <f>+Irap!G16</f>
        <v>3852.7639799999993</v>
      </c>
      <c r="G53" s="35">
        <f>+Irap!H16</f>
        <v>3906.021764500553</v>
      </c>
      <c r="H53" s="35">
        <f>+Irap!I16</f>
        <v>4006.208704691118</v>
      </c>
    </row>
    <row r="55" spans="2:8" ht="15">
      <c r="B55" s="6" t="s">
        <v>296</v>
      </c>
      <c r="D55" s="35">
        <f>+D51-D53</f>
        <v>-5544.353246075023</v>
      </c>
      <c r="E55" s="35">
        <f>+E51-E53</f>
        <v>22174.66143499998</v>
      </c>
      <c r="F55" s="35">
        <f>+F51-F53</f>
        <v>50206.05601999998</v>
      </c>
      <c r="G55" s="35">
        <f>+G51-G53</f>
        <v>51518.38245346234</v>
      </c>
      <c r="H55" s="35">
        <f>+H51-H53</f>
        <v>53987.091415593946</v>
      </c>
    </row>
    <row r="56" spans="4:8" ht="15">
      <c r="D56" s="35"/>
      <c r="E56" s="35"/>
      <c r="F56" s="35"/>
      <c r="G56" s="35"/>
      <c r="H56" s="35"/>
    </row>
    <row r="57" spans="4:8" ht="15">
      <c r="D57" s="35"/>
      <c r="E57" s="35"/>
      <c r="F57" s="35"/>
      <c r="G57" s="35"/>
      <c r="H57" s="35"/>
    </row>
    <row r="58" ht="15.75" thickBot="1"/>
    <row r="59" spans="2:8" ht="15">
      <c r="B59" s="8"/>
      <c r="C59" s="9"/>
      <c r="D59" s="9"/>
      <c r="E59" s="9"/>
      <c r="F59" s="9"/>
      <c r="G59" s="9"/>
      <c r="H59" s="10"/>
    </row>
    <row r="60" spans="2:8" ht="15">
      <c r="B60" s="11" t="s">
        <v>355</v>
      </c>
      <c r="C60" s="12"/>
      <c r="D60" s="17"/>
      <c r="E60" s="17"/>
      <c r="F60" s="17"/>
      <c r="G60" s="17"/>
      <c r="H60" s="15"/>
    </row>
    <row r="61" spans="2:8" ht="15">
      <c r="B61" s="16" t="s">
        <v>354</v>
      </c>
      <c r="C61" s="121">
        <f>+Input!D27</f>
        <v>1</v>
      </c>
      <c r="D61" s="34">
        <f>+'Irpef socio'!G27</f>
        <v>0</v>
      </c>
      <c r="E61" s="34">
        <f>+'Irpef socio'!I27</f>
        <v>6120.255449999994</v>
      </c>
      <c r="F61" s="34">
        <f>+'Irpef socio'!K27</f>
        <v>16862.35159999999</v>
      </c>
      <c r="G61" s="34">
        <f>+'Irpef socio'!M27</f>
        <v>17394.005729364788</v>
      </c>
      <c r="H61" s="122">
        <f>+'Irpef socio'!O27</f>
        <v>18447.253049316878</v>
      </c>
    </row>
    <row r="62" spans="2:8" ht="15">
      <c r="B62" s="16" t="s">
        <v>365</v>
      </c>
      <c r="C62" s="121">
        <f>+Input!D27</f>
        <v>1</v>
      </c>
      <c r="D62" s="34">
        <f>+'Inps socio'!T23</f>
        <v>3192.89</v>
      </c>
      <c r="E62" s="34">
        <f>+'Inps socio'!U23</f>
        <v>5323.082667499995</v>
      </c>
      <c r="F62" s="34">
        <f>+'Inps socio'!V23</f>
        <v>11660.874519999994</v>
      </c>
      <c r="G62" s="34">
        <f>+'Inps socio'!W23</f>
        <v>11966.628826401891</v>
      </c>
      <c r="H62" s="122">
        <f>+'Inps socio'!X23</f>
        <v>12541.804618931827</v>
      </c>
    </row>
    <row r="63" spans="2:8" ht="15">
      <c r="B63" s="123" t="s">
        <v>353</v>
      </c>
      <c r="C63" s="121">
        <f>+Input!D27</f>
        <v>1</v>
      </c>
      <c r="D63" s="34">
        <f>+(D55*$C$63)-D61-D62</f>
        <v>-8737.243246075022</v>
      </c>
      <c r="E63" s="34">
        <f>+(E55*$C$63)-E61-E62</f>
        <v>10731.323317499991</v>
      </c>
      <c r="F63" s="34">
        <f>+(F55*$C$63)-F61-F62</f>
        <v>21682.8299</v>
      </c>
      <c r="G63" s="34">
        <f>+(G55*$C$63)-G61-G62</f>
        <v>22157.747897695666</v>
      </c>
      <c r="H63" s="122">
        <f>+(H55*$C$63)-H61-H62</f>
        <v>22998.03374734524</v>
      </c>
    </row>
    <row r="64" spans="2:8" ht="15">
      <c r="B64" s="16"/>
      <c r="C64" s="17"/>
      <c r="D64" s="17"/>
      <c r="E64" s="17"/>
      <c r="F64" s="17"/>
      <c r="G64" s="17"/>
      <c r="H64" s="15"/>
    </row>
    <row r="65" spans="2:8" ht="15">
      <c r="B65" s="16"/>
      <c r="C65" s="17"/>
      <c r="D65" s="17"/>
      <c r="E65" s="17"/>
      <c r="F65" s="17"/>
      <c r="G65" s="17"/>
      <c r="H65" s="15"/>
    </row>
    <row r="66" spans="2:8" ht="15.75" thickBot="1">
      <c r="B66" s="18"/>
      <c r="C66" s="19"/>
      <c r="D66" s="19"/>
      <c r="E66" s="19"/>
      <c r="F66" s="19"/>
      <c r="G66" s="19"/>
      <c r="H66" s="20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G42"/>
  <sheetViews>
    <sheetView showGridLines="0" zoomScalePageLayoutView="0" workbookViewId="0" topLeftCell="A1">
      <selection activeCell="C36" sqref="C36"/>
    </sheetView>
  </sheetViews>
  <sheetFormatPr defaultColWidth="9.140625" defaultRowHeight="15"/>
  <cols>
    <col min="2" max="2" width="49.57421875" style="0" bestFit="1" customWidth="1"/>
    <col min="3" max="6" width="10.57421875" style="0" bestFit="1" customWidth="1"/>
    <col min="7" max="7" width="11.57421875" style="0" bestFit="1" customWidth="1"/>
  </cols>
  <sheetData>
    <row r="1" spans="1:7" ht="15">
      <c r="A1" s="105" t="s">
        <v>346</v>
      </c>
      <c r="C1" s="7" t="str">
        <f>+SP!C3</f>
        <v>Anno 1</v>
      </c>
      <c r="D1" s="7" t="str">
        <f>+SP!D3</f>
        <v>Anno 2</v>
      </c>
      <c r="E1" s="7" t="str">
        <f>+SP!E3</f>
        <v>Anno 3</v>
      </c>
      <c r="F1" s="7" t="str">
        <f>+SP!F3</f>
        <v>Anno 4</v>
      </c>
      <c r="G1" s="7" t="str">
        <f>+SP!G3</f>
        <v>Anno 5</v>
      </c>
    </row>
    <row r="2" ht="15">
      <c r="B2" t="s">
        <v>299</v>
      </c>
    </row>
    <row r="3" spans="2:7" ht="15">
      <c r="B3" s="6" t="s">
        <v>300</v>
      </c>
      <c r="C3" s="101">
        <f>+'CE'!D45</f>
        <v>-2980.1500000000233</v>
      </c>
      <c r="D3" s="101">
        <f>+'CE'!E45</f>
        <v>24889.834999999977</v>
      </c>
      <c r="E3" s="101">
        <f>+'CE'!F45</f>
        <v>55289.81999999998</v>
      </c>
      <c r="F3" s="101">
        <f>+'CE'!G45</f>
        <v>56489.81999999998</v>
      </c>
      <c r="G3" s="101">
        <f>+'CE'!H45</f>
        <v>58889.81999999998</v>
      </c>
    </row>
    <row r="4" spans="2:7" ht="15">
      <c r="B4" t="s">
        <v>301</v>
      </c>
      <c r="C4" s="25">
        <f>+SP!C36</f>
        <v>2400</v>
      </c>
      <c r="D4" s="25">
        <f>+SP!D36-SP!C36</f>
        <v>2520</v>
      </c>
      <c r="E4" s="25">
        <f>+SP!E36-SP!D36</f>
        <v>2520</v>
      </c>
      <c r="F4" s="25">
        <f>+SP!F36-SP!E36</f>
        <v>2520</v>
      </c>
      <c r="G4" s="25">
        <f>+SP!G36-SP!F36</f>
        <v>2520</v>
      </c>
    </row>
    <row r="5" spans="2:7" ht="15">
      <c r="B5" t="s">
        <v>302</v>
      </c>
      <c r="C5" s="25">
        <f>+'CE'!D38</f>
        <v>17280</v>
      </c>
      <c r="D5" s="25">
        <f>+'CE'!E38</f>
        <v>17280</v>
      </c>
      <c r="E5" s="25">
        <f>+'CE'!F38</f>
        <v>17280</v>
      </c>
      <c r="F5" s="25">
        <f>+'CE'!G38</f>
        <v>17280</v>
      </c>
      <c r="G5" s="25">
        <f>+'CE'!H38</f>
        <v>17280</v>
      </c>
    </row>
    <row r="6" spans="2:7" ht="15">
      <c r="B6" t="s">
        <v>303</v>
      </c>
      <c r="C6" s="101">
        <f>+C3+C4+C5</f>
        <v>16699.849999999977</v>
      </c>
      <c r="D6" s="101">
        <f>+D3+D4+D5</f>
        <v>44689.83499999998</v>
      </c>
      <c r="E6" s="101">
        <f>+E3+E4+E5</f>
        <v>75089.81999999998</v>
      </c>
      <c r="F6" s="101">
        <f>+F3+F4+F5</f>
        <v>76289.81999999998</v>
      </c>
      <c r="G6" s="101">
        <f>+G3+G4+G5</f>
        <v>78689.81999999998</v>
      </c>
    </row>
    <row r="8" spans="2:7" ht="15">
      <c r="B8" s="6" t="s">
        <v>304</v>
      </c>
      <c r="C8" s="101">
        <f>SUM(C9:C13)</f>
        <v>-6553.712328924995</v>
      </c>
      <c r="D8" s="101">
        <f>SUM(D9:D13)</f>
        <v>3310.342460349998</v>
      </c>
      <c r="E8" s="101">
        <f>SUM(E9:E13)</f>
        <v>293.28652750000174</v>
      </c>
      <c r="F8" s="101">
        <f>SUM(F9:F13)</f>
        <v>-1924.1859654994478</v>
      </c>
      <c r="G8" s="101">
        <f>SUM(G9:G13)</f>
        <v>55.618190190569294</v>
      </c>
    </row>
    <row r="9" spans="2:7" ht="15">
      <c r="B9" t="s">
        <v>305</v>
      </c>
      <c r="C9" s="25">
        <f>-SP!C7</f>
        <v>0</v>
      </c>
      <c r="D9" s="25">
        <f>+SP!C7-SP!D7</f>
        <v>0</v>
      </c>
      <c r="E9" s="25">
        <f>+SP!D7-SP!E7</f>
        <v>0</v>
      </c>
      <c r="F9" s="25">
        <f>+SP!E7-SP!F7</f>
        <v>0</v>
      </c>
      <c r="G9" s="25">
        <f>+SP!F7-SP!G7</f>
        <v>0</v>
      </c>
    </row>
    <row r="10" spans="2:7" ht="15">
      <c r="B10" t="s">
        <v>306</v>
      </c>
      <c r="C10" s="25">
        <f>-SP!C8+SP!C33</f>
        <v>-8295.031499999997</v>
      </c>
      <c r="D10" s="25">
        <f>+SP!C8-SP!D8+SP!D33-SP!C33</f>
        <v>9261.244737499997</v>
      </c>
      <c r="E10" s="25">
        <f>+SP!D8-SP!E8+SP!E33-SP!D33</f>
        <v>1220.7586125000016</v>
      </c>
      <c r="F10" s="25">
        <f>+SP!E8-SP!F8+SP!F33-SP!E33</f>
        <v>203.04375000000073</v>
      </c>
      <c r="G10" s="25">
        <f>+SP!F8-SP!G8+SP!G33-SP!F33</f>
        <v>34.51874999999927</v>
      </c>
    </row>
    <row r="11" spans="2:7" ht="15">
      <c r="B11" t="s">
        <v>307</v>
      </c>
      <c r="C11" s="25">
        <f>-SP!C11</f>
        <v>-28500.000000000004</v>
      </c>
      <c r="D11" s="25">
        <f>+SP!C11-SP!D11</f>
        <v>-10687.500000000004</v>
      </c>
      <c r="E11" s="25">
        <f>+SP!D11-SP!E11</f>
        <v>-10830</v>
      </c>
      <c r="F11" s="25">
        <f>+SP!E11-SP!F11</f>
        <v>-427.5</v>
      </c>
      <c r="G11" s="25">
        <f>+SP!F11-SP!G11</f>
        <v>-855</v>
      </c>
    </row>
    <row r="12" spans="2:7" ht="15">
      <c r="B12" t="s">
        <v>308</v>
      </c>
      <c r="C12" s="25">
        <f>+SP!C30</f>
        <v>28737.500000000004</v>
      </c>
      <c r="D12" s="25">
        <f>+SP!D30-SP!C30</f>
        <v>5029.062500000004</v>
      </c>
      <c r="E12" s="25">
        <f>+SP!E30-SP!D30</f>
        <v>8764.9375</v>
      </c>
      <c r="F12" s="25">
        <f>+SP!F30-SP!E30</f>
        <v>-1752.987500000003</v>
      </c>
      <c r="G12" s="25">
        <f>+SP!G30-SP!F30</f>
        <v>775.9125000000058</v>
      </c>
    </row>
    <row r="13" spans="2:7" ht="15">
      <c r="B13" t="s">
        <v>306</v>
      </c>
      <c r="C13" s="25">
        <f>+SP!C32-SP!C9</f>
        <v>1503.819171074999</v>
      </c>
      <c r="D13" s="25">
        <f>+SP!D32-SP!C32+SP!C9-SP!D9</f>
        <v>-292.46477714999924</v>
      </c>
      <c r="E13" s="25">
        <f>+SP!E32-SP!D32+SP!D9-SP!E9</f>
        <v>1137.5904150000001</v>
      </c>
      <c r="F13" s="25">
        <f>+SP!F32-SP!E32+SP!E9-SP!F9</f>
        <v>53.25778450055441</v>
      </c>
      <c r="G13" s="25">
        <f>+SP!G32-SP!F32+SP!F9-SP!G9</f>
        <v>100.1869401905642</v>
      </c>
    </row>
    <row r="14" ht="15">
      <c r="A14" s="105"/>
    </row>
    <row r="15" spans="2:7" ht="15">
      <c r="B15" s="6" t="s">
        <v>309</v>
      </c>
      <c r="C15" s="101">
        <f>+C6+C8</f>
        <v>10146.137671074983</v>
      </c>
      <c r="D15" s="101">
        <f>+D6+D8</f>
        <v>48000.17746034997</v>
      </c>
      <c r="E15" s="101">
        <f>+E6+E8</f>
        <v>75383.10652749999</v>
      </c>
      <c r="F15" s="101">
        <f>+F6+F8</f>
        <v>74365.63403450053</v>
      </c>
      <c r="G15" s="101">
        <f>+G6+G8</f>
        <v>78745.43819019054</v>
      </c>
    </row>
    <row r="17" spans="2:7" ht="15">
      <c r="B17" s="6" t="s">
        <v>310</v>
      </c>
      <c r="C17" s="101">
        <f>SUM(C18:C19)</f>
        <v>-86400</v>
      </c>
      <c r="D17" s="101">
        <f>SUM(D18:D19)</f>
        <v>0</v>
      </c>
      <c r="E17" s="101">
        <f>SUM(E18:E19)</f>
        <v>0</v>
      </c>
      <c r="F17" s="101">
        <f>SUM(F18:F19)</f>
        <v>0</v>
      </c>
      <c r="G17" s="101">
        <f>SUM(G18:G19)</f>
        <v>0</v>
      </c>
    </row>
    <row r="18" spans="2:7" ht="15">
      <c r="B18" t="s">
        <v>311</v>
      </c>
      <c r="C18" s="25">
        <f>-SP!C14</f>
        <v>-86400</v>
      </c>
      <c r="D18" s="25">
        <f>+SP!C14-SP!D14</f>
        <v>0</v>
      </c>
      <c r="E18" s="25">
        <f>+SP!D14-SP!E14</f>
        <v>0</v>
      </c>
      <c r="F18" s="25">
        <f>+SP!E14-SP!F14</f>
        <v>0</v>
      </c>
      <c r="G18" s="25">
        <f>+SP!F14-SP!G14</f>
        <v>0</v>
      </c>
    </row>
    <row r="19" spans="2:7" ht="15">
      <c r="B19" t="s">
        <v>312</v>
      </c>
      <c r="C19" s="25">
        <f>-SP!C15</f>
        <v>0</v>
      </c>
      <c r="D19" s="25">
        <f>+SP!C15-SP!D15</f>
        <v>0</v>
      </c>
      <c r="E19" s="25">
        <f>+SP!D15-SP!E15</f>
        <v>0</v>
      </c>
      <c r="F19" s="25">
        <f>+SP!E15-SP!F15</f>
        <v>0</v>
      </c>
      <c r="G19" s="25">
        <f>+SP!F15-SP!G15</f>
        <v>0</v>
      </c>
    </row>
    <row r="20" spans="3:7" ht="15">
      <c r="C20" s="25"/>
      <c r="D20" s="25"/>
      <c r="E20" s="25"/>
      <c r="F20" s="25"/>
      <c r="G20" s="25"/>
    </row>
    <row r="21" spans="2:7" ht="15">
      <c r="B21" s="132" t="s">
        <v>395</v>
      </c>
      <c r="C21" s="101">
        <f>-SP!C21</f>
        <v>-20000</v>
      </c>
      <c r="D21" s="101">
        <f>+SP!C21-SP!D21</f>
        <v>0</v>
      </c>
      <c r="E21" s="101">
        <f>+SP!D21-SP!E21</f>
        <v>0</v>
      </c>
      <c r="F21" s="101">
        <f>+SP!E21-SP!F21</f>
        <v>0</v>
      </c>
      <c r="G21" s="101">
        <f>+SP!F21-SP!G21</f>
        <v>0</v>
      </c>
    </row>
    <row r="23" spans="2:7" ht="15">
      <c r="B23" s="6" t="s">
        <v>313</v>
      </c>
      <c r="C23" s="101">
        <f>+C15+C17+C21</f>
        <v>-96253.86232892502</v>
      </c>
      <c r="D23" s="101">
        <f>+D15+D17+D21</f>
        <v>48000.17746034997</v>
      </c>
      <c r="E23" s="101">
        <f>+E15+E17+E21</f>
        <v>75383.10652749999</v>
      </c>
      <c r="F23" s="101">
        <f>+F15+F17+F21</f>
        <v>74365.63403450053</v>
      </c>
      <c r="G23" s="101">
        <f>+G15+G17+G21</f>
        <v>78745.43819019054</v>
      </c>
    </row>
    <row r="25" spans="2:7" ht="15">
      <c r="B25" t="s">
        <v>314</v>
      </c>
      <c r="C25" s="101">
        <f>SUM(C26:C30)</f>
        <v>76550</v>
      </c>
      <c r="D25" s="101">
        <f>SUM(D26:D30)</f>
        <v>15000</v>
      </c>
      <c r="E25" s="101">
        <f>SUM(E26:E30)</f>
        <v>-8279.210898145793</v>
      </c>
      <c r="F25" s="101">
        <f>SUM(F26:F30)</f>
        <v>-8444.795116108704</v>
      </c>
      <c r="G25" s="101">
        <f>SUM(G26:G30)</f>
        <v>-8613.69101843088</v>
      </c>
    </row>
    <row r="26" spans="2:7" ht="15">
      <c r="B26" t="s">
        <v>315</v>
      </c>
      <c r="C26" s="25">
        <f>+SP!C38</f>
        <v>0</v>
      </c>
      <c r="D26" s="25">
        <f>+SP!D38-SP!C38</f>
        <v>0</v>
      </c>
      <c r="E26" s="25">
        <f>+SP!E38-SP!D38</f>
        <v>0</v>
      </c>
      <c r="F26" s="25">
        <f>+SP!F38-SP!E38</f>
        <v>0</v>
      </c>
      <c r="G26" s="25">
        <f>+SP!G38-SP!F38</f>
        <v>0</v>
      </c>
    </row>
    <row r="27" spans="2:7" ht="15">
      <c r="B27" t="s">
        <v>316</v>
      </c>
      <c r="C27" s="25">
        <f>+SP!C40</f>
        <v>0</v>
      </c>
      <c r="D27" s="25">
        <f>+SP!D40-SP!C40</f>
        <v>0</v>
      </c>
      <c r="E27" s="25">
        <f>+SP!E40-SP!D40</f>
        <v>0</v>
      </c>
      <c r="F27" s="25">
        <f>+SP!F40-SP!E40</f>
        <v>0</v>
      </c>
      <c r="G27" s="25">
        <f>+SP!G40-SP!F40</f>
        <v>0</v>
      </c>
    </row>
    <row r="28" spans="2:7" ht="15">
      <c r="B28" t="s">
        <v>402</v>
      </c>
      <c r="C28" s="25">
        <f>+SP!C37</f>
        <v>61550</v>
      </c>
      <c r="D28" s="25">
        <f>+SP!D37-SP!C37</f>
        <v>0</v>
      </c>
      <c r="E28" s="25">
        <f>+SP!E37-SP!D37</f>
        <v>-8279.210898145793</v>
      </c>
      <c r="F28" s="25">
        <f>+SP!F37-SP!E37</f>
        <v>-8444.795116108704</v>
      </c>
      <c r="G28" s="25">
        <f>+SP!G37-SP!F37</f>
        <v>-8613.69101843088</v>
      </c>
    </row>
    <row r="29" spans="2:7" ht="15">
      <c r="B29" t="s">
        <v>317</v>
      </c>
      <c r="C29" s="25">
        <f>+SP!C31</f>
        <v>0</v>
      </c>
      <c r="D29" s="25">
        <f>+SP!D31-SP!C31</f>
        <v>0</v>
      </c>
      <c r="E29" s="25">
        <f>+SP!E31-SP!D31</f>
        <v>0</v>
      </c>
      <c r="F29" s="25">
        <f>+SP!F31-SP!E31</f>
        <v>0</v>
      </c>
      <c r="G29" s="25">
        <f>+SP!G31-SP!F31</f>
        <v>0</v>
      </c>
    </row>
    <row r="30" spans="2:7" ht="15">
      <c r="B30" t="s">
        <v>408</v>
      </c>
      <c r="C30" s="25">
        <f>+SP!C39</f>
        <v>15000</v>
      </c>
      <c r="D30" s="25">
        <f>+SP!D39-SP!C39</f>
        <v>15000</v>
      </c>
      <c r="E30" s="25">
        <f>+SP!E39-SP!D39</f>
        <v>0</v>
      </c>
      <c r="F30" s="25">
        <f>+SP!F39-SP!E39</f>
        <v>0</v>
      </c>
      <c r="G30" s="25">
        <f>+SP!G39-SP!F39</f>
        <v>0</v>
      </c>
    </row>
    <row r="32" spans="2:7" ht="15">
      <c r="B32" t="s">
        <v>318</v>
      </c>
      <c r="C32" s="101">
        <f>+'CE'!D47</f>
        <v>-1060.3840750000004</v>
      </c>
      <c r="D32" s="101">
        <f>+'CE'!E47</f>
        <v>0</v>
      </c>
      <c r="E32" s="101">
        <f>+'CE'!F47</f>
        <v>-1231.0000000000011</v>
      </c>
      <c r="F32" s="101">
        <f>+'CE'!G47</f>
        <v>-1065.4157820370851</v>
      </c>
      <c r="G32" s="101">
        <f>+'CE'!H47</f>
        <v>-896.5198797149109</v>
      </c>
    </row>
    <row r="33" spans="2:7" ht="15">
      <c r="B33" t="s">
        <v>319</v>
      </c>
      <c r="C33" s="101">
        <f>-'CE'!D53</f>
        <v>-1503.819171074999</v>
      </c>
      <c r="D33" s="101">
        <f>-'CE'!E53</f>
        <v>-2715.173564999999</v>
      </c>
      <c r="E33" s="101">
        <f>-'CE'!F53</f>
        <v>-3852.7639799999993</v>
      </c>
      <c r="F33" s="101">
        <f>-'CE'!G53</f>
        <v>-3906.021764500553</v>
      </c>
      <c r="G33" s="101">
        <f>-'CE'!H53</f>
        <v>-4006.208704691118</v>
      </c>
    </row>
    <row r="34" spans="3:7" ht="15">
      <c r="C34" s="101"/>
      <c r="D34" s="101"/>
      <c r="E34" s="101"/>
      <c r="F34" s="101"/>
      <c r="G34" s="101"/>
    </row>
    <row r="36" spans="2:7" ht="15">
      <c r="B36" t="s">
        <v>320</v>
      </c>
      <c r="C36" s="101">
        <f>+SP!C43</f>
        <v>0</v>
      </c>
      <c r="D36" s="101">
        <f>+SP!D43-SP!C43-SP!C44</f>
        <v>0</v>
      </c>
      <c r="E36" s="101">
        <f>+SP!E43-SP!D43-SP!D44</f>
        <v>0</v>
      </c>
      <c r="F36" s="101">
        <f>+SP!F43-SP!E43-SP!E44</f>
        <v>0</v>
      </c>
      <c r="G36" s="101">
        <f>+SP!G43-SP!F43-SP!F44</f>
        <v>0</v>
      </c>
    </row>
    <row r="38" spans="2:7" ht="15">
      <c r="B38" s="6" t="s">
        <v>321</v>
      </c>
      <c r="C38" s="101">
        <f>+C23+C25+C32+C33+C36</f>
        <v>-22268.065575000026</v>
      </c>
      <c r="D38" s="101">
        <f>+D23+D25+D32+D33+D36</f>
        <v>60285.003895349975</v>
      </c>
      <c r="E38" s="101">
        <f>+E23+E25+E32+E33+E36</f>
        <v>62020.1316493542</v>
      </c>
      <c r="F38" s="101">
        <f>+F23+F25+F32+F33+F36</f>
        <v>60949.40137185418</v>
      </c>
      <c r="G38" s="101">
        <f>+G23+G25+G32+G33+G36</f>
        <v>65229.01858735364</v>
      </c>
    </row>
    <row r="40" spans="2:7" ht="15">
      <c r="B40" t="s">
        <v>322</v>
      </c>
      <c r="C40" s="25">
        <f>+SP!C4-SP!C27</f>
        <v>-22268.065575000015</v>
      </c>
      <c r="D40" s="25">
        <f>-(+SP!D27-SP!C27+SP!C4-SP!D4)</f>
        <v>60285.00389535003</v>
      </c>
      <c r="E40" s="25">
        <f>-(+SP!E27-SP!D27+SP!D4-SP!E4)</f>
        <v>62020.13164935424</v>
      </c>
      <c r="F40" s="25">
        <f>-(+SP!F27-SP!E27+SP!E4-SP!F4)</f>
        <v>60949.40137185424</v>
      </c>
      <c r="G40" s="25">
        <f>-(+SP!G27-SP!F27+SP!F4-SP!G4)</f>
        <v>65229.01858735364</v>
      </c>
    </row>
    <row r="42" spans="3:7" ht="15">
      <c r="C42" s="25"/>
      <c r="D42" s="25"/>
      <c r="E42" s="25"/>
      <c r="F42" s="25"/>
      <c r="G42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AA96"/>
  <sheetViews>
    <sheetView showGridLines="0" zoomScalePageLayoutView="0" workbookViewId="0" topLeftCell="A1">
      <selection activeCell="E60" sqref="E60:H60"/>
    </sheetView>
  </sheetViews>
  <sheetFormatPr defaultColWidth="9.140625" defaultRowHeight="15"/>
  <cols>
    <col min="2" max="2" width="3.8515625" style="0" customWidth="1"/>
    <col min="3" max="3" width="20.7109375" style="0" customWidth="1"/>
    <col min="4" max="4" width="14.28125" style="0" bestFit="1" customWidth="1"/>
    <col min="5" max="8" width="10.57421875" style="0" bestFit="1" customWidth="1"/>
    <col min="9" max="9" width="3.421875" style="0" customWidth="1"/>
    <col min="10" max="10" width="4.421875" style="0" customWidth="1"/>
    <col min="12" max="12" width="19.28125" style="0" bestFit="1" customWidth="1"/>
    <col min="13" max="17" width="10.57421875" style="0" bestFit="1" customWidth="1"/>
    <col min="21" max="21" width="24.28125" style="0" bestFit="1" customWidth="1"/>
    <col min="22" max="22" width="11.57421875" style="0" bestFit="1" customWidth="1"/>
    <col min="23" max="26" width="10.57421875" style="0" bestFit="1" customWidth="1"/>
    <col min="27" max="27" width="4.00390625" style="0" customWidth="1"/>
  </cols>
  <sheetData>
    <row r="1" ht="15.75" thickBot="1"/>
    <row r="2" spans="2:9" ht="15">
      <c r="B2" s="8"/>
      <c r="C2" s="9"/>
      <c r="D2" s="138"/>
      <c r="E2" s="138"/>
      <c r="F2" s="138"/>
      <c r="G2" s="138"/>
      <c r="H2" s="138"/>
      <c r="I2" s="10"/>
    </row>
    <row r="3" spans="2:9" ht="15">
      <c r="B3" s="16"/>
      <c r="C3" s="12" t="s">
        <v>0</v>
      </c>
      <c r="D3" s="13" t="str">
        <f>+Input!I34</f>
        <v>Anno 1</v>
      </c>
      <c r="E3" s="13" t="str">
        <f>+Input!J34</f>
        <v>Anno 2</v>
      </c>
      <c r="F3" s="13" t="str">
        <f>+Input!K34</f>
        <v>Anno 3</v>
      </c>
      <c r="G3" s="13" t="str">
        <f>+Input!L34</f>
        <v>Anno 4</v>
      </c>
      <c r="H3" s="13" t="str">
        <f>+Input!M34</f>
        <v>Anno 5</v>
      </c>
      <c r="I3" s="15"/>
    </row>
    <row r="4" spans="2:9" ht="15">
      <c r="B4" s="16"/>
      <c r="C4" s="17" t="str">
        <f>+Input!C35</f>
        <v>Tipologia 1</v>
      </c>
      <c r="D4" s="33">
        <f>+Input!I35*Input!O35</f>
        <v>200000</v>
      </c>
      <c r="E4" s="33">
        <f>+Input!J35*Input!P35</f>
        <v>275000</v>
      </c>
      <c r="F4" s="33">
        <f>+Input!K35*Input!Q35</f>
        <v>351000</v>
      </c>
      <c r="G4" s="33">
        <f>+Input!L35*Input!R35</f>
        <v>354000</v>
      </c>
      <c r="H4" s="33">
        <f>+Input!M35*Input!S35</f>
        <v>360000</v>
      </c>
      <c r="I4" s="15"/>
    </row>
    <row r="5" spans="2:9" ht="15">
      <c r="B5" s="16"/>
      <c r="C5" s="17" t="str">
        <f>+Input!C36</f>
        <v>Tipologia 2</v>
      </c>
      <c r="D5" s="33">
        <f>+Input!I36*Input!O36</f>
        <v>0</v>
      </c>
      <c r="E5" s="33">
        <f>+Input!J36*Input!P36</f>
        <v>0</v>
      </c>
      <c r="F5" s="33">
        <f>+Input!K36*Input!Q36</f>
        <v>0</v>
      </c>
      <c r="G5" s="33">
        <f>+Input!L36*Input!R36</f>
        <v>0</v>
      </c>
      <c r="H5" s="33">
        <f>+Input!M36*Input!S36</f>
        <v>0</v>
      </c>
      <c r="I5" s="15"/>
    </row>
    <row r="6" spans="2:9" ht="15">
      <c r="B6" s="16"/>
      <c r="C6" s="17" t="str">
        <f>+Input!C37</f>
        <v>Tipologia 3</v>
      </c>
      <c r="D6" s="33">
        <f>+Input!I37*Input!O37</f>
        <v>0</v>
      </c>
      <c r="E6" s="33">
        <f>+Input!J37*Input!P37</f>
        <v>0</v>
      </c>
      <c r="F6" s="33">
        <f>+Input!K37*Input!Q37</f>
        <v>0</v>
      </c>
      <c r="G6" s="33">
        <f>+Input!L37*Input!R37</f>
        <v>0</v>
      </c>
      <c r="H6" s="33">
        <f>+Input!M37*Input!S37</f>
        <v>0</v>
      </c>
      <c r="I6" s="15"/>
    </row>
    <row r="7" spans="2:9" ht="15">
      <c r="B7" s="16"/>
      <c r="C7" s="17" t="str">
        <f>+Input!C38</f>
        <v>Tipologia 4</v>
      </c>
      <c r="D7" s="33">
        <f>+Input!I38*Input!O38</f>
        <v>0</v>
      </c>
      <c r="E7" s="33">
        <f>+Input!J38*Input!P38</f>
        <v>0</v>
      </c>
      <c r="F7" s="33">
        <f>+Input!K38*Input!Q38</f>
        <v>0</v>
      </c>
      <c r="G7" s="33">
        <f>+Input!L38*Input!R38</f>
        <v>0</v>
      </c>
      <c r="H7" s="33">
        <f>+Input!M38*Input!S38</f>
        <v>0</v>
      </c>
      <c r="I7" s="15"/>
    </row>
    <row r="8" spans="2:9" ht="15">
      <c r="B8" s="16"/>
      <c r="C8" s="17" t="str">
        <f>+Input!C39</f>
        <v>Tipologia 5</v>
      </c>
      <c r="D8" s="33">
        <f>+Input!I39*Input!O39</f>
        <v>0</v>
      </c>
      <c r="E8" s="33">
        <f>+Input!J39*Input!P39</f>
        <v>0</v>
      </c>
      <c r="F8" s="33">
        <f>+Input!K39*Input!Q39</f>
        <v>0</v>
      </c>
      <c r="G8" s="33">
        <f>+Input!L39*Input!R39</f>
        <v>0</v>
      </c>
      <c r="H8" s="33">
        <f>+Input!M39*Input!S39</f>
        <v>0</v>
      </c>
      <c r="I8" s="15"/>
    </row>
    <row r="9" spans="2:9" ht="15">
      <c r="B9" s="16"/>
      <c r="C9" s="17" t="str">
        <f>+Input!C40</f>
        <v>Tipologia 6</v>
      </c>
      <c r="D9" s="33">
        <f>+Input!I40*Input!O40</f>
        <v>0</v>
      </c>
      <c r="E9" s="33">
        <f>+Input!J40*Input!P40</f>
        <v>0</v>
      </c>
      <c r="F9" s="33">
        <f>+Input!K40*Input!Q40</f>
        <v>0</v>
      </c>
      <c r="G9" s="33">
        <f>+Input!L40*Input!R40</f>
        <v>0</v>
      </c>
      <c r="H9" s="33">
        <f>+Input!M40*Input!S40</f>
        <v>0</v>
      </c>
      <c r="I9" s="15"/>
    </row>
    <row r="10" spans="2:9" ht="15">
      <c r="B10" s="16"/>
      <c r="C10" s="17" t="str">
        <f>+Input!C41</f>
        <v>Tipologia 7</v>
      </c>
      <c r="D10" s="33">
        <f>+Input!I41*Input!O41</f>
        <v>0</v>
      </c>
      <c r="E10" s="33">
        <f>+Input!J41*Input!P41</f>
        <v>0</v>
      </c>
      <c r="F10" s="33">
        <f>+Input!K41*Input!Q41</f>
        <v>0</v>
      </c>
      <c r="G10" s="33">
        <f>+Input!L41*Input!R41</f>
        <v>0</v>
      </c>
      <c r="H10" s="33">
        <f>+Input!M41*Input!S41</f>
        <v>0</v>
      </c>
      <c r="I10" s="15"/>
    </row>
    <row r="11" spans="2:9" ht="15">
      <c r="B11" s="16"/>
      <c r="C11" s="17" t="str">
        <f>+Input!C42</f>
        <v>Tipologia 8</v>
      </c>
      <c r="D11" s="33">
        <f>+Input!I42*Input!O42</f>
        <v>0</v>
      </c>
      <c r="E11" s="33">
        <f>+Input!J42*Input!P42</f>
        <v>0</v>
      </c>
      <c r="F11" s="33">
        <f>+Input!K42*Input!Q42</f>
        <v>0</v>
      </c>
      <c r="G11" s="33">
        <f>+Input!L42*Input!R42</f>
        <v>0</v>
      </c>
      <c r="H11" s="33">
        <f>+Input!M42*Input!S42</f>
        <v>0</v>
      </c>
      <c r="I11" s="15"/>
    </row>
    <row r="12" spans="2:9" ht="15">
      <c r="B12" s="16"/>
      <c r="C12" s="17" t="str">
        <f>+Input!C43</f>
        <v>Tipologia 9</v>
      </c>
      <c r="D12" s="33">
        <f>+Input!I43*Input!O43</f>
        <v>0</v>
      </c>
      <c r="E12" s="33">
        <f>+Input!J43*Input!P43</f>
        <v>0</v>
      </c>
      <c r="F12" s="33">
        <f>+Input!K43*Input!Q43</f>
        <v>0</v>
      </c>
      <c r="G12" s="33">
        <f>+Input!L43*Input!R43</f>
        <v>0</v>
      </c>
      <c r="H12" s="33">
        <f>+Input!M43*Input!S43</f>
        <v>0</v>
      </c>
      <c r="I12" s="15"/>
    </row>
    <row r="13" spans="2:9" ht="15">
      <c r="B13" s="16"/>
      <c r="C13" s="12" t="s">
        <v>15</v>
      </c>
      <c r="D13" s="34">
        <f>SUM(D4:D12)</f>
        <v>200000</v>
      </c>
      <c r="E13" s="34">
        <f>SUM(E4:E12)</f>
        <v>275000</v>
      </c>
      <c r="F13" s="34">
        <f>SUM(F4:F12)</f>
        <v>351000</v>
      </c>
      <c r="G13" s="34">
        <f>SUM(G4:G12)</f>
        <v>354000</v>
      </c>
      <c r="H13" s="34">
        <f>SUM(H4:H12)</f>
        <v>360000</v>
      </c>
      <c r="I13" s="15"/>
    </row>
    <row r="14" spans="2:9" ht="15.75" thickBot="1">
      <c r="B14" s="18"/>
      <c r="C14" s="19"/>
      <c r="D14" s="19"/>
      <c r="E14" s="19"/>
      <c r="F14" s="19"/>
      <c r="G14" s="19"/>
      <c r="H14" s="19"/>
      <c r="I14" s="20"/>
    </row>
    <row r="15" ht="15.75" thickBot="1"/>
    <row r="16" spans="2:27" ht="15">
      <c r="B16" s="8"/>
      <c r="C16" s="9"/>
      <c r="D16" s="9"/>
      <c r="E16" s="9"/>
      <c r="F16" s="9"/>
      <c r="G16" s="9"/>
      <c r="H16" s="9"/>
      <c r="I16" s="10"/>
      <c r="K16" s="30"/>
      <c r="L16" s="9"/>
      <c r="M16" s="9"/>
      <c r="N16" s="9"/>
      <c r="O16" s="9"/>
      <c r="P16" s="9"/>
      <c r="Q16" s="9"/>
      <c r="R16" s="10"/>
      <c r="T16" s="30"/>
      <c r="U16" s="9"/>
      <c r="V16" s="9"/>
      <c r="W16" s="9"/>
      <c r="X16" s="9"/>
      <c r="Y16" s="9"/>
      <c r="Z16" s="9"/>
      <c r="AA16" s="10"/>
    </row>
    <row r="17" spans="2:27" ht="15">
      <c r="B17" s="16"/>
      <c r="C17" s="12" t="s">
        <v>16</v>
      </c>
      <c r="D17" s="13" t="str">
        <f>+Input!I34</f>
        <v>Anno 1</v>
      </c>
      <c r="E17" s="13" t="str">
        <f>+Input!J34</f>
        <v>Anno 2</v>
      </c>
      <c r="F17" s="13" t="str">
        <f>+Input!K34</f>
        <v>Anno 3</v>
      </c>
      <c r="G17" s="13" t="str">
        <f>+Input!L34</f>
        <v>Anno 4</v>
      </c>
      <c r="H17" s="13" t="str">
        <f>+Input!M34</f>
        <v>Anno 5</v>
      </c>
      <c r="I17" s="15"/>
      <c r="K17" s="31"/>
      <c r="L17" s="12" t="s">
        <v>14</v>
      </c>
      <c r="M17" s="13" t="str">
        <f>+D17</f>
        <v>Anno 1</v>
      </c>
      <c r="N17" s="13" t="str">
        <f>+E17</f>
        <v>Anno 2</v>
      </c>
      <c r="O17" s="13" t="str">
        <f>+F17</f>
        <v>Anno 3</v>
      </c>
      <c r="P17" s="13" t="str">
        <f>+G17</f>
        <v>Anno 4</v>
      </c>
      <c r="Q17" s="13" t="str">
        <f>+H17</f>
        <v>Anno 5</v>
      </c>
      <c r="R17" s="15"/>
      <c r="T17" s="31"/>
      <c r="U17" s="12" t="s">
        <v>21</v>
      </c>
      <c r="V17" s="13" t="str">
        <f>+M17</f>
        <v>Anno 1</v>
      </c>
      <c r="W17" s="13" t="str">
        <f>+N17</f>
        <v>Anno 2</v>
      </c>
      <c r="X17" s="13" t="str">
        <f>+O17</f>
        <v>Anno 3</v>
      </c>
      <c r="Y17" s="13" t="str">
        <f>+P17</f>
        <v>Anno 4</v>
      </c>
      <c r="Z17" s="13" t="str">
        <f>+Q17</f>
        <v>Anno 5</v>
      </c>
      <c r="AA17" s="15"/>
    </row>
    <row r="18" spans="2:27" ht="15">
      <c r="B18" s="16"/>
      <c r="C18" s="17" t="str">
        <f>+Input!C48</f>
        <v>Mp xTipologia 1</v>
      </c>
      <c r="D18" s="33">
        <f>+D4*(1-(Input!$E35))</f>
        <v>114000.00000000001</v>
      </c>
      <c r="E18" s="33">
        <f>+E4*(1-(Input!$E35))</f>
        <v>156750.00000000003</v>
      </c>
      <c r="F18" s="33">
        <f>+F4*(1-(Input!$E35))</f>
        <v>200070.00000000003</v>
      </c>
      <c r="G18" s="33">
        <f>+G4*(1-(Input!$E35))</f>
        <v>201780.00000000003</v>
      </c>
      <c r="H18" s="33">
        <f>+H4*(1-(Input!$E35))</f>
        <v>205200.00000000003</v>
      </c>
      <c r="I18" s="15"/>
      <c r="K18" s="31"/>
      <c r="L18" s="17" t="str">
        <f aca="true" t="shared" si="0" ref="L18:L26">+C18</f>
        <v>Mp xTipologia 1</v>
      </c>
      <c r="M18" s="29">
        <f>+D18*(Input!$F48/360)</f>
        <v>28500.000000000004</v>
      </c>
      <c r="N18" s="29">
        <f>+E18*(Input!$F48/360)</f>
        <v>39187.50000000001</v>
      </c>
      <c r="O18" s="29">
        <f>+F18*(Input!$F48/360)</f>
        <v>50017.50000000001</v>
      </c>
      <c r="P18" s="29">
        <f>+G18*(Input!$F48/360)</f>
        <v>50445.00000000001</v>
      </c>
      <c r="Q18" s="29">
        <f>+H18*(Input!$F48/360)</f>
        <v>51300.00000000001</v>
      </c>
      <c r="R18" s="32"/>
      <c r="T18" s="31"/>
      <c r="U18" s="17" t="str">
        <f aca="true" t="shared" si="1" ref="U18:U26">+L18</f>
        <v>Mp xTipologia 1</v>
      </c>
      <c r="V18" s="29">
        <f>+D18+M18</f>
        <v>142500.00000000003</v>
      </c>
      <c r="W18" s="29">
        <f>+E18+N18-M18</f>
        <v>167437.50000000003</v>
      </c>
      <c r="X18" s="29">
        <f aca="true" t="shared" si="2" ref="X18:Z26">+F18+O18-N18</f>
        <v>210900.00000000003</v>
      </c>
      <c r="Y18" s="29">
        <f t="shared" si="2"/>
        <v>202207.50000000003</v>
      </c>
      <c r="Z18" s="29">
        <f t="shared" si="2"/>
        <v>206055.00000000003</v>
      </c>
      <c r="AA18" s="32"/>
    </row>
    <row r="19" spans="2:27" ht="15">
      <c r="B19" s="16"/>
      <c r="C19" s="17" t="str">
        <f>+Input!C49</f>
        <v>Mp xTipologia 2</v>
      </c>
      <c r="D19" s="33">
        <f>+D5*(1-(Input!$E36))</f>
        <v>0</v>
      </c>
      <c r="E19" s="33">
        <f>+E5*(1-(Input!$E36))</f>
        <v>0</v>
      </c>
      <c r="F19" s="33">
        <f>+F5*(1-(Input!$E36))</f>
        <v>0</v>
      </c>
      <c r="G19" s="33">
        <f>+G5*(1-(Input!$E36))</f>
        <v>0</v>
      </c>
      <c r="H19" s="33">
        <f>+H5*(1-(Input!$E36))</f>
        <v>0</v>
      </c>
      <c r="I19" s="15"/>
      <c r="K19" s="31"/>
      <c r="L19" s="17" t="str">
        <f t="shared" si="0"/>
        <v>Mp xTipologia 2</v>
      </c>
      <c r="M19" s="29">
        <f>+D19*(Input!$F49/360)</f>
        <v>0</v>
      </c>
      <c r="N19" s="29">
        <f>+E19*(Input!$F49/360)</f>
        <v>0</v>
      </c>
      <c r="O19" s="29">
        <f>+F19*(Input!$F49/360)</f>
        <v>0</v>
      </c>
      <c r="P19" s="29">
        <f>+G19*(Input!$F49/360)</f>
        <v>0</v>
      </c>
      <c r="Q19" s="29">
        <f>+H19*(Input!$F49/360)</f>
        <v>0</v>
      </c>
      <c r="R19" s="32"/>
      <c r="T19" s="31"/>
      <c r="U19" s="17" t="str">
        <f t="shared" si="1"/>
        <v>Mp xTipologia 2</v>
      </c>
      <c r="V19" s="29">
        <f aca="true" t="shared" si="3" ref="V19:V26">+D19+M19</f>
        <v>0</v>
      </c>
      <c r="W19" s="29">
        <f aca="true" t="shared" si="4" ref="W19:W26">+E19+N19-M19</f>
        <v>0</v>
      </c>
      <c r="X19" s="29">
        <f t="shared" si="2"/>
        <v>0</v>
      </c>
      <c r="Y19" s="29">
        <f t="shared" si="2"/>
        <v>0</v>
      </c>
      <c r="Z19" s="29">
        <f t="shared" si="2"/>
        <v>0</v>
      </c>
      <c r="AA19" s="32"/>
    </row>
    <row r="20" spans="2:27" ht="15">
      <c r="B20" s="16"/>
      <c r="C20" s="17" t="str">
        <f>+Input!C50</f>
        <v>Mp xTipologia 3</v>
      </c>
      <c r="D20" s="33">
        <f>+D6*(1-(Input!$E37))</f>
        <v>0</v>
      </c>
      <c r="E20" s="33">
        <f>+E6*(1-(Input!$E37))</f>
        <v>0</v>
      </c>
      <c r="F20" s="33">
        <f>+F6*(1-(Input!$E37))</f>
        <v>0</v>
      </c>
      <c r="G20" s="33">
        <f>+G6*(1-(Input!$E37))</f>
        <v>0</v>
      </c>
      <c r="H20" s="33">
        <f>+H6*(1-(Input!$E37))</f>
        <v>0</v>
      </c>
      <c r="I20" s="15"/>
      <c r="K20" s="31"/>
      <c r="L20" s="17" t="str">
        <f t="shared" si="0"/>
        <v>Mp xTipologia 3</v>
      </c>
      <c r="M20" s="29">
        <f>+D20*(Input!$F50/360)</f>
        <v>0</v>
      </c>
      <c r="N20" s="29">
        <f>+E20*(Input!$F50/360)</f>
        <v>0</v>
      </c>
      <c r="O20" s="29">
        <f>+F20*(Input!$F50/360)</f>
        <v>0</v>
      </c>
      <c r="P20" s="29">
        <f>+G20*(Input!$F50/360)</f>
        <v>0</v>
      </c>
      <c r="Q20" s="29">
        <f>+H20*(Input!$F50/360)</f>
        <v>0</v>
      </c>
      <c r="R20" s="32"/>
      <c r="T20" s="31"/>
      <c r="U20" s="17" t="str">
        <f t="shared" si="1"/>
        <v>Mp xTipologia 3</v>
      </c>
      <c r="V20" s="29">
        <f t="shared" si="3"/>
        <v>0</v>
      </c>
      <c r="W20" s="29">
        <f t="shared" si="4"/>
        <v>0</v>
      </c>
      <c r="X20" s="29">
        <f t="shared" si="2"/>
        <v>0</v>
      </c>
      <c r="Y20" s="29">
        <f t="shared" si="2"/>
        <v>0</v>
      </c>
      <c r="Z20" s="29">
        <f t="shared" si="2"/>
        <v>0</v>
      </c>
      <c r="AA20" s="32"/>
    </row>
    <row r="21" spans="2:27" ht="15">
      <c r="B21" s="16"/>
      <c r="C21" s="17" t="str">
        <f>+Input!C51</f>
        <v>Mp xTipologia 4</v>
      </c>
      <c r="D21" s="33">
        <f>+D7*(1-(Input!$E38))</f>
        <v>0</v>
      </c>
      <c r="E21" s="33">
        <f>+E7*(1-(Input!$E38))</f>
        <v>0</v>
      </c>
      <c r="F21" s="33">
        <f>+F7*(1-(Input!$E38))</f>
        <v>0</v>
      </c>
      <c r="G21" s="33">
        <f>+G7*(1-(Input!$E38))</f>
        <v>0</v>
      </c>
      <c r="H21" s="33">
        <f>+H7*(1-(Input!$E38))</f>
        <v>0</v>
      </c>
      <c r="I21" s="15"/>
      <c r="K21" s="31"/>
      <c r="L21" s="17" t="str">
        <f t="shared" si="0"/>
        <v>Mp xTipologia 4</v>
      </c>
      <c r="M21" s="29">
        <f>+D21*(Input!$F51/360)</f>
        <v>0</v>
      </c>
      <c r="N21" s="29">
        <f>+E21*(Input!$F51/360)</f>
        <v>0</v>
      </c>
      <c r="O21" s="29">
        <f>+F21*(Input!$F51/360)</f>
        <v>0</v>
      </c>
      <c r="P21" s="29">
        <f>+G21*(Input!$F51/360)</f>
        <v>0</v>
      </c>
      <c r="Q21" s="29">
        <f>+H21*(Input!$F51/360)</f>
        <v>0</v>
      </c>
      <c r="R21" s="32"/>
      <c r="T21" s="31"/>
      <c r="U21" s="17" t="str">
        <f t="shared" si="1"/>
        <v>Mp xTipologia 4</v>
      </c>
      <c r="V21" s="29">
        <f t="shared" si="3"/>
        <v>0</v>
      </c>
      <c r="W21" s="29">
        <f t="shared" si="4"/>
        <v>0</v>
      </c>
      <c r="X21" s="29">
        <f t="shared" si="2"/>
        <v>0</v>
      </c>
      <c r="Y21" s="29">
        <f t="shared" si="2"/>
        <v>0</v>
      </c>
      <c r="Z21" s="29">
        <f t="shared" si="2"/>
        <v>0</v>
      </c>
      <c r="AA21" s="32"/>
    </row>
    <row r="22" spans="2:27" ht="15">
      <c r="B22" s="16"/>
      <c r="C22" s="17" t="str">
        <f>+Input!C52</f>
        <v>Mp xTipologia 5</v>
      </c>
      <c r="D22" s="33">
        <f>+D8*(1-(Input!$E39))</f>
        <v>0</v>
      </c>
      <c r="E22" s="33">
        <f>+E8*(1-(Input!$E39))</f>
        <v>0</v>
      </c>
      <c r="F22" s="33">
        <f>+F8*(1-(Input!$E39))</f>
        <v>0</v>
      </c>
      <c r="G22" s="33">
        <f>+G8*(1-(Input!$E39))</f>
        <v>0</v>
      </c>
      <c r="H22" s="33">
        <f>+H8*(1-(Input!$E39))</f>
        <v>0</v>
      </c>
      <c r="I22" s="15"/>
      <c r="K22" s="31"/>
      <c r="L22" s="17" t="str">
        <f t="shared" si="0"/>
        <v>Mp xTipologia 5</v>
      </c>
      <c r="M22" s="29">
        <f>+D22*(Input!$F52/360)</f>
        <v>0</v>
      </c>
      <c r="N22" s="29">
        <f>+E22*(Input!$F52/360)</f>
        <v>0</v>
      </c>
      <c r="O22" s="29">
        <f>+F22*(Input!$F52/360)</f>
        <v>0</v>
      </c>
      <c r="P22" s="29">
        <f>+G22*(Input!$F52/360)</f>
        <v>0</v>
      </c>
      <c r="Q22" s="29">
        <f>+H22*(Input!$F52/360)</f>
        <v>0</v>
      </c>
      <c r="R22" s="32"/>
      <c r="T22" s="31"/>
      <c r="U22" s="17" t="str">
        <f t="shared" si="1"/>
        <v>Mp xTipologia 5</v>
      </c>
      <c r="V22" s="29">
        <f t="shared" si="3"/>
        <v>0</v>
      </c>
      <c r="W22" s="29">
        <f t="shared" si="4"/>
        <v>0</v>
      </c>
      <c r="X22" s="29">
        <f t="shared" si="2"/>
        <v>0</v>
      </c>
      <c r="Y22" s="29">
        <f t="shared" si="2"/>
        <v>0</v>
      </c>
      <c r="Z22" s="29">
        <f t="shared" si="2"/>
        <v>0</v>
      </c>
      <c r="AA22" s="32"/>
    </row>
    <row r="23" spans="2:27" ht="15">
      <c r="B23" s="16"/>
      <c r="C23" s="17" t="str">
        <f>+Input!C53</f>
        <v>Mp xTipologia 6</v>
      </c>
      <c r="D23" s="33">
        <f>+D9*(1-(Input!$E40))</f>
        <v>0</v>
      </c>
      <c r="E23" s="33">
        <f>+E9*(1-(Input!$E40))</f>
        <v>0</v>
      </c>
      <c r="F23" s="33">
        <f>+F9*(1-(Input!$E40))</f>
        <v>0</v>
      </c>
      <c r="G23" s="33">
        <f>+G9*(1-(Input!$E40))</f>
        <v>0</v>
      </c>
      <c r="H23" s="33">
        <f>+H9*(1-(Input!$E40))</f>
        <v>0</v>
      </c>
      <c r="I23" s="15"/>
      <c r="K23" s="31"/>
      <c r="L23" s="17" t="str">
        <f t="shared" si="0"/>
        <v>Mp xTipologia 6</v>
      </c>
      <c r="M23" s="29">
        <f>+D23*(Input!$F53/360)</f>
        <v>0</v>
      </c>
      <c r="N23" s="29">
        <f>+E23*(Input!$F53/360)</f>
        <v>0</v>
      </c>
      <c r="O23" s="29">
        <f>+F23*(Input!$F53/360)</f>
        <v>0</v>
      </c>
      <c r="P23" s="29">
        <f>+G23*(Input!$F53/360)</f>
        <v>0</v>
      </c>
      <c r="Q23" s="29">
        <f>+H23*(Input!$F53/360)</f>
        <v>0</v>
      </c>
      <c r="R23" s="32"/>
      <c r="T23" s="31"/>
      <c r="U23" s="17" t="str">
        <f t="shared" si="1"/>
        <v>Mp xTipologia 6</v>
      </c>
      <c r="V23" s="29">
        <f t="shared" si="3"/>
        <v>0</v>
      </c>
      <c r="W23" s="29">
        <f t="shared" si="4"/>
        <v>0</v>
      </c>
      <c r="X23" s="29">
        <f t="shared" si="2"/>
        <v>0</v>
      </c>
      <c r="Y23" s="29">
        <f t="shared" si="2"/>
        <v>0</v>
      </c>
      <c r="Z23" s="29">
        <f t="shared" si="2"/>
        <v>0</v>
      </c>
      <c r="AA23" s="32"/>
    </row>
    <row r="24" spans="2:27" ht="15">
      <c r="B24" s="16"/>
      <c r="C24" s="17" t="str">
        <f>+Input!C54</f>
        <v>Mp xTipologia 7</v>
      </c>
      <c r="D24" s="33">
        <f>+D10*(1-(Input!$E41))</f>
        <v>0</v>
      </c>
      <c r="E24" s="33">
        <f>+E10*(1-(Input!$E41))</f>
        <v>0</v>
      </c>
      <c r="F24" s="33">
        <f>+F10*(1-(Input!$E41))</f>
        <v>0</v>
      </c>
      <c r="G24" s="33">
        <f>+G10*(1-(Input!$E41))</f>
        <v>0</v>
      </c>
      <c r="H24" s="33">
        <f>+H10*(1-(Input!$E41))</f>
        <v>0</v>
      </c>
      <c r="I24" s="15"/>
      <c r="K24" s="31"/>
      <c r="L24" s="17" t="str">
        <f t="shared" si="0"/>
        <v>Mp xTipologia 7</v>
      </c>
      <c r="M24" s="29">
        <f>+D24*(Input!$F54/360)</f>
        <v>0</v>
      </c>
      <c r="N24" s="29">
        <f>+E24*(Input!$F54/360)</f>
        <v>0</v>
      </c>
      <c r="O24" s="29">
        <f>+F24*(Input!$F54/360)</f>
        <v>0</v>
      </c>
      <c r="P24" s="29">
        <f>+G24*(Input!$F54/360)</f>
        <v>0</v>
      </c>
      <c r="Q24" s="29">
        <f>+H24*(Input!$F54/360)</f>
        <v>0</v>
      </c>
      <c r="R24" s="32"/>
      <c r="T24" s="31"/>
      <c r="U24" s="17" t="str">
        <f t="shared" si="1"/>
        <v>Mp xTipologia 7</v>
      </c>
      <c r="V24" s="29">
        <f t="shared" si="3"/>
        <v>0</v>
      </c>
      <c r="W24" s="29">
        <f t="shared" si="4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32"/>
    </row>
    <row r="25" spans="2:27" ht="15">
      <c r="B25" s="16"/>
      <c r="C25" s="17" t="str">
        <f>+Input!C55</f>
        <v>Mp xTipologia 8</v>
      </c>
      <c r="D25" s="33">
        <f>+D11*(1-(Input!$E42))</f>
        <v>0</v>
      </c>
      <c r="E25" s="33">
        <f>+E11*(1-(Input!$E42))</f>
        <v>0</v>
      </c>
      <c r="F25" s="33">
        <f>+F11*(1-(Input!$E42))</f>
        <v>0</v>
      </c>
      <c r="G25" s="33">
        <f>+G11*(1-(Input!$E42))</f>
        <v>0</v>
      </c>
      <c r="H25" s="33">
        <f>+H11*(1-(Input!$E42))</f>
        <v>0</v>
      </c>
      <c r="I25" s="15"/>
      <c r="K25" s="16"/>
      <c r="L25" s="17" t="str">
        <f t="shared" si="0"/>
        <v>Mp xTipologia 8</v>
      </c>
      <c r="M25" s="29">
        <f>+D25*(Input!$F55/360)</f>
        <v>0</v>
      </c>
      <c r="N25" s="29">
        <f>+E25*(Input!$F55/360)</f>
        <v>0</v>
      </c>
      <c r="O25" s="29">
        <f>+F25*(Input!$F55/360)</f>
        <v>0</v>
      </c>
      <c r="P25" s="29">
        <f>+G25*(Input!$F55/360)</f>
        <v>0</v>
      </c>
      <c r="Q25" s="29">
        <f>+H25*(Input!$F55/360)</f>
        <v>0</v>
      </c>
      <c r="R25" s="32"/>
      <c r="T25" s="16"/>
      <c r="U25" s="17" t="str">
        <f t="shared" si="1"/>
        <v>Mp xTipologia 8</v>
      </c>
      <c r="V25" s="29">
        <f t="shared" si="3"/>
        <v>0</v>
      </c>
      <c r="W25" s="29">
        <f t="shared" si="4"/>
        <v>0</v>
      </c>
      <c r="X25" s="29">
        <f t="shared" si="2"/>
        <v>0</v>
      </c>
      <c r="Y25" s="29">
        <f t="shared" si="2"/>
        <v>0</v>
      </c>
      <c r="Z25" s="29">
        <f t="shared" si="2"/>
        <v>0</v>
      </c>
      <c r="AA25" s="32"/>
    </row>
    <row r="26" spans="2:27" ht="15">
      <c r="B26" s="16"/>
      <c r="C26" s="17" t="str">
        <f>+Input!C56</f>
        <v>Mp xTipologia 9</v>
      </c>
      <c r="D26" s="33">
        <f>+D12*(1-(Input!$E43))</f>
        <v>0</v>
      </c>
      <c r="E26" s="33">
        <f>+E12*(1-(Input!$E43))</f>
        <v>0</v>
      </c>
      <c r="F26" s="33">
        <f>+F12*(1-(Input!$E43))</f>
        <v>0</v>
      </c>
      <c r="G26" s="33">
        <f>+G12*(1-(Input!$E43))</f>
        <v>0</v>
      </c>
      <c r="H26" s="33">
        <f>+H12*(1-(Input!$E43))</f>
        <v>0</v>
      </c>
      <c r="I26" s="15"/>
      <c r="K26" s="16"/>
      <c r="L26" s="17" t="str">
        <f t="shared" si="0"/>
        <v>Mp xTipologia 9</v>
      </c>
      <c r="M26" s="29">
        <f>+D26*(Input!$F56/360)</f>
        <v>0</v>
      </c>
      <c r="N26" s="29">
        <f>+E26*(Input!$F56/360)</f>
        <v>0</v>
      </c>
      <c r="O26" s="29">
        <f>+F26*(Input!$F56/360)</f>
        <v>0</v>
      </c>
      <c r="P26" s="29">
        <f>+G26*(Input!$F56/360)</f>
        <v>0</v>
      </c>
      <c r="Q26" s="29">
        <f>+H26*(Input!$F56/360)</f>
        <v>0</v>
      </c>
      <c r="R26" s="32"/>
      <c r="T26" s="16"/>
      <c r="U26" s="17" t="str">
        <f t="shared" si="1"/>
        <v>Mp xTipologia 9</v>
      </c>
      <c r="V26" s="29">
        <f t="shared" si="3"/>
        <v>0</v>
      </c>
      <c r="W26" s="29">
        <f t="shared" si="4"/>
        <v>0</v>
      </c>
      <c r="X26" s="29">
        <f t="shared" si="2"/>
        <v>0</v>
      </c>
      <c r="Y26" s="29">
        <f t="shared" si="2"/>
        <v>0</v>
      </c>
      <c r="Z26" s="29">
        <f t="shared" si="2"/>
        <v>0</v>
      </c>
      <c r="AA26" s="32"/>
    </row>
    <row r="27" spans="2:27" ht="15">
      <c r="B27" s="16"/>
      <c r="C27" s="12" t="s">
        <v>15</v>
      </c>
      <c r="D27" s="34">
        <f>SUM(D18:D26)</f>
        <v>114000.00000000001</v>
      </c>
      <c r="E27" s="34">
        <f>SUM(E18:E26)</f>
        <v>156750.00000000003</v>
      </c>
      <c r="F27" s="34">
        <f>SUM(F18:F26)</f>
        <v>200070.00000000003</v>
      </c>
      <c r="G27" s="34">
        <f>SUM(G18:G26)</f>
        <v>201780.00000000003</v>
      </c>
      <c r="H27" s="34">
        <f>SUM(H18:H26)</f>
        <v>205200.00000000003</v>
      </c>
      <c r="I27" s="15"/>
      <c r="K27" s="16"/>
      <c r="L27" s="12" t="s">
        <v>15</v>
      </c>
      <c r="M27" s="34">
        <f>SUM(M18:M26)</f>
        <v>28500.000000000004</v>
      </c>
      <c r="N27" s="34">
        <f>SUM(N18:N26)</f>
        <v>39187.50000000001</v>
      </c>
      <c r="O27" s="34">
        <f>SUM(O18:O26)</f>
        <v>50017.50000000001</v>
      </c>
      <c r="P27" s="34">
        <f>SUM(P18:P26)</f>
        <v>50445.00000000001</v>
      </c>
      <c r="Q27" s="34">
        <f>SUM(Q18:Q26)</f>
        <v>51300.00000000001</v>
      </c>
      <c r="R27" s="32"/>
      <c r="T27" s="16"/>
      <c r="U27" s="12" t="s">
        <v>15</v>
      </c>
      <c r="V27" s="34">
        <f>SUM(V18:V26)</f>
        <v>142500.00000000003</v>
      </c>
      <c r="W27" s="34">
        <f>SUM(W18:W26)</f>
        <v>167437.50000000003</v>
      </c>
      <c r="X27" s="34">
        <f>SUM(X18:X26)</f>
        <v>210900.00000000003</v>
      </c>
      <c r="Y27" s="34">
        <f>SUM(Y18:Y26)</f>
        <v>202207.50000000003</v>
      </c>
      <c r="Z27" s="34">
        <f>SUM(Z18:Z26)</f>
        <v>206055.00000000003</v>
      </c>
      <c r="AA27" s="32"/>
    </row>
    <row r="28" spans="2:27" ht="15.75" thickBot="1">
      <c r="B28" s="18"/>
      <c r="C28" s="19"/>
      <c r="D28" s="19"/>
      <c r="E28" s="19"/>
      <c r="F28" s="19"/>
      <c r="G28" s="19"/>
      <c r="H28" s="19"/>
      <c r="I28" s="20"/>
      <c r="K28" s="18"/>
      <c r="L28" s="19"/>
      <c r="M28" s="19"/>
      <c r="N28" s="19"/>
      <c r="O28" s="19"/>
      <c r="P28" s="19"/>
      <c r="Q28" s="19"/>
      <c r="R28" s="20"/>
      <c r="T28" s="18"/>
      <c r="U28" s="19"/>
      <c r="V28" s="19"/>
      <c r="W28" s="19"/>
      <c r="X28" s="19"/>
      <c r="Y28" s="19"/>
      <c r="Z28" s="19"/>
      <c r="AA28" s="20"/>
    </row>
    <row r="29" ht="15.75" thickBot="1">
      <c r="V29" s="85"/>
    </row>
    <row r="30" spans="2:27" ht="15">
      <c r="B30" s="8"/>
      <c r="C30" s="9"/>
      <c r="D30" s="9"/>
      <c r="E30" s="9"/>
      <c r="F30" s="9"/>
      <c r="G30" s="9"/>
      <c r="H30" s="9"/>
      <c r="I30" s="10"/>
      <c r="K30" s="8"/>
      <c r="L30" s="9"/>
      <c r="M30" s="9"/>
      <c r="N30" s="9"/>
      <c r="O30" s="9"/>
      <c r="P30" s="9"/>
      <c r="Q30" s="9"/>
      <c r="R30" s="10"/>
      <c r="T30" s="8"/>
      <c r="U30" s="9"/>
      <c r="V30" s="9"/>
      <c r="W30" s="9"/>
      <c r="X30" s="9"/>
      <c r="Y30" s="9"/>
      <c r="Z30" s="9"/>
      <c r="AA30" s="10"/>
    </row>
    <row r="31" spans="2:27" ht="15">
      <c r="B31" s="16"/>
      <c r="C31" s="12" t="s">
        <v>17</v>
      </c>
      <c r="D31" s="13" t="str">
        <f>+D17</f>
        <v>Anno 1</v>
      </c>
      <c r="E31" s="13" t="str">
        <f>+E17</f>
        <v>Anno 2</v>
      </c>
      <c r="F31" s="13" t="str">
        <f>+F17</f>
        <v>Anno 3</v>
      </c>
      <c r="G31" s="13" t="str">
        <f>+G17</f>
        <v>Anno 4</v>
      </c>
      <c r="H31" s="13" t="str">
        <f>+H17</f>
        <v>Anno 5</v>
      </c>
      <c r="I31" s="36"/>
      <c r="K31" s="16"/>
      <c r="L31" s="12" t="s">
        <v>18</v>
      </c>
      <c r="M31" s="13" t="str">
        <f>+M17</f>
        <v>Anno 1</v>
      </c>
      <c r="N31" s="13" t="str">
        <f>+N17</f>
        <v>Anno 2</v>
      </c>
      <c r="O31" s="13" t="str">
        <f>+O17</f>
        <v>Anno 3</v>
      </c>
      <c r="P31" s="13" t="str">
        <f>+P17</f>
        <v>Anno 4</v>
      </c>
      <c r="Q31" s="13" t="str">
        <f>+Q17</f>
        <v>Anno 5</v>
      </c>
      <c r="R31" s="36"/>
      <c r="T31" s="16"/>
      <c r="U31" s="12" t="s">
        <v>368</v>
      </c>
      <c r="V31" s="13" t="str">
        <f>+V17</f>
        <v>Anno 1</v>
      </c>
      <c r="W31" s="13" t="str">
        <f>+W17</f>
        <v>Anno 2</v>
      </c>
      <c r="X31" s="13" t="str">
        <f>+X17</f>
        <v>Anno 3</v>
      </c>
      <c r="Y31" s="13" t="str">
        <f>+Y17</f>
        <v>Anno 4</v>
      </c>
      <c r="Z31" s="13" t="str">
        <f>+Z17</f>
        <v>Anno 5</v>
      </c>
      <c r="AA31" s="36"/>
    </row>
    <row r="32" spans="2:27" ht="15">
      <c r="B32" s="16"/>
      <c r="C32" s="17" t="str">
        <f>+C18</f>
        <v>Mp xTipologia 1</v>
      </c>
      <c r="D32" s="33">
        <f>+IF(Input!$G35=0,0,IF(Input!$G35=30,((D4+V32)/12),IF(Input!$G35=60,(D4+V32)/6,IF(Input!$G35=90,(D4+V32)/4,IF(Input!$G35=120,(D4+V32)/3,IF(Input!$G35=150,(D4+V32)*0.416667,(D4+V32)/2))))))</f>
        <v>0</v>
      </c>
      <c r="E32" s="33">
        <f>+IF(Input!$G35=0,0,IF(Input!$G35=30,((E4+W32)/12),IF(Input!$G35=60,(E4+W32)/6,IF(Input!$G35=90,(E4+W32)/4,IF(Input!$G35=120,(E4+W32)/3,IF(Input!$G35=150,(E4+W32)*0.416667,(E4+W32)/2))))))</f>
        <v>0</v>
      </c>
      <c r="F32" s="33">
        <f>+IF(Input!$G35=0,0,IF(Input!$G35=30,((F4+X32)/12),IF(Input!$G35=60,(F4+X32)/6,IF(Input!$G35=90,(F4+X32)/4,IF(Input!$G35=120,(F4+X32)/3,IF(Input!$G35=150,(F4+X32)*0.416667,(F4+X32)/2))))))</f>
        <v>0</v>
      </c>
      <c r="G32" s="33">
        <f>+IF(Input!$G35=0,0,IF(Input!$G35=30,((G4+Y32)/12),IF(Input!$G35=60,(G4+Y32)/6,IF(Input!$G35=90,(G4+Y32)/4,IF(Input!$G35=120,(G4+Y32)/3,IF(Input!$G35=150,(G4+Y32)*0.416667,(G4+Y32)/2))))))</f>
        <v>0</v>
      </c>
      <c r="H32" s="33">
        <f>+IF(Input!$G35=0,0,IF(Input!$G35=30,((H4+Z32)/12),IF(Input!$G35=60,(H4+Z32)/6,IF(Input!$G35=90,(H4+Z32)/4,IF(Input!$G35=120,(H4+Z32)/3,IF(Input!$G35=150,(H4+Z32)*0.416667,(H4+Z32)/2))))))</f>
        <v>0</v>
      </c>
      <c r="I32" s="15"/>
      <c r="K32" s="16"/>
      <c r="L32" s="17" t="str">
        <f>+L18</f>
        <v>Mp xTipologia 1</v>
      </c>
      <c r="M32" s="33">
        <f>+Input!$F35*D4</f>
        <v>42000</v>
      </c>
      <c r="N32" s="33">
        <f>+Input!$F35*E4</f>
        <v>57750</v>
      </c>
      <c r="O32" s="33">
        <f>+Input!$F35*F4</f>
        <v>73710</v>
      </c>
      <c r="P32" s="33">
        <f>+Input!$F35*G4</f>
        <v>74340</v>
      </c>
      <c r="Q32" s="33">
        <f>+Input!$F35*H4</f>
        <v>75600</v>
      </c>
      <c r="R32" s="15"/>
      <c r="T32" s="16"/>
      <c r="U32" s="17" t="str">
        <f>+U18</f>
        <v>Mp xTipologia 1</v>
      </c>
      <c r="V32" s="33">
        <f>+M32/12</f>
        <v>3500</v>
      </c>
      <c r="W32" s="33">
        <f aca="true" t="shared" si="5" ref="W32:Z40">+N32/12</f>
        <v>4812.5</v>
      </c>
      <c r="X32" s="33">
        <f t="shared" si="5"/>
        <v>6142.5</v>
      </c>
      <c r="Y32" s="33">
        <f t="shared" si="5"/>
        <v>6195</v>
      </c>
      <c r="Z32" s="33">
        <f t="shared" si="5"/>
        <v>6300</v>
      </c>
      <c r="AA32" s="15"/>
    </row>
    <row r="33" spans="2:27" ht="15">
      <c r="B33" s="16"/>
      <c r="C33" s="17" t="str">
        <f aca="true" t="shared" si="6" ref="C33:C40">+C19</f>
        <v>Mp xTipologia 2</v>
      </c>
      <c r="D33" s="33">
        <f>+IF(Input!$G36=0,0,IF(Input!$G36=30,((D5+V33)/12),IF(Input!$G36=60,(D5+V33)/6,IF(Input!$G36=90,(D5+V33)/4,IF(Input!$G36=120,(D5+V33)/3,IF(Input!$G36=150,(D5+V33)*0.416667,(D5+V33)/2))))))</f>
        <v>0</v>
      </c>
      <c r="E33" s="33">
        <f>+IF(Input!$G36=0,0,IF(Input!$G36=30,((E5+W33)/12),IF(Input!$G36=60,(E5+W33)/6,IF(Input!$G36=90,(E5+W33)/4,IF(Input!$G36=120,(E5+W33)/3,IF(Input!$G36=150,(E5+W33)*0.416667,(E5+W33)/2))))))</f>
        <v>0</v>
      </c>
      <c r="F33" s="33">
        <f>+IF(Input!$G36=0,0,IF(Input!$G36=30,((F5+X33)/12),IF(Input!$G36=60,(F5+X33)/6,IF(Input!$G36=90,(F5+X33)/4,IF(Input!$G36=120,(F5+X33)/3,IF(Input!$G36=150,(F5+X33)*0.416667,(F5+X33)/2))))))</f>
        <v>0</v>
      </c>
      <c r="G33" s="33">
        <f>+IF(Input!$G36=0,0,IF(Input!$G36=30,((G5+Y33)/12),IF(Input!$G36=60,(G5+Y33)/6,IF(Input!$G36=90,(G5+Y33)/4,IF(Input!$G36=120,(G5+Y33)/3,IF(Input!$G36=150,(G5+Y33)*0.416667,(G5+Y33)/2))))))</f>
        <v>0</v>
      </c>
      <c r="H33" s="33">
        <f>+IF(Input!$G36=0,0,IF(Input!$G36=30,((H5+Z33)/12),IF(Input!$G36=60,(H5+Z33)/6,IF(Input!$G36=90,(H5+Z33)/4,IF(Input!$G36=120,(H5+Z33)/3,IF(Input!$G36=150,(H5+Z33)*0.416667,(H5+Z33)/2))))))</f>
        <v>0</v>
      </c>
      <c r="I33" s="15"/>
      <c r="K33" s="16"/>
      <c r="L33" s="17" t="str">
        <f aca="true" t="shared" si="7" ref="L33:L40">+L19</f>
        <v>Mp xTipologia 2</v>
      </c>
      <c r="M33" s="33">
        <f>+Input!$F36*D5</f>
        <v>0</v>
      </c>
      <c r="N33" s="33">
        <f>+Input!$F36*E5</f>
        <v>0</v>
      </c>
      <c r="O33" s="33">
        <f>+Input!$F36*F5</f>
        <v>0</v>
      </c>
      <c r="P33" s="33">
        <f>+Input!$F36*G5</f>
        <v>0</v>
      </c>
      <c r="Q33" s="33">
        <f>+Input!$F36*H5</f>
        <v>0</v>
      </c>
      <c r="R33" s="15"/>
      <c r="T33" s="16"/>
      <c r="U33" s="17" t="str">
        <f aca="true" t="shared" si="8" ref="U33:U40">+U19</f>
        <v>Mp xTipologia 2</v>
      </c>
      <c r="V33" s="33">
        <f aca="true" t="shared" si="9" ref="V33:V40">+M33/12</f>
        <v>0</v>
      </c>
      <c r="W33" s="33">
        <f t="shared" si="5"/>
        <v>0</v>
      </c>
      <c r="X33" s="33">
        <f t="shared" si="5"/>
        <v>0</v>
      </c>
      <c r="Y33" s="33">
        <f t="shared" si="5"/>
        <v>0</v>
      </c>
      <c r="Z33" s="33">
        <f t="shared" si="5"/>
        <v>0</v>
      </c>
      <c r="AA33" s="15"/>
    </row>
    <row r="34" spans="2:27" ht="15">
      <c r="B34" s="16"/>
      <c r="C34" s="17" t="str">
        <f t="shared" si="6"/>
        <v>Mp xTipologia 3</v>
      </c>
      <c r="D34" s="33">
        <f>+IF(Input!$G37=0,0,IF(Input!$G37=30,((D6+V34)/12),IF(Input!$G37=60,(D6+V34)/6,IF(Input!$G37=90,(D6+V34)/4,IF(Input!$G37=120,(D6+V34)/3,IF(Input!$G37=150,(D6+V34)*0.416667,(D6+V34)/2))))))</f>
        <v>0</v>
      </c>
      <c r="E34" s="33">
        <f>+IF(Input!$G37=0,0,IF(Input!$G37=30,((E6+W34)/12),IF(Input!$G37=60,(E6+W34)/6,IF(Input!$G37=90,(E6+W34)/4,IF(Input!$G37=120,(E6+W34)/3,IF(Input!$G37=150,(E6+W34)*0.416667,(E6+W34)/2))))))</f>
        <v>0</v>
      </c>
      <c r="F34" s="33">
        <f>+IF(Input!$G37=0,0,IF(Input!$G37=30,((F6+X34)/12),IF(Input!$G37=60,(F6+X34)/6,IF(Input!$G37=90,(F6+X34)/4,IF(Input!$G37=120,(F6+X34)/3,IF(Input!$G37=150,(F6+X34)*0.416667,(F6+X34)/2))))))</f>
        <v>0</v>
      </c>
      <c r="G34" s="33">
        <f>+IF(Input!$G37=0,0,IF(Input!$G37=30,((G6+Y34)/12),IF(Input!$G37=60,(G6+Y34)/6,IF(Input!$G37=90,(G6+Y34)/4,IF(Input!$G37=120,(G6+Y34)/3,IF(Input!$G37=150,(G6+Y34)*0.416667,(G6+Y34)/2))))))</f>
        <v>0</v>
      </c>
      <c r="H34" s="33">
        <f>+IF(Input!$G37=0,0,IF(Input!$G37=30,((H6+Z34)/12),IF(Input!$G37=60,(H6+Z34)/6,IF(Input!$G37=90,(H6+Z34)/4,IF(Input!$G37=120,(H6+Z34)/3,IF(Input!$G37=150,(H6+Z34)*0.416667,(H6+Z34)/2))))))</f>
        <v>0</v>
      </c>
      <c r="I34" s="15"/>
      <c r="K34" s="16"/>
      <c r="L34" s="17" t="str">
        <f t="shared" si="7"/>
        <v>Mp xTipologia 3</v>
      </c>
      <c r="M34" s="33">
        <f>+Input!$F37*D6</f>
        <v>0</v>
      </c>
      <c r="N34" s="33">
        <f>+Input!$F37*E6</f>
        <v>0</v>
      </c>
      <c r="O34" s="33">
        <f>+Input!$F37*F6</f>
        <v>0</v>
      </c>
      <c r="P34" s="33">
        <f>+Input!$F37*G6</f>
        <v>0</v>
      </c>
      <c r="Q34" s="33">
        <f>+Input!$F37*H6</f>
        <v>0</v>
      </c>
      <c r="R34" s="15"/>
      <c r="T34" s="16"/>
      <c r="U34" s="17" t="str">
        <f t="shared" si="8"/>
        <v>Mp xTipologia 3</v>
      </c>
      <c r="V34" s="33">
        <f t="shared" si="9"/>
        <v>0</v>
      </c>
      <c r="W34" s="33">
        <f t="shared" si="5"/>
        <v>0</v>
      </c>
      <c r="X34" s="33">
        <f t="shared" si="5"/>
        <v>0</v>
      </c>
      <c r="Y34" s="33">
        <f t="shared" si="5"/>
        <v>0</v>
      </c>
      <c r="Z34" s="33">
        <f t="shared" si="5"/>
        <v>0</v>
      </c>
      <c r="AA34" s="15"/>
    </row>
    <row r="35" spans="2:27" ht="15">
      <c r="B35" s="16"/>
      <c r="C35" s="17" t="str">
        <f t="shared" si="6"/>
        <v>Mp xTipologia 4</v>
      </c>
      <c r="D35" s="33">
        <f>+IF(Input!$G38=0,0,IF(Input!$G38=30,((D7+V35)/12),IF(Input!$G38=60,(D7+V35)/6,IF(Input!$G38=90,(D7+V35)/4,IF(Input!$G38=120,(D7+V35)/3,IF(Input!$G38=150,(D7+V35)*0.416667,(D7+V35)/2))))))</f>
        <v>0</v>
      </c>
      <c r="E35" s="33">
        <f>+IF(Input!$G38=0,0,IF(Input!$G38=30,((E7+W35)/12),IF(Input!$G38=60,(E7+W35)/6,IF(Input!$G38=90,(E7+W35)/4,IF(Input!$G38=120,(E7+W35)/3,IF(Input!$G38=150,(E7+W35)*0.416667,(E7+W35)/2))))))</f>
        <v>0</v>
      </c>
      <c r="F35" s="33">
        <f>+IF(Input!$G38=0,0,IF(Input!$G38=30,((F7+X35)/12),IF(Input!$G38=60,(F7+X35)/6,IF(Input!$G38=90,(F7+X35)/4,IF(Input!$G38=120,(F7+X35)/3,IF(Input!$G38=150,(F7+X35)*0.416667,(F7+X35)/2))))))</f>
        <v>0</v>
      </c>
      <c r="G35" s="33">
        <f>+IF(Input!$G38=0,0,IF(Input!$G38=30,((G7+Y35)/12),IF(Input!$G38=60,(G7+Y35)/6,IF(Input!$G38=90,(G7+Y35)/4,IF(Input!$G38=120,(G7+Y35)/3,IF(Input!$G38=150,(G7+Y35)*0.416667,(G7+Y35)/2))))))</f>
        <v>0</v>
      </c>
      <c r="H35" s="33">
        <f>+IF(Input!$G38=0,0,IF(Input!$G38=30,((H7+Z35)/12),IF(Input!$G38=60,(H7+Z35)/6,IF(Input!$G38=90,(H7+Z35)/4,IF(Input!$G38=120,(H7+Z35)/3,IF(Input!$G38=150,(H7+Z35)*0.416667,(H7+Z35)/2))))))</f>
        <v>0</v>
      </c>
      <c r="I35" s="15"/>
      <c r="K35" s="16"/>
      <c r="L35" s="17" t="str">
        <f t="shared" si="7"/>
        <v>Mp xTipologia 4</v>
      </c>
      <c r="M35" s="33">
        <f>+Input!$F38*D7</f>
        <v>0</v>
      </c>
      <c r="N35" s="33">
        <f>+Input!$F38*E7</f>
        <v>0</v>
      </c>
      <c r="O35" s="33">
        <f>+Input!$F38*F7</f>
        <v>0</v>
      </c>
      <c r="P35" s="33">
        <f>+Input!$F38*G7</f>
        <v>0</v>
      </c>
      <c r="Q35" s="33">
        <f>+Input!$F38*H7</f>
        <v>0</v>
      </c>
      <c r="R35" s="15"/>
      <c r="T35" s="16"/>
      <c r="U35" s="17" t="str">
        <f t="shared" si="8"/>
        <v>Mp xTipologia 4</v>
      </c>
      <c r="V35" s="33">
        <f t="shared" si="9"/>
        <v>0</v>
      </c>
      <c r="W35" s="33">
        <f t="shared" si="5"/>
        <v>0</v>
      </c>
      <c r="X35" s="33">
        <f t="shared" si="5"/>
        <v>0</v>
      </c>
      <c r="Y35" s="33">
        <f t="shared" si="5"/>
        <v>0</v>
      </c>
      <c r="Z35" s="33">
        <f t="shared" si="5"/>
        <v>0</v>
      </c>
      <c r="AA35" s="15"/>
    </row>
    <row r="36" spans="2:27" ht="15">
      <c r="B36" s="16"/>
      <c r="C36" s="17" t="str">
        <f t="shared" si="6"/>
        <v>Mp xTipologia 5</v>
      </c>
      <c r="D36" s="33">
        <f>+IF(Input!$G39=0,0,IF(Input!$G39=30,((D8+V36)/12),IF(Input!$G39=60,(D8+V36)/6,IF(Input!$G39=90,(D8+V36)/4,IF(Input!$G39=120,(D8+V36)/3,IF(Input!$G39=150,(D8+V36)*0.416667,(D8+V36)/2))))))</f>
        <v>0</v>
      </c>
      <c r="E36" s="33">
        <f>+IF(Input!$G39=0,0,IF(Input!$G39=30,((E8+W36)/12),IF(Input!$G39=60,(E8+W36)/6,IF(Input!$G39=90,(E8+W36)/4,IF(Input!$G39=120,(E8+W36)/3,IF(Input!$G39=150,(E8+W36)*0.416667,(E8+W36)/2))))))</f>
        <v>0</v>
      </c>
      <c r="F36" s="33">
        <f>+IF(Input!$G39=0,0,IF(Input!$G39=30,((F8+X36)/12),IF(Input!$G39=60,(F8+X36)/6,IF(Input!$G39=90,(F8+X36)/4,IF(Input!$G39=120,(F8+X36)/3,IF(Input!$G39=150,(F8+X36)*0.416667,(F8+X36)/2))))))</f>
        <v>0</v>
      </c>
      <c r="G36" s="33">
        <f>+IF(Input!$G39=0,0,IF(Input!$G39=30,((G8+Y36)/12),IF(Input!$G39=60,(G8+Y36)/6,IF(Input!$G39=90,(G8+Y36)/4,IF(Input!$G39=120,(G8+Y36)/3,IF(Input!$G39=150,(G8+Y36)*0.416667,(G8+Y36)/2))))))</f>
        <v>0</v>
      </c>
      <c r="H36" s="33">
        <f>+IF(Input!$G39=0,0,IF(Input!$G39=30,((H8+Z36)/12),IF(Input!$G39=60,(H8+Z36)/6,IF(Input!$G39=90,(H8+Z36)/4,IF(Input!$G39=120,(H8+Z36)/3,IF(Input!$G39=150,(H8+Z36)*0.416667,(H8+Z36)/2))))))</f>
        <v>0</v>
      </c>
      <c r="I36" s="15"/>
      <c r="K36" s="16"/>
      <c r="L36" s="17" t="str">
        <f t="shared" si="7"/>
        <v>Mp xTipologia 5</v>
      </c>
      <c r="M36" s="33">
        <f>+Input!$F39*D8</f>
        <v>0</v>
      </c>
      <c r="N36" s="33">
        <f>+Input!$F39*E8</f>
        <v>0</v>
      </c>
      <c r="O36" s="33">
        <f>+Input!$F39*F8</f>
        <v>0</v>
      </c>
      <c r="P36" s="33">
        <f>+Input!$F39*G8</f>
        <v>0</v>
      </c>
      <c r="Q36" s="33">
        <f>+Input!$F39*H8</f>
        <v>0</v>
      </c>
      <c r="R36" s="15"/>
      <c r="T36" s="16"/>
      <c r="U36" s="17" t="str">
        <f t="shared" si="8"/>
        <v>Mp xTipologia 5</v>
      </c>
      <c r="V36" s="33">
        <f t="shared" si="9"/>
        <v>0</v>
      </c>
      <c r="W36" s="33">
        <f t="shared" si="5"/>
        <v>0</v>
      </c>
      <c r="X36" s="33">
        <f t="shared" si="5"/>
        <v>0</v>
      </c>
      <c r="Y36" s="33">
        <f t="shared" si="5"/>
        <v>0</v>
      </c>
      <c r="Z36" s="33">
        <f t="shared" si="5"/>
        <v>0</v>
      </c>
      <c r="AA36" s="15"/>
    </row>
    <row r="37" spans="2:27" ht="15">
      <c r="B37" s="16"/>
      <c r="C37" s="17" t="str">
        <f t="shared" si="6"/>
        <v>Mp xTipologia 6</v>
      </c>
      <c r="D37" s="33">
        <f>+IF(Input!$G40=0,0,IF(Input!$G40=30,((D9+V37)/12),IF(Input!$G40=60,(D9+V37)/6,IF(Input!$G40=90,(D9+V37)/4,IF(Input!$G40=120,(D9+V37)/3,IF(Input!$G40=150,(D9+V37)*0.416667,(D9+V37)/2))))))</f>
        <v>0</v>
      </c>
      <c r="E37" s="33">
        <f>+IF(Input!$G40=0,0,IF(Input!$G40=30,((E9+W37)/12),IF(Input!$G40=60,(E9+W37)/6,IF(Input!$G40=90,(E9+W37)/4,IF(Input!$G40=120,(E9+W37)/3,IF(Input!$G40=150,(E9+W37)*0.416667,(E9+W37)/2))))))</f>
        <v>0</v>
      </c>
      <c r="F37" s="33">
        <f>+IF(Input!$G40=0,0,IF(Input!$G40=30,((F9+X37)/12),IF(Input!$G40=60,(F9+X37)/6,IF(Input!$G40=90,(F9+X37)/4,IF(Input!$G40=120,(F9+X37)/3,IF(Input!$G40=150,(F9+X37)*0.416667,(F9+X37)/2))))))</f>
        <v>0</v>
      </c>
      <c r="G37" s="33">
        <f>+IF(Input!$G40=0,0,IF(Input!$G40=30,((G9+Y37)/12),IF(Input!$G40=60,(G9+Y37)/6,IF(Input!$G40=90,(G9+Y37)/4,IF(Input!$G40=120,(G9+Y37)/3,IF(Input!$G40=150,(G9+Y37)*0.416667,(G9+Y37)/2))))))</f>
        <v>0</v>
      </c>
      <c r="H37" s="33">
        <f>+IF(Input!$G40=0,0,IF(Input!$G40=30,((H9+Z37)/12),IF(Input!$G40=60,(H9+Z37)/6,IF(Input!$G40=90,(H9+Z37)/4,IF(Input!$G40=120,(H9+Z37)/3,IF(Input!$G40=150,(H9+Z37)*0.416667,(H9+Z37)/2))))))</f>
        <v>0</v>
      </c>
      <c r="I37" s="15"/>
      <c r="K37" s="16"/>
      <c r="L37" s="17" t="str">
        <f t="shared" si="7"/>
        <v>Mp xTipologia 6</v>
      </c>
      <c r="M37" s="33">
        <f>+Input!$F40*D9</f>
        <v>0</v>
      </c>
      <c r="N37" s="33">
        <f>+Input!$F40*E9</f>
        <v>0</v>
      </c>
      <c r="O37" s="33">
        <f>+Input!$F40*F9</f>
        <v>0</v>
      </c>
      <c r="P37" s="33">
        <f>+Input!$F40*G9</f>
        <v>0</v>
      </c>
      <c r="Q37" s="33">
        <f>+Input!$F40*H9</f>
        <v>0</v>
      </c>
      <c r="R37" s="15"/>
      <c r="T37" s="16"/>
      <c r="U37" s="17" t="str">
        <f t="shared" si="8"/>
        <v>Mp xTipologia 6</v>
      </c>
      <c r="V37" s="33">
        <f t="shared" si="9"/>
        <v>0</v>
      </c>
      <c r="W37" s="33">
        <f t="shared" si="5"/>
        <v>0</v>
      </c>
      <c r="X37" s="33">
        <f t="shared" si="5"/>
        <v>0</v>
      </c>
      <c r="Y37" s="33">
        <f t="shared" si="5"/>
        <v>0</v>
      </c>
      <c r="Z37" s="33">
        <f t="shared" si="5"/>
        <v>0</v>
      </c>
      <c r="AA37" s="15"/>
    </row>
    <row r="38" spans="2:27" ht="15">
      <c r="B38" s="16"/>
      <c r="C38" s="17" t="str">
        <f t="shared" si="6"/>
        <v>Mp xTipologia 7</v>
      </c>
      <c r="D38" s="33">
        <f>+IF(Input!$G41=0,0,IF(Input!$G41=30,((D10+V38)/12),IF(Input!$G41=60,(D10+V38)/6,IF(Input!$G41=90,(D10+V38)/4,IF(Input!$G41=120,(D10+V38)/3,IF(Input!$G41=150,(D10+V38)*0.416667,(D10+V38)/2))))))</f>
        <v>0</v>
      </c>
      <c r="E38" s="33">
        <f>+IF(Input!$G41=0,0,IF(Input!$G41=30,((E10+W38)/12),IF(Input!$G41=60,(E10+W38)/6,IF(Input!$G41=90,(E10+W38)/4,IF(Input!$G41=120,(E10+W38)/3,IF(Input!$G41=150,(E10+W38)*0.416667,(E10+W38)/2))))))</f>
        <v>0</v>
      </c>
      <c r="F38" s="33">
        <f>+IF(Input!$G41=0,0,IF(Input!$G41=30,((F10+X38)/12),IF(Input!$G41=60,(F10+X38)/6,IF(Input!$G41=90,(F10+X38)/4,IF(Input!$G41=120,(F10+X38)/3,IF(Input!$G41=150,(F10+X38)*0.416667,(F10+X38)/2))))))</f>
        <v>0</v>
      </c>
      <c r="G38" s="33">
        <f>+IF(Input!$G41=0,0,IF(Input!$G41=30,((G10+Y38)/12),IF(Input!$G41=60,(G10+Y38)/6,IF(Input!$G41=90,(G10+Y38)/4,IF(Input!$G41=120,(G10+Y38)/3,IF(Input!$G41=150,(G10+Y38)*0.416667,(G10+Y38)/2))))))</f>
        <v>0</v>
      </c>
      <c r="H38" s="33">
        <f>+IF(Input!$G41=0,0,IF(Input!$G41=30,((H10+Z38)/12),IF(Input!$G41=60,(H10+Z38)/6,IF(Input!$G41=90,(H10+Z38)/4,IF(Input!$G41=120,(H10+Z38)/3,IF(Input!$G41=150,(H10+Z38)*0.416667,(H10+Z38)/2))))))</f>
        <v>0</v>
      </c>
      <c r="I38" s="15"/>
      <c r="K38" s="16"/>
      <c r="L38" s="17" t="str">
        <f t="shared" si="7"/>
        <v>Mp xTipologia 7</v>
      </c>
      <c r="M38" s="33">
        <f>+Input!$F41*D10</f>
        <v>0</v>
      </c>
      <c r="N38" s="33">
        <f>+Input!$F41*E10</f>
        <v>0</v>
      </c>
      <c r="O38" s="33">
        <f>+Input!$F41*F10</f>
        <v>0</v>
      </c>
      <c r="P38" s="33">
        <f>+Input!$F41*G10</f>
        <v>0</v>
      </c>
      <c r="Q38" s="33">
        <f>+Input!$F41*H10</f>
        <v>0</v>
      </c>
      <c r="R38" s="15"/>
      <c r="T38" s="16"/>
      <c r="U38" s="17" t="str">
        <f t="shared" si="8"/>
        <v>Mp xTipologia 7</v>
      </c>
      <c r="V38" s="33">
        <f t="shared" si="9"/>
        <v>0</v>
      </c>
      <c r="W38" s="33">
        <f t="shared" si="5"/>
        <v>0</v>
      </c>
      <c r="X38" s="33">
        <f t="shared" si="5"/>
        <v>0</v>
      </c>
      <c r="Y38" s="33">
        <f t="shared" si="5"/>
        <v>0</v>
      </c>
      <c r="Z38" s="33">
        <f t="shared" si="5"/>
        <v>0</v>
      </c>
      <c r="AA38" s="15"/>
    </row>
    <row r="39" spans="2:27" ht="15">
      <c r="B39" s="16"/>
      <c r="C39" s="17" t="str">
        <f t="shared" si="6"/>
        <v>Mp xTipologia 8</v>
      </c>
      <c r="D39" s="33">
        <f>+IF(Input!$G42=0,0,IF(Input!$G42=30,((D11+V39)/12),IF(Input!$G42=60,(D11+V39)/6,IF(Input!$G42=90,(D11+V39)/4,IF(Input!$G42=120,(D11+V39)/3,IF(Input!$G42=150,(D11+V39)*0.416667,(D11+V39)/2))))))</f>
        <v>0</v>
      </c>
      <c r="E39" s="33">
        <f>+IF(Input!$G42=0,0,IF(Input!$G42=30,((E11+W39)/12),IF(Input!$G42=60,(E11+W39)/6,IF(Input!$G42=90,(E11+W39)/4,IF(Input!$G42=120,(E11+W39)/3,IF(Input!$G42=150,(E11+W39)*0.416667,(E11+W39)/2))))))</f>
        <v>0</v>
      </c>
      <c r="F39" s="33">
        <f>+IF(Input!$G42=0,0,IF(Input!$G42=30,((F11+X39)/12),IF(Input!$G42=60,(F11+X39)/6,IF(Input!$G42=90,(F11+X39)/4,IF(Input!$G42=120,(F11+X39)/3,IF(Input!$G42=150,(F11+X39)*0.416667,(F11+X39)/2))))))</f>
        <v>0</v>
      </c>
      <c r="G39" s="33">
        <f>+IF(Input!$G42=0,0,IF(Input!$G42=30,((G11+Y39)/12),IF(Input!$G42=60,(G11+Y39)/6,IF(Input!$G42=90,(G11+Y39)/4,IF(Input!$G42=120,(G11+Y39)/3,IF(Input!$G42=150,(G11+Y39)*0.416667,(G11+Y39)/2))))))</f>
        <v>0</v>
      </c>
      <c r="H39" s="33">
        <f>+IF(Input!$G42=0,0,IF(Input!$G42=30,((H11+Z39)/12),IF(Input!$G42=60,(H11+Z39)/6,IF(Input!$G42=90,(H11+Z39)/4,IF(Input!$G42=120,(H11+Z39)/3,IF(Input!$G42=150,(H11+Z39)*0.416667,(H11+Z39)/2))))))</f>
        <v>0</v>
      </c>
      <c r="I39" s="15"/>
      <c r="K39" s="16"/>
      <c r="L39" s="17" t="str">
        <f t="shared" si="7"/>
        <v>Mp xTipologia 8</v>
      </c>
      <c r="M39" s="33">
        <f>+Input!$F42*D11</f>
        <v>0</v>
      </c>
      <c r="N39" s="33">
        <f>+Input!$F42*E11</f>
        <v>0</v>
      </c>
      <c r="O39" s="33">
        <f>+Input!$F42*F11</f>
        <v>0</v>
      </c>
      <c r="P39" s="33">
        <f>+Input!$F42*G11</f>
        <v>0</v>
      </c>
      <c r="Q39" s="33">
        <f>+Input!$F42*H11</f>
        <v>0</v>
      </c>
      <c r="R39" s="15"/>
      <c r="T39" s="16"/>
      <c r="U39" s="17" t="str">
        <f t="shared" si="8"/>
        <v>Mp xTipologia 8</v>
      </c>
      <c r="V39" s="33">
        <f t="shared" si="9"/>
        <v>0</v>
      </c>
      <c r="W39" s="33">
        <f t="shared" si="5"/>
        <v>0</v>
      </c>
      <c r="X39" s="33">
        <f t="shared" si="5"/>
        <v>0</v>
      </c>
      <c r="Y39" s="33">
        <f t="shared" si="5"/>
        <v>0</v>
      </c>
      <c r="Z39" s="33">
        <f t="shared" si="5"/>
        <v>0</v>
      </c>
      <c r="AA39" s="15"/>
    </row>
    <row r="40" spans="2:27" ht="15">
      <c r="B40" s="16"/>
      <c r="C40" s="17" t="str">
        <f t="shared" si="6"/>
        <v>Mp xTipologia 9</v>
      </c>
      <c r="D40" s="33">
        <f>+IF(Input!$G43=0,0,IF(Input!$G43=30,((D12+V40)/12),IF(Input!$G43=60,(D12+V40)/6,IF(Input!$G43=90,(D12+V40)/4,IF(Input!$G43=120,(D12+V40)/3,IF(Input!$G43=150,(D12+V40)*0.416667,(D12+V40)/2))))))</f>
        <v>0</v>
      </c>
      <c r="E40" s="33">
        <f>+IF(Input!$G43=0,0,IF(Input!$G43=30,((E12+W40)/12),IF(Input!$G43=60,(E12+W40)/6,IF(Input!$G43=90,(E12+W40)/4,IF(Input!$G43=120,(E12+W40)/3,IF(Input!$G43=150,(E12+W40)*0.416667,(E12+W40)/2))))))</f>
        <v>0</v>
      </c>
      <c r="F40" s="33">
        <f>+IF(Input!$G43=0,0,IF(Input!$G43=30,((F12+X40)/12),IF(Input!$G43=60,(F12+X40)/6,IF(Input!$G43=90,(F12+X40)/4,IF(Input!$G43=120,(F12+X40)/3,IF(Input!$G43=150,(F12+X40)*0.416667,(F12+X40)/2))))))</f>
        <v>0</v>
      </c>
      <c r="G40" s="33">
        <f>+IF(Input!$G43=0,0,IF(Input!$G43=30,((G12+Y40)/12),IF(Input!$G43=60,(G12+Y40)/6,IF(Input!$G43=90,(G12+Y40)/4,IF(Input!$G43=120,(G12+Y40)/3,IF(Input!$G43=150,(G12+Y40)*0.416667,(G12+Y40)/2))))))</f>
        <v>0</v>
      </c>
      <c r="H40" s="33">
        <f>+IF(Input!$G43=0,0,IF(Input!$G43=30,((H12+Z40)/12),IF(Input!$G43=60,(H12+Z40)/6,IF(Input!$G43=90,(H12+Z40)/4,IF(Input!$G43=120,(H12+Z40)/3,IF(Input!$G43=150,(H12+Z40)*0.416667,(H12+Z40)/2))))))</f>
        <v>0</v>
      </c>
      <c r="I40" s="15"/>
      <c r="K40" s="16"/>
      <c r="L40" s="17" t="str">
        <f t="shared" si="7"/>
        <v>Mp xTipologia 9</v>
      </c>
      <c r="M40" s="33">
        <f>+Input!$F43*D12</f>
        <v>0</v>
      </c>
      <c r="N40" s="33">
        <f>+Input!$F43*E12</f>
        <v>0</v>
      </c>
      <c r="O40" s="33">
        <f>+Input!$F43*F12</f>
        <v>0</v>
      </c>
      <c r="P40" s="33">
        <f>+Input!$F43*G12</f>
        <v>0</v>
      </c>
      <c r="Q40" s="33">
        <f>+Input!$F43*H12</f>
        <v>0</v>
      </c>
      <c r="R40" s="15"/>
      <c r="T40" s="16"/>
      <c r="U40" s="17" t="str">
        <f t="shared" si="8"/>
        <v>Mp xTipologia 9</v>
      </c>
      <c r="V40" s="33">
        <f t="shared" si="9"/>
        <v>0</v>
      </c>
      <c r="W40" s="33">
        <f t="shared" si="5"/>
        <v>0</v>
      </c>
      <c r="X40" s="33">
        <f t="shared" si="5"/>
        <v>0</v>
      </c>
      <c r="Y40" s="33">
        <f t="shared" si="5"/>
        <v>0</v>
      </c>
      <c r="Z40" s="33">
        <f t="shared" si="5"/>
        <v>0</v>
      </c>
      <c r="AA40" s="15"/>
    </row>
    <row r="41" spans="2:27" ht="15">
      <c r="B41" s="16"/>
      <c r="C41" s="12" t="s">
        <v>27</v>
      </c>
      <c r="D41" s="34">
        <f>SUM(D32:D40)</f>
        <v>0</v>
      </c>
      <c r="E41" s="34">
        <f>SUM(E32:E40)</f>
        <v>0</v>
      </c>
      <c r="F41" s="34">
        <f>SUM(F32:F40)</f>
        <v>0</v>
      </c>
      <c r="G41" s="34">
        <f>SUM(G32:G40)</f>
        <v>0</v>
      </c>
      <c r="H41" s="34">
        <f>SUM(H32:H40)</f>
        <v>0</v>
      </c>
      <c r="I41" s="15"/>
      <c r="K41" s="16"/>
      <c r="L41" s="12" t="s">
        <v>24</v>
      </c>
      <c r="M41" s="34">
        <f>SUM(M32:M40)</f>
        <v>42000</v>
      </c>
      <c r="N41" s="34">
        <f>SUM(N32:N40)</f>
        <v>57750</v>
      </c>
      <c r="O41" s="34">
        <f>SUM(O32:O40)</f>
        <v>73710</v>
      </c>
      <c r="P41" s="34">
        <f>SUM(P32:P40)</f>
        <v>74340</v>
      </c>
      <c r="Q41" s="34">
        <f>SUM(Q32:Q40)</f>
        <v>75600</v>
      </c>
      <c r="R41" s="15"/>
      <c r="T41" s="16"/>
      <c r="U41" s="12" t="s">
        <v>370</v>
      </c>
      <c r="V41" s="34">
        <f>SUM(V32:V40)</f>
        <v>3500</v>
      </c>
      <c r="W41" s="34">
        <f>SUM(W32:W40)</f>
        <v>4812.5</v>
      </c>
      <c r="X41" s="34">
        <f>SUM(X32:X40)</f>
        <v>6142.5</v>
      </c>
      <c r="Y41" s="34">
        <f>SUM(Y32:Y40)</f>
        <v>6195</v>
      </c>
      <c r="Z41" s="34">
        <f>SUM(Z32:Z40)</f>
        <v>6300</v>
      </c>
      <c r="AA41" s="15"/>
    </row>
    <row r="42" spans="2:27" ht="15.75" thickBot="1">
      <c r="B42" s="18"/>
      <c r="C42" s="19"/>
      <c r="D42" s="19"/>
      <c r="E42" s="19"/>
      <c r="F42" s="19"/>
      <c r="G42" s="19"/>
      <c r="H42" s="19"/>
      <c r="I42" s="20"/>
      <c r="K42" s="18"/>
      <c r="L42" s="19"/>
      <c r="M42" s="19"/>
      <c r="N42" s="19"/>
      <c r="O42" s="19"/>
      <c r="P42" s="19"/>
      <c r="Q42" s="19"/>
      <c r="R42" s="20"/>
      <c r="T42" s="18"/>
      <c r="U42" s="19"/>
      <c r="V42" s="19"/>
      <c r="W42" s="19"/>
      <c r="X42" s="19"/>
      <c r="Y42" s="19"/>
      <c r="Z42" s="19"/>
      <c r="AA42" s="20"/>
    </row>
    <row r="43" ht="15.75" thickBot="1"/>
    <row r="44" spans="2:27" ht="15">
      <c r="B44" s="8"/>
      <c r="C44" s="9"/>
      <c r="D44" s="9"/>
      <c r="E44" s="9"/>
      <c r="F44" s="9"/>
      <c r="G44" s="9"/>
      <c r="H44" s="9"/>
      <c r="I44" s="10"/>
      <c r="K44" s="8"/>
      <c r="L44" s="9"/>
      <c r="M44" s="9"/>
      <c r="N44" s="9"/>
      <c r="O44" s="9"/>
      <c r="P44" s="9"/>
      <c r="Q44" s="9"/>
      <c r="R44" s="10"/>
      <c r="T44" s="8"/>
      <c r="U44" s="9"/>
      <c r="V44" s="9"/>
      <c r="W44" s="9"/>
      <c r="X44" s="9"/>
      <c r="Y44" s="9"/>
      <c r="Z44" s="9"/>
      <c r="AA44" s="10"/>
    </row>
    <row r="45" spans="2:27" ht="15">
      <c r="B45" s="16"/>
      <c r="C45" s="12" t="s">
        <v>20</v>
      </c>
      <c r="D45" s="13" t="str">
        <f>+D31</f>
        <v>Anno 1</v>
      </c>
      <c r="E45" s="13" t="str">
        <f>+E31</f>
        <v>Anno 2</v>
      </c>
      <c r="F45" s="13" t="str">
        <f>+F31</f>
        <v>Anno 3</v>
      </c>
      <c r="G45" s="13" t="str">
        <f>+G31</f>
        <v>Anno 4</v>
      </c>
      <c r="H45" s="13" t="str">
        <f>+H31</f>
        <v>Anno 5</v>
      </c>
      <c r="I45" s="36"/>
      <c r="K45" s="16"/>
      <c r="L45" s="12" t="s">
        <v>23</v>
      </c>
      <c r="M45" s="13" t="str">
        <f>+M31</f>
        <v>Anno 1</v>
      </c>
      <c r="N45" s="13" t="str">
        <f>+N31</f>
        <v>Anno 2</v>
      </c>
      <c r="O45" s="13" t="str">
        <f>+O31</f>
        <v>Anno 3</v>
      </c>
      <c r="P45" s="13" t="str">
        <f>+P31</f>
        <v>Anno 4</v>
      </c>
      <c r="Q45" s="13" t="str">
        <f>+Q31</f>
        <v>Anno 5</v>
      </c>
      <c r="R45" s="36"/>
      <c r="T45" s="16"/>
      <c r="U45" s="12" t="s">
        <v>369</v>
      </c>
      <c r="V45" s="13" t="str">
        <f>+V31</f>
        <v>Anno 1</v>
      </c>
      <c r="W45" s="13" t="str">
        <f>+W31</f>
        <v>Anno 2</v>
      </c>
      <c r="X45" s="13" t="str">
        <f>+X31</f>
        <v>Anno 3</v>
      </c>
      <c r="Y45" s="13" t="str">
        <f>+Y31</f>
        <v>Anno 4</v>
      </c>
      <c r="Z45" s="13" t="str">
        <f>+Z31</f>
        <v>Anno 5</v>
      </c>
      <c r="AA45" s="36"/>
    </row>
    <row r="46" spans="2:27" ht="15">
      <c r="B46" s="16"/>
      <c r="C46" s="17" t="str">
        <f>+C32</f>
        <v>Mp xTipologia 1</v>
      </c>
      <c r="D46" s="33">
        <f>+IF(Input!$G48=0,0,IF(Input!$G48=30,(V18+M46)/12,IF(Input!$G48=60,(V18+M46)/6,IF(Input!$G48=90,(V18+M46)/4,IF(Input!$G48=120,(V18+M46)/3,IF(Input!$G48=150,(V18+M46)*0.416667,(V18+M46)/2))))))</f>
        <v>28737.500000000004</v>
      </c>
      <c r="E46" s="33">
        <f>+IF(Input!$G48=0,0,IF(Input!$G48=30,(W18+N46)/12,IF(Input!$G48=60,(W18+N46)/6,IF(Input!$G48=90,(W18+N46)/4,IF(Input!$G48=120,(W18+N46)/3,IF(Input!$G48=150,(W18+N46)*0.416667,(W18+N46)/2))))))</f>
        <v>33766.56250000001</v>
      </c>
      <c r="F46" s="33">
        <f>+IF(Input!$G48=0,0,IF(Input!$G48=30,(X18+O46)/12,IF(Input!$G48=60,(X18+O46)/6,IF(Input!$G48=90,(X18+O46)/4,IF(Input!$G48=120,(X18+O46)/3,IF(Input!$G48=150,(X18+O46)*0.416667,(X18+O46)/2))))))</f>
        <v>42531.50000000001</v>
      </c>
      <c r="G46" s="33">
        <f>+IF(Input!$G48=0,0,IF(Input!$G48=30,(Y18+P46)/12,IF(Input!$G48=60,(Y18+P46)/6,IF(Input!$G48=90,(Y18+P46)/4,IF(Input!$G48=120,(Y18+P46)/3,IF(Input!$G48=150,(Y18+P46)*0.416667,(Y18+P46)/2))))))</f>
        <v>40778.512500000004</v>
      </c>
      <c r="H46" s="33">
        <f>+IF(Input!$G48=0,0,IF(Input!$G48=30,(Z18+Q46)/12,IF(Input!$G48=60,(Z18+Q46)/6,IF(Input!$G48=90,(Z18+Q46)/4,IF(Input!$G48=120,(Z18+Q46)/3,IF(Input!$G48=150,(Z18+Q46)*0.416667,(Z18+Q46)/2))))))</f>
        <v>41554.42500000001</v>
      </c>
      <c r="I46" s="15"/>
      <c r="K46" s="16"/>
      <c r="L46" s="17" t="str">
        <f>+L32</f>
        <v>Mp xTipologia 1</v>
      </c>
      <c r="M46" s="33">
        <f>+MCL!V18*Input!$E48</f>
        <v>29925.000000000004</v>
      </c>
      <c r="N46" s="33">
        <f>+MCL!W18*Input!$E48</f>
        <v>35161.87500000001</v>
      </c>
      <c r="O46" s="33">
        <f>+MCL!X18*Input!$E48</f>
        <v>44289.00000000001</v>
      </c>
      <c r="P46" s="33">
        <f>+MCL!Y18*Input!$E48</f>
        <v>42463.575000000004</v>
      </c>
      <c r="Q46" s="33">
        <f>+MCL!Z18*Input!$E48</f>
        <v>43271.55</v>
      </c>
      <c r="R46" s="15"/>
      <c r="T46" s="16"/>
      <c r="U46" s="17" t="str">
        <f>+U32</f>
        <v>Mp xTipologia 1</v>
      </c>
      <c r="V46" s="33">
        <f>+M46/12</f>
        <v>2493.7500000000005</v>
      </c>
      <c r="W46" s="33">
        <f aca="true" t="shared" si="10" ref="W46:W54">+N46/12</f>
        <v>2930.1562500000005</v>
      </c>
      <c r="X46" s="33">
        <f aca="true" t="shared" si="11" ref="X46:X54">+O46/12</f>
        <v>3690.7500000000005</v>
      </c>
      <c r="Y46" s="33">
        <f aca="true" t="shared" si="12" ref="Y46:Y54">+P46/12</f>
        <v>3538.6312500000004</v>
      </c>
      <c r="Z46" s="33">
        <f aca="true" t="shared" si="13" ref="Z46:Z54">+Q46/12</f>
        <v>3605.9625</v>
      </c>
      <c r="AA46" s="15"/>
    </row>
    <row r="47" spans="2:27" ht="15">
      <c r="B47" s="16"/>
      <c r="C47" s="17" t="str">
        <f aca="true" t="shared" si="14" ref="C47:C54">+C33</f>
        <v>Mp xTipologia 2</v>
      </c>
      <c r="D47" s="33">
        <f>+IF(Input!$G49=0,0,IF(Input!$G49=30,(V19+M47)/12,IF(Input!$G49=60,(V19+M47)/6,IF(Input!$G49=90,(V19+M47)/4,IF(Input!$G49=120,(V19+M47)/3,IF(Input!$G49=150,(V19+M47)*0.416667,(V19+M47)/2))))))</f>
        <v>0</v>
      </c>
      <c r="E47" s="33">
        <f>+IF(Input!$G49=0,0,IF(Input!$G49=30,(W19+N47)/12,IF(Input!$G49=60,(W19+N47)/6,IF(Input!$G49=90,(W19+N47)/4,IF(Input!$G49=120,(W19+N47)/3,IF(Input!$G49=150,(W19+N47)*0.416667,(W19+N47)/2))))))</f>
        <v>0</v>
      </c>
      <c r="F47" s="33">
        <f>+IF(Input!$G49=0,0,IF(Input!$G49=30,(X19+O47)/12,IF(Input!$G49=60,(X19+O47)/6,IF(Input!$G49=90,(X19+O47)/4,IF(Input!$G49=120,(X19+O47)/3,IF(Input!$G49=150,(X19+O47)*0.416667,(X19+O47)/2))))))</f>
        <v>0</v>
      </c>
      <c r="G47" s="33">
        <f>+IF(Input!$G49=0,0,IF(Input!$G49=30,(Y19+P47)/12,IF(Input!$G49=60,(Y19+P47)/6,IF(Input!$G49=90,(Y19+P47)/4,IF(Input!$G49=120,(Y19+P47)/3,IF(Input!$G49=150,(Y19+P47)*0.416667,(Y19+P47)/2))))))</f>
        <v>0</v>
      </c>
      <c r="H47" s="33">
        <f>+IF(Input!$G49=0,0,IF(Input!$G49=30,(Z19+Q47)/12,IF(Input!$G49=60,(Z19+Q47)/6,IF(Input!$G49=90,(Z19+Q47)/4,IF(Input!$G49=120,(Z19+Q47)/3,IF(Input!$G49=150,(Z19+Q47)*0.416667,(Z19+Q47)/2))))))</f>
        <v>0</v>
      </c>
      <c r="I47" s="15"/>
      <c r="K47" s="16"/>
      <c r="L47" s="17" t="str">
        <f aca="true" t="shared" si="15" ref="L47:L54">+L33</f>
        <v>Mp xTipologia 2</v>
      </c>
      <c r="M47" s="33">
        <f>+MCL!V19*Input!$E49</f>
        <v>0</v>
      </c>
      <c r="N47" s="33">
        <f>+MCL!W19*Input!$E49</f>
        <v>0</v>
      </c>
      <c r="O47" s="33">
        <f>+MCL!X19*Input!$E49</f>
        <v>0</v>
      </c>
      <c r="P47" s="33">
        <f>+MCL!Y19*Input!$E49</f>
        <v>0</v>
      </c>
      <c r="Q47" s="33">
        <f>+MCL!Z19*Input!$E49</f>
        <v>0</v>
      </c>
      <c r="R47" s="15"/>
      <c r="T47" s="16"/>
      <c r="U47" s="17" t="str">
        <f aca="true" t="shared" si="16" ref="U47:U54">+U33</f>
        <v>Mp xTipologia 2</v>
      </c>
      <c r="V47" s="33">
        <f aca="true" t="shared" si="17" ref="V47:V54">+M47/12</f>
        <v>0</v>
      </c>
      <c r="W47" s="33">
        <f t="shared" si="10"/>
        <v>0</v>
      </c>
      <c r="X47" s="33">
        <f t="shared" si="11"/>
        <v>0</v>
      </c>
      <c r="Y47" s="33">
        <f t="shared" si="12"/>
        <v>0</v>
      </c>
      <c r="Z47" s="33">
        <f t="shared" si="13"/>
        <v>0</v>
      </c>
      <c r="AA47" s="15"/>
    </row>
    <row r="48" spans="2:27" ht="15">
      <c r="B48" s="16"/>
      <c r="C48" s="17" t="str">
        <f t="shared" si="14"/>
        <v>Mp xTipologia 3</v>
      </c>
      <c r="D48" s="33">
        <f>+IF(Input!$G50=0,0,IF(Input!$G50=30,(V20+M48)/12,IF(Input!$G50=60,(V20+M48)/6,IF(Input!$G50=90,(V20+M48)/4,IF(Input!$G50=120,(V20+M48)/3,IF(Input!$G50=150,(V20+M48)*0.416667,(V20+M48)/2))))))</f>
        <v>0</v>
      </c>
      <c r="E48" s="33">
        <f>+IF(Input!$G50=0,0,IF(Input!$G50=30,(W20+N48)/12,IF(Input!$G50=60,(W20+N48)/6,IF(Input!$G50=90,(W20+N48)/4,IF(Input!$G50=120,(W20+N48)/3,IF(Input!$G50=150,(W20+N48)*0.416667,(W20+N48)/2))))))</f>
        <v>0</v>
      </c>
      <c r="F48" s="33">
        <f>+IF(Input!$G50=0,0,IF(Input!$G50=30,(X20+O48)/12,IF(Input!$G50=60,(X20+O48)/6,IF(Input!$G50=90,(X20+O48)/4,IF(Input!$G50=120,(X20+O48)/3,IF(Input!$G50=150,(X20+O48)*0.416667,(X20+O48)/2))))))</f>
        <v>0</v>
      </c>
      <c r="G48" s="33">
        <f>+IF(Input!$G50=0,0,IF(Input!$G50=30,(Y20+P48)/12,IF(Input!$G50=60,(Y20+P48)/6,IF(Input!$G50=90,(Y20+P48)/4,IF(Input!$G50=120,(Y20+P48)/3,IF(Input!$G50=150,(Y20+P48)*0.416667,(Y20+P48)/2))))))</f>
        <v>0</v>
      </c>
      <c r="H48" s="33">
        <f>+IF(Input!$G50=0,0,IF(Input!$G50=30,(Z20+Q48)/12,IF(Input!$G50=60,(Z20+Q48)/6,IF(Input!$G50=90,(Z20+Q48)/4,IF(Input!$G50=120,(Z20+Q48)/3,IF(Input!$G50=150,(Z20+Q48)*0.416667,(Z20+Q48)/2))))))</f>
        <v>0</v>
      </c>
      <c r="I48" s="15"/>
      <c r="K48" s="16"/>
      <c r="L48" s="17" t="str">
        <f t="shared" si="15"/>
        <v>Mp xTipologia 3</v>
      </c>
      <c r="M48" s="33">
        <f>+MCL!V20*Input!$E50</f>
        <v>0</v>
      </c>
      <c r="N48" s="33">
        <f>+MCL!W20*Input!$E50</f>
        <v>0</v>
      </c>
      <c r="O48" s="33">
        <f>+MCL!X20*Input!$E50</f>
        <v>0</v>
      </c>
      <c r="P48" s="33">
        <f>+MCL!Y20*Input!$E50</f>
        <v>0</v>
      </c>
      <c r="Q48" s="33">
        <f>+MCL!Z20*Input!$E50</f>
        <v>0</v>
      </c>
      <c r="R48" s="15"/>
      <c r="T48" s="16"/>
      <c r="U48" s="17" t="str">
        <f t="shared" si="16"/>
        <v>Mp xTipologia 3</v>
      </c>
      <c r="V48" s="33">
        <f t="shared" si="17"/>
        <v>0</v>
      </c>
      <c r="W48" s="33">
        <f t="shared" si="10"/>
        <v>0</v>
      </c>
      <c r="X48" s="33">
        <f t="shared" si="11"/>
        <v>0</v>
      </c>
      <c r="Y48" s="33">
        <f t="shared" si="12"/>
        <v>0</v>
      </c>
      <c r="Z48" s="33">
        <f t="shared" si="13"/>
        <v>0</v>
      </c>
      <c r="AA48" s="15"/>
    </row>
    <row r="49" spans="2:27" ht="15">
      <c r="B49" s="16"/>
      <c r="C49" s="17" t="str">
        <f t="shared" si="14"/>
        <v>Mp xTipologia 4</v>
      </c>
      <c r="D49" s="33">
        <f>+IF(Input!$G51=0,0,IF(Input!$G51=30,(V21+M49)/12,IF(Input!$G51=60,(V21+M49)/6,IF(Input!$G51=90,(V21+M49)/4,IF(Input!$G51=120,(V21+M49)/3,IF(Input!$G51=150,(V21+M49)*0.416667,(V21+M49)/2))))))</f>
        <v>0</v>
      </c>
      <c r="E49" s="33">
        <f>+IF(Input!$G51=0,0,IF(Input!$G51=30,(W21+N49)/12,IF(Input!$G51=60,(W21+N49)/6,IF(Input!$G51=90,(W21+N49)/4,IF(Input!$G51=120,(W21+N49)/3,IF(Input!$G51=150,(W21+N49)*0.416667,(W21+N49)/2))))))</f>
        <v>0</v>
      </c>
      <c r="F49" s="33">
        <f>+IF(Input!$G51=0,0,IF(Input!$G51=30,(X21+O49)/12,IF(Input!$G51=60,(X21+O49)/6,IF(Input!$G51=90,(X21+O49)/4,IF(Input!$G51=120,(X21+O49)/3,IF(Input!$G51=150,(X21+O49)*0.416667,(X21+O49)/2))))))</f>
        <v>0</v>
      </c>
      <c r="G49" s="33">
        <f>+IF(Input!$G51=0,0,IF(Input!$G51=30,(Y21+P49)/12,IF(Input!$G51=60,(Y21+P49)/6,IF(Input!$G51=90,(Y21+P49)/4,IF(Input!$G51=120,(Y21+P49)/3,IF(Input!$G51=150,(Y21+P49)*0.416667,(Y21+P49)/2))))))</f>
        <v>0</v>
      </c>
      <c r="H49" s="33">
        <f>+IF(Input!$G51=0,0,IF(Input!$G51=30,(Z21+Q49)/12,IF(Input!$G51=60,(Z21+Q49)/6,IF(Input!$G51=90,(Z21+Q49)/4,IF(Input!$G51=120,(Z21+Q49)/3,IF(Input!$G51=150,(Z21+Q49)*0.416667,(Z21+Q49)/2))))))</f>
        <v>0</v>
      </c>
      <c r="I49" s="15"/>
      <c r="K49" s="16"/>
      <c r="L49" s="17" t="str">
        <f t="shared" si="15"/>
        <v>Mp xTipologia 4</v>
      </c>
      <c r="M49" s="33">
        <f>+MCL!V21*Input!$E51</f>
        <v>0</v>
      </c>
      <c r="N49" s="33">
        <f>+MCL!W21*Input!$E51</f>
        <v>0</v>
      </c>
      <c r="O49" s="33">
        <f>+MCL!X21*Input!$E51</f>
        <v>0</v>
      </c>
      <c r="P49" s="33">
        <f>+MCL!Y21*Input!$E51</f>
        <v>0</v>
      </c>
      <c r="Q49" s="33">
        <f>+MCL!Z21*Input!$E51</f>
        <v>0</v>
      </c>
      <c r="R49" s="15"/>
      <c r="T49" s="16"/>
      <c r="U49" s="17" t="str">
        <f t="shared" si="16"/>
        <v>Mp xTipologia 4</v>
      </c>
      <c r="V49" s="33">
        <f t="shared" si="17"/>
        <v>0</v>
      </c>
      <c r="W49" s="33">
        <f t="shared" si="10"/>
        <v>0</v>
      </c>
      <c r="X49" s="33">
        <f t="shared" si="11"/>
        <v>0</v>
      </c>
      <c r="Y49" s="33">
        <f t="shared" si="12"/>
        <v>0</v>
      </c>
      <c r="Z49" s="33">
        <f t="shared" si="13"/>
        <v>0</v>
      </c>
      <c r="AA49" s="15"/>
    </row>
    <row r="50" spans="2:27" ht="15">
      <c r="B50" s="16"/>
      <c r="C50" s="17" t="str">
        <f t="shared" si="14"/>
        <v>Mp xTipologia 5</v>
      </c>
      <c r="D50" s="33">
        <f>+IF(Input!$G52=0,0,IF(Input!$G52=30,(V22+M50)/12,IF(Input!$G52=60,(V22+M50)/6,IF(Input!$G52=90,(V22+M50)/4,IF(Input!$G52=120,(V22+M50)/3,IF(Input!$G52=150,(V22+M50)*0.416667,(V22+M50)/2))))))</f>
        <v>0</v>
      </c>
      <c r="E50" s="33">
        <f>+IF(Input!$G52=0,0,IF(Input!$G52=30,(W22+N50)/12,IF(Input!$G52=60,(W22+N50)/6,IF(Input!$G52=90,(W22+N50)/4,IF(Input!$G52=120,(W22+N50)/3,IF(Input!$G52=150,(W22+N50)*0.416667,(W22+N50)/2))))))</f>
        <v>0</v>
      </c>
      <c r="F50" s="33">
        <f>+IF(Input!$G52=0,0,IF(Input!$G52=30,(X22+O50)/12,IF(Input!$G52=60,(X22+O50)/6,IF(Input!$G52=90,(X22+O50)/4,IF(Input!$G52=120,(X22+O50)/3,IF(Input!$G52=150,(X22+O50)*0.416667,(X22+O50)/2))))))</f>
        <v>0</v>
      </c>
      <c r="G50" s="33">
        <f>+IF(Input!$G52=0,0,IF(Input!$G52=30,(Y22+P50)/12,IF(Input!$G52=60,(Y22+P50)/6,IF(Input!$G52=90,(Y22+P50)/4,IF(Input!$G52=120,(Y22+P50)/3,IF(Input!$G52=150,(Y22+P50)*0.416667,(Y22+P50)/2))))))</f>
        <v>0</v>
      </c>
      <c r="H50" s="33">
        <f>+IF(Input!$G52=0,0,IF(Input!$G52=30,(Z22+Q50)/12,IF(Input!$G52=60,(Z22+Q50)/6,IF(Input!$G52=90,(Z22+Q50)/4,IF(Input!$G52=120,(Z22+Q50)/3,IF(Input!$G52=150,(Z22+Q50)*0.416667,(Z22+Q50)/2))))))</f>
        <v>0</v>
      </c>
      <c r="I50" s="15"/>
      <c r="K50" s="16"/>
      <c r="L50" s="17" t="str">
        <f t="shared" si="15"/>
        <v>Mp xTipologia 5</v>
      </c>
      <c r="M50" s="33">
        <f>+MCL!V22*Input!$E52</f>
        <v>0</v>
      </c>
      <c r="N50" s="33">
        <f>+MCL!W22*Input!$E52</f>
        <v>0</v>
      </c>
      <c r="O50" s="33">
        <f>+MCL!X22*Input!$E52</f>
        <v>0</v>
      </c>
      <c r="P50" s="33">
        <f>+MCL!Y22*Input!$E52</f>
        <v>0</v>
      </c>
      <c r="Q50" s="33">
        <f>+MCL!Z22*Input!$E52</f>
        <v>0</v>
      </c>
      <c r="R50" s="15"/>
      <c r="T50" s="16"/>
      <c r="U50" s="17" t="str">
        <f t="shared" si="16"/>
        <v>Mp xTipologia 5</v>
      </c>
      <c r="V50" s="33">
        <f t="shared" si="17"/>
        <v>0</v>
      </c>
      <c r="W50" s="33">
        <f t="shared" si="10"/>
        <v>0</v>
      </c>
      <c r="X50" s="33">
        <f t="shared" si="11"/>
        <v>0</v>
      </c>
      <c r="Y50" s="33">
        <f t="shared" si="12"/>
        <v>0</v>
      </c>
      <c r="Z50" s="33">
        <f t="shared" si="13"/>
        <v>0</v>
      </c>
      <c r="AA50" s="15"/>
    </row>
    <row r="51" spans="2:27" ht="15">
      <c r="B51" s="16"/>
      <c r="C51" s="17" t="str">
        <f t="shared" si="14"/>
        <v>Mp xTipologia 6</v>
      </c>
      <c r="D51" s="33">
        <f>+IF(Input!$G53=0,0,IF(Input!$G53=30,(V23+M51)/12,IF(Input!$G53=60,(V23+M51)/6,IF(Input!$G53=90,(V23+M51)/4,IF(Input!$G53=120,(V23+M51)/3,IF(Input!$G53=150,(V23+M51)*0.416667,(V23+M51)/2))))))</f>
        <v>0</v>
      </c>
      <c r="E51" s="33">
        <f>+IF(Input!$G53=0,0,IF(Input!$G53=30,(W23+N51)/12,IF(Input!$G53=60,(W23+N51)/6,IF(Input!$G53=90,(W23+N51)/4,IF(Input!$G53=120,(W23+N51)/3,IF(Input!$G53=150,(W23+N51)*0.416667,(W23+N51)/2))))))</f>
        <v>0</v>
      </c>
      <c r="F51" s="33">
        <f>+IF(Input!$G53=0,0,IF(Input!$G53=30,(X23+O51)/12,IF(Input!$G53=60,(X23+O51)/6,IF(Input!$G53=90,(X23+O51)/4,IF(Input!$G53=120,(X23+O51)/3,IF(Input!$G53=150,(X23+O51)*0.416667,(X23+O51)/2))))))</f>
        <v>0</v>
      </c>
      <c r="G51" s="33">
        <f>+IF(Input!$G53=0,0,IF(Input!$G53=30,(Y23+P51)/12,IF(Input!$G53=60,(Y23+P51)/6,IF(Input!$G53=90,(Y23+P51)/4,IF(Input!$G53=120,(Y23+P51)/3,IF(Input!$G53=150,(Y23+P51)*0.416667,(Y23+P51)/2))))))</f>
        <v>0</v>
      </c>
      <c r="H51" s="33">
        <f>+IF(Input!$G53=0,0,IF(Input!$G53=30,(Z23+Q51)/12,IF(Input!$G53=60,(Z23+Q51)/6,IF(Input!$G53=90,(Z23+Q51)/4,IF(Input!$G53=120,(Z23+Q51)/3,IF(Input!$G53=150,(Z23+Q51)*0.416667,(Z23+Q51)/2))))))</f>
        <v>0</v>
      </c>
      <c r="I51" s="15"/>
      <c r="K51" s="16"/>
      <c r="L51" s="17" t="str">
        <f t="shared" si="15"/>
        <v>Mp xTipologia 6</v>
      </c>
      <c r="M51" s="33">
        <f>+MCL!V23*Input!$E53</f>
        <v>0</v>
      </c>
      <c r="N51" s="33">
        <f>+MCL!W23*Input!$E53</f>
        <v>0</v>
      </c>
      <c r="O51" s="33">
        <f>+MCL!X23*Input!$E53</f>
        <v>0</v>
      </c>
      <c r="P51" s="33">
        <f>+MCL!Y23*Input!$E53</f>
        <v>0</v>
      </c>
      <c r="Q51" s="33">
        <f>+MCL!Z23*Input!$E53</f>
        <v>0</v>
      </c>
      <c r="R51" s="15"/>
      <c r="T51" s="16"/>
      <c r="U51" s="17" t="str">
        <f t="shared" si="16"/>
        <v>Mp xTipologia 6</v>
      </c>
      <c r="V51" s="33">
        <f t="shared" si="17"/>
        <v>0</v>
      </c>
      <c r="W51" s="33">
        <f t="shared" si="10"/>
        <v>0</v>
      </c>
      <c r="X51" s="33">
        <f t="shared" si="11"/>
        <v>0</v>
      </c>
      <c r="Y51" s="33">
        <f t="shared" si="12"/>
        <v>0</v>
      </c>
      <c r="Z51" s="33">
        <f t="shared" si="13"/>
        <v>0</v>
      </c>
      <c r="AA51" s="15"/>
    </row>
    <row r="52" spans="2:27" ht="15">
      <c r="B52" s="16"/>
      <c r="C52" s="17" t="str">
        <f t="shared" si="14"/>
        <v>Mp xTipologia 7</v>
      </c>
      <c r="D52" s="33">
        <f>+IF(Input!$G54=0,0,IF(Input!$G54=30,(V24+M52)/12,IF(Input!$G54=60,(V24+M52)/6,IF(Input!$G54=90,(V24+M52)/4,IF(Input!$G54=120,(V24+M52)/3,IF(Input!$G54=150,(V24+M52)*0.416667,(V24+M52)/2))))))</f>
        <v>0</v>
      </c>
      <c r="E52" s="33">
        <f>+IF(Input!$G54=0,0,IF(Input!$G54=30,(W24+N52)/12,IF(Input!$G54=60,(W24+N52)/6,IF(Input!$G54=90,(W24+N52)/4,IF(Input!$G54=120,(W24+N52)/3,IF(Input!$G54=150,(W24+N52)*0.416667,(W24+N52)/2))))))</f>
        <v>0</v>
      </c>
      <c r="F52" s="33">
        <f>+IF(Input!$G54=0,0,IF(Input!$G54=30,(X24+O52)/12,IF(Input!$G54=60,(X24+O52)/6,IF(Input!$G54=90,(X24+O52)/4,IF(Input!$G54=120,(X24+O52)/3,IF(Input!$G54=150,(X24+O52)*0.416667,(X24+O52)/2))))))</f>
        <v>0</v>
      </c>
      <c r="G52" s="33">
        <f>+IF(Input!$G54=0,0,IF(Input!$G54=30,(Y24+P52)/12,IF(Input!$G54=60,(Y24+P52)/6,IF(Input!$G54=90,(Y24+P52)/4,IF(Input!$G54=120,(Y24+P52)/3,IF(Input!$G54=150,(Y24+P52)*0.416667,(Y24+P52)/2))))))</f>
        <v>0</v>
      </c>
      <c r="H52" s="33">
        <f>+IF(Input!$G54=0,0,IF(Input!$G54=30,(Z24+Q52)/12,IF(Input!$G54=60,(Z24+Q52)/6,IF(Input!$G54=90,(Z24+Q52)/4,IF(Input!$G54=120,(Z24+Q52)/3,IF(Input!$G54=150,(Z24+Q52)*0.416667,(Z24+Q52)/2))))))</f>
        <v>0</v>
      </c>
      <c r="I52" s="15"/>
      <c r="K52" s="16"/>
      <c r="L52" s="17" t="str">
        <f t="shared" si="15"/>
        <v>Mp xTipologia 7</v>
      </c>
      <c r="M52" s="33">
        <f>+MCL!V24*Input!$E54</f>
        <v>0</v>
      </c>
      <c r="N52" s="33">
        <f>+MCL!W24*Input!$E54</f>
        <v>0</v>
      </c>
      <c r="O52" s="33">
        <f>+MCL!X24*Input!$E54</f>
        <v>0</v>
      </c>
      <c r="P52" s="33">
        <f>+MCL!Y24*Input!$E54</f>
        <v>0</v>
      </c>
      <c r="Q52" s="33">
        <f>+MCL!Z24*Input!$E54</f>
        <v>0</v>
      </c>
      <c r="R52" s="15"/>
      <c r="T52" s="16"/>
      <c r="U52" s="17" t="str">
        <f t="shared" si="16"/>
        <v>Mp xTipologia 7</v>
      </c>
      <c r="V52" s="33">
        <f t="shared" si="17"/>
        <v>0</v>
      </c>
      <c r="W52" s="33">
        <f t="shared" si="10"/>
        <v>0</v>
      </c>
      <c r="X52" s="33">
        <f t="shared" si="11"/>
        <v>0</v>
      </c>
      <c r="Y52" s="33">
        <f t="shared" si="12"/>
        <v>0</v>
      </c>
      <c r="Z52" s="33">
        <f t="shared" si="13"/>
        <v>0</v>
      </c>
      <c r="AA52" s="15"/>
    </row>
    <row r="53" spans="2:27" ht="15">
      <c r="B53" s="16"/>
      <c r="C53" s="17" t="str">
        <f t="shared" si="14"/>
        <v>Mp xTipologia 8</v>
      </c>
      <c r="D53" s="33">
        <f>+IF(Input!$G55=0,0,IF(Input!$G55=30,(V25+M53)/12,IF(Input!$G55=60,(V25+M53)/6,IF(Input!$G55=90,(V25+M53)/4,IF(Input!$G55=120,(V25+M53)/3,IF(Input!$G55=150,(V25+M53)*0.416667,(V25+M53)/2))))))</f>
        <v>0</v>
      </c>
      <c r="E53" s="33">
        <f>+IF(Input!$G55=0,0,IF(Input!$G55=30,(W25+N53)/12,IF(Input!$G55=60,(W25+N53)/6,IF(Input!$G55=90,(W25+N53)/4,IF(Input!$G55=120,(W25+N53)/3,IF(Input!$G55=150,(W25+N53)*0.416667,(W25+N53)/2))))))</f>
        <v>0</v>
      </c>
      <c r="F53" s="33">
        <f>+IF(Input!$G55=0,0,IF(Input!$G55=30,(X25+O53)/12,IF(Input!$G55=60,(X25+O53)/6,IF(Input!$G55=90,(X25+O53)/4,IF(Input!$G55=120,(X25+O53)/3,IF(Input!$G55=150,(X25+O53)*0.416667,(X25+O53)/2))))))</f>
        <v>0</v>
      </c>
      <c r="G53" s="33">
        <f>+IF(Input!$G55=0,0,IF(Input!$G55=30,(Y25+P53)/12,IF(Input!$G55=60,(Y25+P53)/6,IF(Input!$G55=90,(Y25+P53)/4,IF(Input!$G55=120,(Y25+P53)/3,IF(Input!$G55=150,(Y25+P53)*0.416667,(Y25+P53)/2))))))</f>
        <v>0</v>
      </c>
      <c r="H53" s="33">
        <f>+IF(Input!$G55=0,0,IF(Input!$G55=30,(Z25+Q53)/12,IF(Input!$G55=60,(Z25+Q53)/6,IF(Input!$G55=90,(Z25+Q53)/4,IF(Input!$G55=120,(Z25+Q53)/3,IF(Input!$G55=150,(Z25+Q53)*0.416667,(Z25+Q53)/2))))))</f>
        <v>0</v>
      </c>
      <c r="I53" s="15"/>
      <c r="K53" s="16"/>
      <c r="L53" s="17" t="str">
        <f t="shared" si="15"/>
        <v>Mp xTipologia 8</v>
      </c>
      <c r="M53" s="33">
        <f>+MCL!V25*Input!$E55</f>
        <v>0</v>
      </c>
      <c r="N53" s="33">
        <f>+MCL!W25*Input!$E55</f>
        <v>0</v>
      </c>
      <c r="O53" s="33">
        <f>+MCL!X25*Input!$E55</f>
        <v>0</v>
      </c>
      <c r="P53" s="33">
        <f>+MCL!Y25*Input!$E55</f>
        <v>0</v>
      </c>
      <c r="Q53" s="33">
        <f>+MCL!Z25*Input!$E55</f>
        <v>0</v>
      </c>
      <c r="R53" s="15"/>
      <c r="T53" s="16"/>
      <c r="U53" s="17" t="str">
        <f t="shared" si="16"/>
        <v>Mp xTipologia 8</v>
      </c>
      <c r="V53" s="33">
        <f t="shared" si="17"/>
        <v>0</v>
      </c>
      <c r="W53" s="33">
        <f t="shared" si="10"/>
        <v>0</v>
      </c>
      <c r="X53" s="33">
        <f t="shared" si="11"/>
        <v>0</v>
      </c>
      <c r="Y53" s="33">
        <f t="shared" si="12"/>
        <v>0</v>
      </c>
      <c r="Z53" s="33">
        <f t="shared" si="13"/>
        <v>0</v>
      </c>
      <c r="AA53" s="15"/>
    </row>
    <row r="54" spans="2:27" ht="15">
      <c r="B54" s="16"/>
      <c r="C54" s="17" t="str">
        <f t="shared" si="14"/>
        <v>Mp xTipologia 9</v>
      </c>
      <c r="D54" s="33">
        <f>+IF(Input!$G56=0,0,IF(Input!$G56=30,(V26+M54)/12,IF(Input!$G56=60,(V26+M54)/6,IF(Input!$G56=90,(V26+M54)/4,IF(Input!$G56=120,(V26+M54)/3,IF(Input!$G56=150,(V26+M54)*0.416667,(V26+M54)/2))))))</f>
        <v>0</v>
      </c>
      <c r="E54" s="33">
        <f>+IF(Input!$G56=0,0,IF(Input!$G56=30,(W26+N54)/12,IF(Input!$G56=60,(W26+N54)/6,IF(Input!$G56=90,(W26+N54)/4,IF(Input!$G56=120,(W26+N54)/3,IF(Input!$G56=150,(W26+N54)*0.416667,(W26+N54)/2))))))</f>
        <v>0</v>
      </c>
      <c r="F54" s="33">
        <f>+IF(Input!$G56=0,0,IF(Input!$G56=30,(X26+O54)/12,IF(Input!$G56=60,(X26+O54)/6,IF(Input!$G56=90,(X26+O54)/4,IF(Input!$G56=120,(X26+O54)/3,IF(Input!$G56=150,(X26+O54)*0.416667,(X26+O54)/2))))))</f>
        <v>0</v>
      </c>
      <c r="G54" s="33">
        <f>+IF(Input!$G56=0,0,IF(Input!$G56=30,(Y26+P54)/12,IF(Input!$G56=60,(Y26+P54)/6,IF(Input!$G56=90,(Y26+P54)/4,IF(Input!$G56=120,(Y26+P54)/3,IF(Input!$G56=150,(Y26+P54)*0.416667,(Y26+P54)/2))))))</f>
        <v>0</v>
      </c>
      <c r="H54" s="33">
        <f>+IF(Input!$G56=0,0,IF(Input!$G56=30,(Z26+Q54)/12,IF(Input!$G56=60,(Z26+Q54)/6,IF(Input!$G56=90,(Z26+Q54)/4,IF(Input!$G56=120,(Z26+Q54)/3,IF(Input!$G56=150,(Z26+Q54)*0.416667,(Z26+Q54)/2))))))</f>
        <v>0</v>
      </c>
      <c r="I54" s="15"/>
      <c r="K54" s="16"/>
      <c r="L54" s="17" t="str">
        <f t="shared" si="15"/>
        <v>Mp xTipologia 9</v>
      </c>
      <c r="M54" s="33">
        <f>+MCL!V26*Input!$E56</f>
        <v>0</v>
      </c>
      <c r="N54" s="33">
        <f>+MCL!W26*Input!$E56</f>
        <v>0</v>
      </c>
      <c r="O54" s="33">
        <f>+MCL!X26*Input!$E56</f>
        <v>0</v>
      </c>
      <c r="P54" s="33">
        <f>+MCL!Y26*Input!$E56</f>
        <v>0</v>
      </c>
      <c r="Q54" s="33">
        <f>+MCL!Z26*Input!$E56</f>
        <v>0</v>
      </c>
      <c r="R54" s="15"/>
      <c r="T54" s="16"/>
      <c r="U54" s="17" t="str">
        <f t="shared" si="16"/>
        <v>Mp xTipologia 9</v>
      </c>
      <c r="V54" s="33">
        <f t="shared" si="17"/>
        <v>0</v>
      </c>
      <c r="W54" s="33">
        <f t="shared" si="10"/>
        <v>0</v>
      </c>
      <c r="X54" s="33">
        <f t="shared" si="11"/>
        <v>0</v>
      </c>
      <c r="Y54" s="33">
        <f t="shared" si="12"/>
        <v>0</v>
      </c>
      <c r="Z54" s="33">
        <f t="shared" si="13"/>
        <v>0</v>
      </c>
      <c r="AA54" s="15"/>
    </row>
    <row r="55" spans="2:27" ht="15">
      <c r="B55" s="16"/>
      <c r="C55" s="12" t="s">
        <v>26</v>
      </c>
      <c r="D55" s="34">
        <f>SUM(D46:D54)</f>
        <v>28737.500000000004</v>
      </c>
      <c r="E55" s="34">
        <f>SUM(E46:E54)</f>
        <v>33766.56250000001</v>
      </c>
      <c r="F55" s="34">
        <f>SUM(F46:F54)</f>
        <v>42531.50000000001</v>
      </c>
      <c r="G55" s="34">
        <f>SUM(G46:G54)</f>
        <v>40778.512500000004</v>
      </c>
      <c r="H55" s="34">
        <f>SUM(H46:H54)</f>
        <v>41554.42500000001</v>
      </c>
      <c r="I55" s="15"/>
      <c r="K55" s="16"/>
      <c r="L55" s="12" t="s">
        <v>25</v>
      </c>
      <c r="M55" s="34">
        <f>SUM(M46:M54)</f>
        <v>29925.000000000004</v>
      </c>
      <c r="N55" s="34">
        <f>SUM(N46:N54)</f>
        <v>35161.87500000001</v>
      </c>
      <c r="O55" s="34">
        <f>SUM(O46:O54)</f>
        <v>44289.00000000001</v>
      </c>
      <c r="P55" s="34">
        <f>SUM(P46:P54)</f>
        <v>42463.575000000004</v>
      </c>
      <c r="Q55" s="34">
        <f>SUM(Q46:Q54)</f>
        <v>43271.55</v>
      </c>
      <c r="R55" s="15"/>
      <c r="T55" s="16"/>
      <c r="U55" s="12" t="s">
        <v>371</v>
      </c>
      <c r="V55" s="34">
        <f>SUM(V46:V54)</f>
        <v>2493.7500000000005</v>
      </c>
      <c r="W55" s="34">
        <f>SUM(W46:W54)</f>
        <v>2930.1562500000005</v>
      </c>
      <c r="X55" s="34">
        <f>SUM(X46:X54)</f>
        <v>3690.7500000000005</v>
      </c>
      <c r="Y55" s="34">
        <f>SUM(Y46:Y54)</f>
        <v>3538.6312500000004</v>
      </c>
      <c r="Z55" s="34">
        <f>SUM(Z46:Z54)</f>
        <v>3605.9625</v>
      </c>
      <c r="AA55" s="15"/>
    </row>
    <row r="56" spans="2:27" ht="15.75" thickBot="1">
      <c r="B56" s="18"/>
      <c r="C56" s="19"/>
      <c r="D56" s="19"/>
      <c r="E56" s="19"/>
      <c r="F56" s="19"/>
      <c r="G56" s="19"/>
      <c r="H56" s="19"/>
      <c r="I56" s="20"/>
      <c r="K56" s="18"/>
      <c r="L56" s="19"/>
      <c r="M56" s="19"/>
      <c r="N56" s="19"/>
      <c r="O56" s="19"/>
      <c r="P56" s="19"/>
      <c r="Q56" s="19"/>
      <c r="R56" s="20"/>
      <c r="T56" s="18"/>
      <c r="U56" s="19"/>
      <c r="V56" s="19"/>
      <c r="W56" s="19"/>
      <c r="X56" s="19"/>
      <c r="Y56" s="19"/>
      <c r="Z56" s="19"/>
      <c r="AA56" s="20"/>
    </row>
    <row r="57" ht="15.75" thickBot="1"/>
    <row r="58" spans="2:18" ht="15">
      <c r="B58" s="8"/>
      <c r="C58" s="9"/>
      <c r="D58" s="9"/>
      <c r="E58" s="9"/>
      <c r="F58" s="9"/>
      <c r="G58" s="9"/>
      <c r="H58" s="9"/>
      <c r="I58" s="10"/>
      <c r="K58" s="8"/>
      <c r="L58" s="9"/>
      <c r="M58" s="9"/>
      <c r="N58" s="9"/>
      <c r="O58" s="9"/>
      <c r="P58" s="9"/>
      <c r="Q58" s="9"/>
      <c r="R58" s="10"/>
    </row>
    <row r="59" spans="2:18" ht="15">
      <c r="B59" s="16"/>
      <c r="C59" s="37" t="s">
        <v>35</v>
      </c>
      <c r="D59" s="13" t="str">
        <f>+D45</f>
        <v>Anno 1</v>
      </c>
      <c r="E59" s="13" t="str">
        <f>+E45</f>
        <v>Anno 2</v>
      </c>
      <c r="F59" s="13" t="str">
        <f>+F45</f>
        <v>Anno 3</v>
      </c>
      <c r="G59" s="13" t="str">
        <f>+G45</f>
        <v>Anno 4</v>
      </c>
      <c r="H59" s="13" t="str">
        <f>+H45</f>
        <v>Anno 5</v>
      </c>
      <c r="I59" s="15"/>
      <c r="K59" s="16"/>
      <c r="L59" s="37" t="s">
        <v>37</v>
      </c>
      <c r="M59" s="13" t="str">
        <f>+M45</f>
        <v>Anno 1</v>
      </c>
      <c r="N59" s="13" t="str">
        <f>+N45</f>
        <v>Anno 2</v>
      </c>
      <c r="O59" s="13" t="str">
        <f>+O45</f>
        <v>Anno 3</v>
      </c>
      <c r="P59" s="13" t="str">
        <f>+P45</f>
        <v>Anno 4</v>
      </c>
      <c r="Q59" s="13" t="str">
        <f>+Q45</f>
        <v>Anno 5</v>
      </c>
      <c r="R59" s="15"/>
    </row>
    <row r="60" spans="2:18" ht="15">
      <c r="B60" s="16"/>
      <c r="C60" s="17" t="str">
        <f>+C46</f>
        <v>Mp xTipologia 1</v>
      </c>
      <c r="D60" s="33">
        <f>+D4+MCL!M32-MCL!D32</f>
        <v>242000</v>
      </c>
      <c r="E60" s="33">
        <f>+E4+MCL!N32-MCL!E32+D32</f>
        <v>332750</v>
      </c>
      <c r="F60" s="33">
        <f>+F4+MCL!O32-MCL!F32+E32</f>
        <v>424710</v>
      </c>
      <c r="G60" s="33">
        <f>+G4+MCL!P32-MCL!G32+F32</f>
        <v>428340</v>
      </c>
      <c r="H60" s="33">
        <f>+H4+MCL!Q32-MCL!H32+G32</f>
        <v>435600</v>
      </c>
      <c r="I60" s="15"/>
      <c r="K60" s="16"/>
      <c r="L60" s="17" t="str">
        <f>+L46</f>
        <v>Mp xTipologia 1</v>
      </c>
      <c r="M60" s="33">
        <f>+V18+M46-D46</f>
        <v>143687.50000000003</v>
      </c>
      <c r="N60" s="33">
        <f>+W18+N46-E46+D46</f>
        <v>197570.31250000003</v>
      </c>
      <c r="O60" s="33">
        <f aca="true" t="shared" si="18" ref="O60:Q68">+X18+O46-F46+E46</f>
        <v>246424.06250000003</v>
      </c>
      <c r="P60" s="33">
        <f t="shared" si="18"/>
        <v>246424.06250000003</v>
      </c>
      <c r="Q60" s="33">
        <f t="shared" si="18"/>
        <v>248550.63750000004</v>
      </c>
      <c r="R60" s="15"/>
    </row>
    <row r="61" spans="2:18" ht="15">
      <c r="B61" s="16"/>
      <c r="C61" s="17" t="str">
        <f aca="true" t="shared" si="19" ref="C61:C68">+C47</f>
        <v>Mp xTipologia 2</v>
      </c>
      <c r="D61" s="33">
        <f>+D5+MCL!M33-MCL!D33</f>
        <v>0</v>
      </c>
      <c r="E61" s="33">
        <f>+E5+MCL!N33-MCL!E33</f>
        <v>0</v>
      </c>
      <c r="F61" s="33">
        <f>+F5+MCL!O33-MCL!F33</f>
        <v>0</v>
      </c>
      <c r="G61" s="33">
        <f>+G5+MCL!P33-MCL!G33</f>
        <v>0</v>
      </c>
      <c r="H61" s="33">
        <f>+H5+MCL!Q33-MCL!H33</f>
        <v>0</v>
      </c>
      <c r="I61" s="15"/>
      <c r="K61" s="16"/>
      <c r="L61" s="17" t="str">
        <f aca="true" t="shared" si="20" ref="L61:L68">+L47</f>
        <v>Mp xTipologia 2</v>
      </c>
      <c r="M61" s="33">
        <f aca="true" t="shared" si="21" ref="M61:M68">+V19+M47-D47</f>
        <v>0</v>
      </c>
      <c r="N61" s="33">
        <f aca="true" t="shared" si="22" ref="N61:N68">+W19+N47-E47+D47</f>
        <v>0</v>
      </c>
      <c r="O61" s="33">
        <f t="shared" si="18"/>
        <v>0</v>
      </c>
      <c r="P61" s="33">
        <f t="shared" si="18"/>
        <v>0</v>
      </c>
      <c r="Q61" s="33">
        <f t="shared" si="18"/>
        <v>0</v>
      </c>
      <c r="R61" s="15"/>
    </row>
    <row r="62" spans="2:18" ht="15">
      <c r="B62" s="16"/>
      <c r="C62" s="17" t="str">
        <f t="shared" si="19"/>
        <v>Mp xTipologia 3</v>
      </c>
      <c r="D62" s="33">
        <f>+D6+MCL!M34-MCL!D34</f>
        <v>0</v>
      </c>
      <c r="E62" s="33">
        <f>+E6+MCL!N34-MCL!E34</f>
        <v>0</v>
      </c>
      <c r="F62" s="33">
        <f>+F6+MCL!O34-MCL!F34</f>
        <v>0</v>
      </c>
      <c r="G62" s="33">
        <f>+G6+MCL!P34-MCL!G34</f>
        <v>0</v>
      </c>
      <c r="H62" s="33">
        <f>+H6+MCL!Q34-MCL!H34</f>
        <v>0</v>
      </c>
      <c r="I62" s="15"/>
      <c r="K62" s="16"/>
      <c r="L62" s="17" t="str">
        <f t="shared" si="20"/>
        <v>Mp xTipologia 3</v>
      </c>
      <c r="M62" s="33">
        <f t="shared" si="21"/>
        <v>0</v>
      </c>
      <c r="N62" s="33">
        <f t="shared" si="22"/>
        <v>0</v>
      </c>
      <c r="O62" s="33">
        <f t="shared" si="18"/>
        <v>0</v>
      </c>
      <c r="P62" s="33">
        <f t="shared" si="18"/>
        <v>0</v>
      </c>
      <c r="Q62" s="33">
        <f t="shared" si="18"/>
        <v>0</v>
      </c>
      <c r="R62" s="15"/>
    </row>
    <row r="63" spans="2:18" ht="15">
      <c r="B63" s="16"/>
      <c r="C63" s="17" t="str">
        <f t="shared" si="19"/>
        <v>Mp xTipologia 4</v>
      </c>
      <c r="D63" s="33">
        <f>+D7+MCL!M35-MCL!D35</f>
        <v>0</v>
      </c>
      <c r="E63" s="33">
        <f>+E7+MCL!N35-MCL!E35</f>
        <v>0</v>
      </c>
      <c r="F63" s="33">
        <f>+F7+MCL!O35-MCL!F35</f>
        <v>0</v>
      </c>
      <c r="G63" s="33">
        <f>+G7+MCL!P35-MCL!G35</f>
        <v>0</v>
      </c>
      <c r="H63" s="33">
        <f>+H7+MCL!Q35-MCL!H35</f>
        <v>0</v>
      </c>
      <c r="I63" s="15"/>
      <c r="K63" s="16"/>
      <c r="L63" s="17" t="str">
        <f t="shared" si="20"/>
        <v>Mp xTipologia 4</v>
      </c>
      <c r="M63" s="33">
        <f t="shared" si="21"/>
        <v>0</v>
      </c>
      <c r="N63" s="33">
        <f t="shared" si="22"/>
        <v>0</v>
      </c>
      <c r="O63" s="33">
        <f t="shared" si="18"/>
        <v>0</v>
      </c>
      <c r="P63" s="33">
        <f t="shared" si="18"/>
        <v>0</v>
      </c>
      <c r="Q63" s="33">
        <f t="shared" si="18"/>
        <v>0</v>
      </c>
      <c r="R63" s="15"/>
    </row>
    <row r="64" spans="2:18" ht="15">
      <c r="B64" s="16"/>
      <c r="C64" s="17" t="str">
        <f t="shared" si="19"/>
        <v>Mp xTipologia 5</v>
      </c>
      <c r="D64" s="33">
        <f>+D8+MCL!M36-MCL!D36</f>
        <v>0</v>
      </c>
      <c r="E64" s="33">
        <f>+E8+MCL!N36-MCL!E36</f>
        <v>0</v>
      </c>
      <c r="F64" s="33">
        <f>+F8+MCL!O36-MCL!F36</f>
        <v>0</v>
      </c>
      <c r="G64" s="33">
        <f>+G8+MCL!P36-MCL!G36</f>
        <v>0</v>
      </c>
      <c r="H64" s="33">
        <f>+H8+MCL!Q36-MCL!H36</f>
        <v>0</v>
      </c>
      <c r="I64" s="15"/>
      <c r="K64" s="16"/>
      <c r="L64" s="17" t="str">
        <f t="shared" si="20"/>
        <v>Mp xTipologia 5</v>
      </c>
      <c r="M64" s="33">
        <f t="shared" si="21"/>
        <v>0</v>
      </c>
      <c r="N64" s="33">
        <f t="shared" si="22"/>
        <v>0</v>
      </c>
      <c r="O64" s="33">
        <f t="shared" si="18"/>
        <v>0</v>
      </c>
      <c r="P64" s="33">
        <f t="shared" si="18"/>
        <v>0</v>
      </c>
      <c r="Q64" s="33">
        <f t="shared" si="18"/>
        <v>0</v>
      </c>
      <c r="R64" s="15"/>
    </row>
    <row r="65" spans="2:18" ht="15">
      <c r="B65" s="16"/>
      <c r="C65" s="17" t="str">
        <f t="shared" si="19"/>
        <v>Mp xTipologia 6</v>
      </c>
      <c r="D65" s="33">
        <f>+D9+MCL!M37-MCL!D37</f>
        <v>0</v>
      </c>
      <c r="E65" s="33">
        <f>+E9+MCL!N37-MCL!E37</f>
        <v>0</v>
      </c>
      <c r="F65" s="33">
        <f>+F9+MCL!O37-MCL!F37</f>
        <v>0</v>
      </c>
      <c r="G65" s="33">
        <f>+G9+MCL!P37-MCL!G37</f>
        <v>0</v>
      </c>
      <c r="H65" s="33">
        <f>+H9+MCL!Q37-MCL!H37</f>
        <v>0</v>
      </c>
      <c r="I65" s="15"/>
      <c r="K65" s="16"/>
      <c r="L65" s="17" t="str">
        <f t="shared" si="20"/>
        <v>Mp xTipologia 6</v>
      </c>
      <c r="M65" s="33">
        <f t="shared" si="21"/>
        <v>0</v>
      </c>
      <c r="N65" s="33">
        <f t="shared" si="22"/>
        <v>0</v>
      </c>
      <c r="O65" s="33">
        <f t="shared" si="18"/>
        <v>0</v>
      </c>
      <c r="P65" s="33">
        <f t="shared" si="18"/>
        <v>0</v>
      </c>
      <c r="Q65" s="33">
        <f t="shared" si="18"/>
        <v>0</v>
      </c>
      <c r="R65" s="15"/>
    </row>
    <row r="66" spans="2:18" ht="15">
      <c r="B66" s="16"/>
      <c r="C66" s="17" t="str">
        <f t="shared" si="19"/>
        <v>Mp xTipologia 7</v>
      </c>
      <c r="D66" s="33">
        <f>+D10+MCL!M38-MCL!D38</f>
        <v>0</v>
      </c>
      <c r="E66" s="33">
        <f>+E10+MCL!N38-MCL!E38</f>
        <v>0</v>
      </c>
      <c r="F66" s="33">
        <f>+F10+MCL!O38-MCL!F38</f>
        <v>0</v>
      </c>
      <c r="G66" s="33">
        <f>+G10+MCL!P38-MCL!G38</f>
        <v>0</v>
      </c>
      <c r="H66" s="33">
        <f>+H10+MCL!Q38-MCL!H38</f>
        <v>0</v>
      </c>
      <c r="I66" s="15"/>
      <c r="K66" s="16"/>
      <c r="L66" s="17" t="str">
        <f t="shared" si="20"/>
        <v>Mp xTipologia 7</v>
      </c>
      <c r="M66" s="33">
        <f t="shared" si="21"/>
        <v>0</v>
      </c>
      <c r="N66" s="33">
        <f t="shared" si="22"/>
        <v>0</v>
      </c>
      <c r="O66" s="33">
        <f t="shared" si="18"/>
        <v>0</v>
      </c>
      <c r="P66" s="33">
        <f t="shared" si="18"/>
        <v>0</v>
      </c>
      <c r="Q66" s="33">
        <f t="shared" si="18"/>
        <v>0</v>
      </c>
      <c r="R66" s="15"/>
    </row>
    <row r="67" spans="2:18" ht="15">
      <c r="B67" s="16"/>
      <c r="C67" s="17" t="str">
        <f t="shared" si="19"/>
        <v>Mp xTipologia 8</v>
      </c>
      <c r="D67" s="33">
        <f>+D11+MCL!M39-MCL!D39</f>
        <v>0</v>
      </c>
      <c r="E67" s="33">
        <f>+E11+MCL!N39-MCL!E39</f>
        <v>0</v>
      </c>
      <c r="F67" s="33">
        <f>+F11+MCL!O39-MCL!F39</f>
        <v>0</v>
      </c>
      <c r="G67" s="33">
        <f>+G11+MCL!P39-MCL!G39</f>
        <v>0</v>
      </c>
      <c r="H67" s="33">
        <f>+H11+MCL!Q39-MCL!H39</f>
        <v>0</v>
      </c>
      <c r="I67" s="15"/>
      <c r="K67" s="16"/>
      <c r="L67" s="17" t="str">
        <f t="shared" si="20"/>
        <v>Mp xTipologia 8</v>
      </c>
      <c r="M67" s="33">
        <f t="shared" si="21"/>
        <v>0</v>
      </c>
      <c r="N67" s="33">
        <f t="shared" si="22"/>
        <v>0</v>
      </c>
      <c r="O67" s="33">
        <f t="shared" si="18"/>
        <v>0</v>
      </c>
      <c r="P67" s="33">
        <f t="shared" si="18"/>
        <v>0</v>
      </c>
      <c r="Q67" s="33">
        <f t="shared" si="18"/>
        <v>0</v>
      </c>
      <c r="R67" s="15"/>
    </row>
    <row r="68" spans="2:18" ht="15">
      <c r="B68" s="16"/>
      <c r="C68" s="17" t="str">
        <f t="shared" si="19"/>
        <v>Mp xTipologia 9</v>
      </c>
      <c r="D68" s="33">
        <f>+D12+MCL!M40-MCL!D40</f>
        <v>0</v>
      </c>
      <c r="E68" s="33">
        <f>+E12+MCL!N40-MCL!E40</f>
        <v>0</v>
      </c>
      <c r="F68" s="33">
        <f>+F12+MCL!O40-MCL!F40</f>
        <v>0</v>
      </c>
      <c r="G68" s="33">
        <f>+G12+MCL!P40-MCL!G40</f>
        <v>0</v>
      </c>
      <c r="H68" s="33">
        <f>+H12+MCL!Q40-MCL!H40</f>
        <v>0</v>
      </c>
      <c r="I68" s="15"/>
      <c r="K68" s="16"/>
      <c r="L68" s="17" t="str">
        <f t="shared" si="20"/>
        <v>Mp xTipologia 9</v>
      </c>
      <c r="M68" s="33">
        <f t="shared" si="21"/>
        <v>0</v>
      </c>
      <c r="N68" s="33">
        <f t="shared" si="22"/>
        <v>0</v>
      </c>
      <c r="O68" s="33">
        <f t="shared" si="18"/>
        <v>0</v>
      </c>
      <c r="P68" s="33">
        <f t="shared" si="18"/>
        <v>0</v>
      </c>
      <c r="Q68" s="33">
        <f t="shared" si="18"/>
        <v>0</v>
      </c>
      <c r="R68" s="15"/>
    </row>
    <row r="69" spans="2:18" ht="15">
      <c r="B69" s="16"/>
      <c r="C69" s="12" t="s">
        <v>36</v>
      </c>
      <c r="D69" s="34">
        <f>SUM(D60:D68)</f>
        <v>242000</v>
      </c>
      <c r="E69" s="34">
        <f>SUM(E60:E68)</f>
        <v>332750</v>
      </c>
      <c r="F69" s="34">
        <f>SUM(F60:F68)</f>
        <v>424710</v>
      </c>
      <c r="G69" s="34">
        <f>SUM(G60:G68)</f>
        <v>428340</v>
      </c>
      <c r="H69" s="34">
        <f>SUM(H60:H68)</f>
        <v>435600</v>
      </c>
      <c r="I69" s="15"/>
      <c r="K69" s="16"/>
      <c r="L69" s="12" t="s">
        <v>36</v>
      </c>
      <c r="M69" s="34">
        <f>SUM(M60:M68)</f>
        <v>143687.50000000003</v>
      </c>
      <c r="N69" s="34">
        <f>SUM(N60:N68)</f>
        <v>197570.31250000003</v>
      </c>
      <c r="O69" s="34">
        <f>SUM(O60:O68)</f>
        <v>246424.06250000003</v>
      </c>
      <c r="P69" s="34">
        <f>SUM(P60:P68)</f>
        <v>246424.06250000003</v>
      </c>
      <c r="Q69" s="34">
        <f>SUM(Q60:Q68)</f>
        <v>248550.63750000004</v>
      </c>
      <c r="R69" s="15"/>
    </row>
    <row r="70" spans="2:18" ht="15.75" thickBot="1">
      <c r="B70" s="18"/>
      <c r="C70" s="19"/>
      <c r="D70" s="19"/>
      <c r="E70" s="19"/>
      <c r="F70" s="19"/>
      <c r="G70" s="19"/>
      <c r="H70" s="19"/>
      <c r="I70" s="20"/>
      <c r="K70" s="18"/>
      <c r="L70" s="19"/>
      <c r="M70" s="19"/>
      <c r="N70" s="19"/>
      <c r="O70" s="19"/>
      <c r="P70" s="19"/>
      <c r="Q70" s="19"/>
      <c r="R70" s="20"/>
    </row>
    <row r="71" ht="15.75" thickBot="1"/>
    <row r="72" spans="2:9" ht="15">
      <c r="B72" s="8"/>
      <c r="C72" s="21" t="s">
        <v>383</v>
      </c>
      <c r="D72" s="9"/>
      <c r="E72" s="9"/>
      <c r="F72" s="9"/>
      <c r="G72" s="9"/>
      <c r="H72" s="9"/>
      <c r="I72" s="10"/>
    </row>
    <row r="73" spans="2:9" ht="15">
      <c r="B73" s="16"/>
      <c r="C73" s="17"/>
      <c r="D73" s="13" t="str">
        <f>+D59</f>
        <v>Anno 1</v>
      </c>
      <c r="E73" s="13" t="str">
        <f>+E59</f>
        <v>Anno 2</v>
      </c>
      <c r="F73" s="13" t="str">
        <f>+F59</f>
        <v>Anno 3</v>
      </c>
      <c r="G73" s="13" t="str">
        <f>+G59</f>
        <v>Anno 4</v>
      </c>
      <c r="H73" s="13" t="str">
        <f>+H59</f>
        <v>Anno 5</v>
      </c>
      <c r="I73" s="15"/>
    </row>
    <row r="74" spans="2:9" ht="15">
      <c r="B74" s="16"/>
      <c r="C74" s="17" t="s">
        <v>382</v>
      </c>
      <c r="D74" s="33">
        <f>+Input!$D$18*Input!I35</f>
        <v>0.15</v>
      </c>
      <c r="E74" s="33">
        <f>+Input!$D$18*Input!J35</f>
        <v>0.16499999999999998</v>
      </c>
      <c r="F74" s="33">
        <f>+Input!$D$18*Input!K35</f>
        <v>0.18</v>
      </c>
      <c r="G74" s="33">
        <f>+Input!$D$18*Input!L35</f>
        <v>0.18</v>
      </c>
      <c r="H74" s="33">
        <f>+Input!$D$18*Input!M35</f>
        <v>0.18</v>
      </c>
      <c r="I74" s="15"/>
    </row>
    <row r="75" spans="2:12" ht="15.75" thickBot="1">
      <c r="B75" s="18"/>
      <c r="C75" s="19"/>
      <c r="D75" s="19"/>
      <c r="E75" s="19"/>
      <c r="F75" s="19"/>
      <c r="G75" s="19"/>
      <c r="H75" s="19"/>
      <c r="I75" s="20"/>
      <c r="L75" s="25"/>
    </row>
    <row r="76" ht="15.75" thickBot="1"/>
    <row r="77" spans="2:9" ht="15">
      <c r="B77" s="8"/>
      <c r="C77" s="21" t="s">
        <v>23</v>
      </c>
      <c r="D77" s="9"/>
      <c r="E77" s="9"/>
      <c r="F77" s="9"/>
      <c r="G77" s="9"/>
      <c r="H77" s="9"/>
      <c r="I77" s="10"/>
    </row>
    <row r="78" spans="2:9" ht="15">
      <c r="B78" s="16"/>
      <c r="C78" s="17"/>
      <c r="D78" s="13" t="str">
        <f>+M59</f>
        <v>Anno 1</v>
      </c>
      <c r="E78" s="13" t="str">
        <f>+N59</f>
        <v>Anno 2</v>
      </c>
      <c r="F78" s="13" t="str">
        <f>+O59</f>
        <v>Anno 3</v>
      </c>
      <c r="G78" s="13" t="str">
        <f>+P59</f>
        <v>Anno 4</v>
      </c>
      <c r="H78" s="13" t="str">
        <f>+Q59</f>
        <v>Anno 5</v>
      </c>
      <c r="I78" s="15"/>
    </row>
    <row r="79" spans="2:9" ht="15">
      <c r="B79" s="16"/>
      <c r="C79" s="17" t="s">
        <v>382</v>
      </c>
      <c r="D79" s="33">
        <f>+(D74*Input!$F$18)</f>
        <v>0.0315</v>
      </c>
      <c r="E79" s="33">
        <f>+(E74*Input!$F$18)</f>
        <v>0.03464999999999999</v>
      </c>
      <c r="F79" s="33">
        <f>+(F74*Input!$F$18)</f>
        <v>0.0378</v>
      </c>
      <c r="G79" s="33">
        <f>+(G74*Input!$F$18)</f>
        <v>0.0378</v>
      </c>
      <c r="H79" s="33">
        <f>+(H74*Input!$F$18)</f>
        <v>0.0378</v>
      </c>
      <c r="I79" s="15"/>
    </row>
    <row r="80" spans="2:9" ht="15.75" thickBot="1">
      <c r="B80" s="18"/>
      <c r="C80" s="19"/>
      <c r="D80" s="19"/>
      <c r="E80" s="19"/>
      <c r="F80" s="19"/>
      <c r="G80" s="19"/>
      <c r="H80" s="19"/>
      <c r="I80" s="20"/>
    </row>
    <row r="81" ht="15.75" thickBot="1"/>
    <row r="82" spans="2:9" ht="15">
      <c r="B82" s="8"/>
      <c r="C82" s="21" t="s">
        <v>387</v>
      </c>
      <c r="D82" s="9"/>
      <c r="E82" s="9"/>
      <c r="F82" s="9"/>
      <c r="G82" s="9"/>
      <c r="H82" s="9"/>
      <c r="I82" s="10"/>
    </row>
    <row r="83" spans="2:9" ht="15">
      <c r="B83" s="16"/>
      <c r="C83" s="17"/>
      <c r="D83" s="13" t="str">
        <f>+D78</f>
        <v>Anno 1</v>
      </c>
      <c r="E83" s="13" t="str">
        <f>+E78</f>
        <v>Anno 2</v>
      </c>
      <c r="F83" s="13" t="str">
        <f>+F78</f>
        <v>Anno 3</v>
      </c>
      <c r="G83" s="13" t="str">
        <f>+G78</f>
        <v>Anno 4</v>
      </c>
      <c r="H83" s="13" t="str">
        <f>+H78</f>
        <v>Anno 5</v>
      </c>
      <c r="I83" s="15"/>
    </row>
    <row r="84" spans="2:9" ht="15">
      <c r="B84" s="16"/>
      <c r="C84" s="17" t="s">
        <v>382</v>
      </c>
      <c r="D84" s="33">
        <f>+IF(Input!$E18=0,0,IF(Input!$E18=30,(D74+D79)/12,IF(Input!$E18=60,(D74+D79)/6,IF(Input!$E18=90,(D74+D79)/4,IF(Input!$E18=120*(D74+D79)/3,IF(Input!$E18=150,(D74+D79)*0.416667,(D74+D79)/2))))))</f>
        <v>0</v>
      </c>
      <c r="E84" s="33">
        <f>+IF(Input!$E18=0,0,IF(Input!$E18=30,(E74+E79)/12,IF(Input!$E18=60,(E74+E79)/6,IF(Input!$E18=90,(E74+E79)/4,IF(Input!$E18=120*(E74+E79)/3,IF(Input!$E18=150,(E74+E79)*0.416667,(E74+E79)/2))))))</f>
        <v>0</v>
      </c>
      <c r="F84" s="33">
        <f>+IF(Input!$E18=0,0,IF(Input!$E18=30,(F74+F79)/12,IF(Input!$E18=60,(F74+F79)/6,IF(Input!$E18=90,(F74+F79)/4,IF(Input!$E18=120*(F74+F79)/3,IF(Input!$E18=150,(F74+F79)*0.416667,(F74+F79)/2))))))</f>
        <v>0</v>
      </c>
      <c r="G84" s="33">
        <f>+IF(Input!$E18=0,0,IF(Input!$E18=30,(G74+G79)/12,IF(Input!$E18=60,(G74+G79)/6,IF(Input!$E18=90,(G74+G79)/4,IF(Input!$E18=120*(G74+G79)/3,IF(Input!$E18=150,(G74+G79)*0.416667,(G74+G79)/2))))))</f>
        <v>0</v>
      </c>
      <c r="H84" s="33">
        <f>+IF(Input!$E18=0,0,IF(Input!$E18=30,(H74+H79)/12,IF(Input!$E18=60,(H74+H79)/6,IF(Input!$E18=90,(H74+H79)/4,IF(Input!$E18=120*(H74+H79)/3,IF(Input!$E18=150,(H74+H79)*0.416667,(H74+H79)/2))))))</f>
        <v>0</v>
      </c>
      <c r="I84" s="15"/>
    </row>
    <row r="85" spans="2:9" ht="15.75" thickBot="1">
      <c r="B85" s="18"/>
      <c r="C85" s="19"/>
      <c r="D85" s="19"/>
      <c r="E85" s="19"/>
      <c r="F85" s="19"/>
      <c r="G85" s="19"/>
      <c r="H85" s="19"/>
      <c r="I85" s="20"/>
    </row>
    <row r="86" ht="15.75" thickBot="1"/>
    <row r="87" spans="2:9" ht="15">
      <c r="B87" s="8"/>
      <c r="C87" s="21" t="s">
        <v>388</v>
      </c>
      <c r="D87" s="9"/>
      <c r="E87" s="9"/>
      <c r="F87" s="9"/>
      <c r="G87" s="9"/>
      <c r="H87" s="9"/>
      <c r="I87" s="10"/>
    </row>
    <row r="88" spans="2:9" ht="15">
      <c r="B88" s="16"/>
      <c r="C88" s="17"/>
      <c r="D88" s="13" t="str">
        <f>+D83</f>
        <v>Anno 1</v>
      </c>
      <c r="E88" s="13" t="str">
        <f>+E83</f>
        <v>Anno 2</v>
      </c>
      <c r="F88" s="13" t="str">
        <f>+F83</f>
        <v>Anno 3</v>
      </c>
      <c r="G88" s="13" t="str">
        <f>+G83</f>
        <v>Anno 4</v>
      </c>
      <c r="H88" s="13" t="str">
        <f>+H83</f>
        <v>Anno 5</v>
      </c>
      <c r="I88" s="15"/>
    </row>
    <row r="89" spans="2:9" ht="15">
      <c r="B89" s="16"/>
      <c r="C89" s="17" t="s">
        <v>382</v>
      </c>
      <c r="D89" s="33">
        <f>+D74+D79-D84</f>
        <v>0.1815</v>
      </c>
      <c r="E89" s="33">
        <f>+E74+E79-E84</f>
        <v>0.19964999999999997</v>
      </c>
      <c r="F89" s="33">
        <f>+F74+F79-F84</f>
        <v>0.2178</v>
      </c>
      <c r="G89" s="33">
        <f>+G74+G79-G84</f>
        <v>0.2178</v>
      </c>
      <c r="H89" s="33">
        <f>+H74+H79-H84</f>
        <v>0.2178</v>
      </c>
      <c r="I89" s="15"/>
    </row>
    <row r="90" spans="2:9" ht="15.75" thickBot="1">
      <c r="B90" s="18"/>
      <c r="C90" s="19"/>
      <c r="D90" s="19"/>
      <c r="E90" s="19"/>
      <c r="F90" s="19"/>
      <c r="G90" s="19"/>
      <c r="H90" s="19"/>
      <c r="I90" s="20"/>
    </row>
    <row r="92" spans="3:5" ht="15">
      <c r="C92">
        <v>5040</v>
      </c>
      <c r="D92">
        <v>5040</v>
      </c>
      <c r="E92">
        <v>5040</v>
      </c>
    </row>
    <row r="93" spans="3:5" ht="15">
      <c r="C93">
        <v>24000</v>
      </c>
      <c r="D93">
        <v>24000</v>
      </c>
      <c r="E93">
        <v>24000</v>
      </c>
    </row>
    <row r="95" spans="3:5" ht="15">
      <c r="C95">
        <v>4840</v>
      </c>
      <c r="D95">
        <v>4840</v>
      </c>
      <c r="E95">
        <v>4840</v>
      </c>
    </row>
    <row r="96" spans="3:5" ht="15">
      <c r="C96">
        <v>24200</v>
      </c>
      <c r="D96">
        <v>24200</v>
      </c>
      <c r="E96">
        <v>24200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R76"/>
  <sheetViews>
    <sheetView showGridLines="0" zoomScalePageLayoutView="0" workbookViewId="0" topLeftCell="A1">
      <selection activeCell="N28" sqref="N28"/>
    </sheetView>
  </sheetViews>
  <sheetFormatPr defaultColWidth="9.140625" defaultRowHeight="15"/>
  <cols>
    <col min="3" max="3" width="23.421875" style="0" bestFit="1" customWidth="1"/>
    <col min="4" max="4" width="11.57421875" style="0" bestFit="1" customWidth="1"/>
    <col min="11" max="11" width="3.421875" style="0" customWidth="1"/>
    <col min="12" max="12" width="27.8515625" style="0" bestFit="1" customWidth="1"/>
    <col min="18" max="18" width="3.421875" style="0" customWidth="1"/>
  </cols>
  <sheetData>
    <row r="1" ht="15.75" thickBot="1"/>
    <row r="2" spans="2:18" ht="15.75" thickTop="1">
      <c r="B2" s="40"/>
      <c r="C2" s="41"/>
      <c r="D2" s="41"/>
      <c r="E2" s="41"/>
      <c r="F2" s="41"/>
      <c r="G2" s="41"/>
      <c r="H2" s="41"/>
      <c r="I2" s="42"/>
      <c r="K2" s="8"/>
      <c r="L2" s="9"/>
      <c r="M2" s="9"/>
      <c r="N2" s="9"/>
      <c r="O2" s="9"/>
      <c r="P2" s="9"/>
      <c r="Q2" s="9"/>
      <c r="R2" s="10"/>
    </row>
    <row r="3" spans="2:18" ht="15">
      <c r="B3" s="43"/>
      <c r="C3" s="12" t="s">
        <v>39</v>
      </c>
      <c r="D3" s="13" t="str">
        <f>+Input!E61</f>
        <v>Anno 1</v>
      </c>
      <c r="E3" s="13" t="str">
        <f>+Input!F61</f>
        <v>Anno 2</v>
      </c>
      <c r="F3" s="13" t="str">
        <f>+Input!G61</f>
        <v>Anno 3</v>
      </c>
      <c r="G3" s="13" t="str">
        <f>+Input!H61</f>
        <v>Anno 4</v>
      </c>
      <c r="H3" s="13" t="str">
        <f>+Input!I61</f>
        <v>Anno 5</v>
      </c>
      <c r="I3" s="44"/>
      <c r="K3" s="16"/>
      <c r="L3" s="12" t="s">
        <v>57</v>
      </c>
      <c r="M3" s="12" t="str">
        <f>+D3</f>
        <v>Anno 1</v>
      </c>
      <c r="N3" s="12" t="str">
        <f>+E3</f>
        <v>Anno 2</v>
      </c>
      <c r="O3" s="12" t="str">
        <f>+F3</f>
        <v>Anno 3</v>
      </c>
      <c r="P3" s="12" t="str">
        <f>+G3</f>
        <v>Anno 4</v>
      </c>
      <c r="Q3" s="12" t="str">
        <f>+H3</f>
        <v>Anno 5</v>
      </c>
      <c r="R3" s="15"/>
    </row>
    <row r="4" spans="2:18" ht="15">
      <c r="B4" s="43"/>
      <c r="C4" s="17" t="str">
        <f>+Input!C62</f>
        <v>Investimenti Materiali</v>
      </c>
      <c r="D4" s="33">
        <f>+Input!E62</f>
        <v>86400</v>
      </c>
      <c r="E4" s="33">
        <f>+Input!F62</f>
        <v>0</v>
      </c>
      <c r="F4" s="33">
        <f>+Input!G62</f>
        <v>0</v>
      </c>
      <c r="G4" s="33">
        <f>+Input!H62</f>
        <v>0</v>
      </c>
      <c r="H4" s="33">
        <f>+Input!I62</f>
        <v>0</v>
      </c>
      <c r="I4" s="44"/>
      <c r="K4" s="16"/>
      <c r="L4" s="17" t="str">
        <f>+C4</f>
        <v>Investimenti Materiali</v>
      </c>
      <c r="M4" s="33">
        <f>+Input!E62*Input!$E$65</f>
        <v>18144</v>
      </c>
      <c r="N4" s="33">
        <f>+Input!F62*Input!$E$65</f>
        <v>0</v>
      </c>
      <c r="O4" s="33">
        <f>+Input!G62*Input!$E$65</f>
        <v>0</v>
      </c>
      <c r="P4" s="33">
        <f>+Input!H62*Input!$E$65</f>
        <v>0</v>
      </c>
      <c r="Q4" s="33">
        <f>+Input!I62*Input!$E$65</f>
        <v>0</v>
      </c>
      <c r="R4" s="15"/>
    </row>
    <row r="5" spans="2:18" ht="15">
      <c r="B5" s="43"/>
      <c r="C5" s="17" t="str">
        <f>+Input!C63</f>
        <v>Investimenti Immateriali</v>
      </c>
      <c r="D5" s="33">
        <f>+Input!E63</f>
        <v>0</v>
      </c>
      <c r="E5" s="33">
        <f>+Input!F63</f>
        <v>0</v>
      </c>
      <c r="F5" s="33">
        <f>+Input!G63</f>
        <v>0</v>
      </c>
      <c r="G5" s="33">
        <f>+Input!H63</f>
        <v>0</v>
      </c>
      <c r="H5" s="33">
        <f>+Input!I63</f>
        <v>0</v>
      </c>
      <c r="I5" s="44"/>
      <c r="K5" s="16"/>
      <c r="L5" s="17" t="str">
        <f>+C5</f>
        <v>Investimenti Immateriali</v>
      </c>
      <c r="M5" s="33">
        <f>+Input!E63*Input!$E$65</f>
        <v>0</v>
      </c>
      <c r="N5" s="33">
        <f>+Input!F63*Input!$E$65</f>
        <v>0</v>
      </c>
      <c r="O5" s="33">
        <f>+Input!G63*Input!$E$65</f>
        <v>0</v>
      </c>
      <c r="P5" s="33">
        <f>+Input!H63*Input!$E$65</f>
        <v>0</v>
      </c>
      <c r="Q5" s="33">
        <f>+Input!I63*Input!$E$65</f>
        <v>0</v>
      </c>
      <c r="R5" s="15"/>
    </row>
    <row r="6" spans="2:18" ht="15">
      <c r="B6" s="43"/>
      <c r="C6" s="17"/>
      <c r="D6" s="33"/>
      <c r="E6" s="33"/>
      <c r="F6" s="33"/>
      <c r="G6" s="33"/>
      <c r="H6" s="33"/>
      <c r="I6" s="44"/>
      <c r="K6" s="16"/>
      <c r="L6" s="17" t="s">
        <v>417</v>
      </c>
      <c r="M6" s="33">
        <f>+Input!$D$21*Input!E21</f>
        <v>0</v>
      </c>
      <c r="N6" s="33">
        <v>0</v>
      </c>
      <c r="O6" s="33">
        <v>0</v>
      </c>
      <c r="P6" s="33">
        <v>0</v>
      </c>
      <c r="Q6" s="33">
        <v>0</v>
      </c>
      <c r="R6" s="15"/>
    </row>
    <row r="7" spans="2:18" ht="15">
      <c r="B7" s="43"/>
      <c r="C7" s="17"/>
      <c r="D7" s="17"/>
      <c r="E7" s="17"/>
      <c r="F7" s="17"/>
      <c r="G7" s="17"/>
      <c r="H7" s="17"/>
      <c r="I7" s="44"/>
      <c r="K7" s="16"/>
      <c r="L7" s="12" t="s">
        <v>58</v>
      </c>
      <c r="M7" s="34">
        <f>SUM(M4:M6)</f>
        <v>18144</v>
      </c>
      <c r="N7" s="34">
        <f>SUM(N4:N6)</f>
        <v>0</v>
      </c>
      <c r="O7" s="34">
        <f>SUM(O4:O6)</f>
        <v>0</v>
      </c>
      <c r="P7" s="34">
        <f>SUM(P4:P6)</f>
        <v>0</v>
      </c>
      <c r="Q7" s="34">
        <f>SUM(Q4:Q6)</f>
        <v>0</v>
      </c>
      <c r="R7" s="15"/>
    </row>
    <row r="8" spans="2:18" ht="15.75" thickBot="1">
      <c r="B8" s="43"/>
      <c r="C8" s="17"/>
      <c r="D8" s="17"/>
      <c r="E8" s="17"/>
      <c r="F8" s="17"/>
      <c r="G8" s="17"/>
      <c r="H8" s="17"/>
      <c r="I8" s="44"/>
      <c r="K8" s="18"/>
      <c r="L8" s="19"/>
      <c r="M8" s="19"/>
      <c r="N8" s="19"/>
      <c r="O8" s="19"/>
      <c r="P8" s="19"/>
      <c r="Q8" s="19"/>
      <c r="R8" s="20"/>
    </row>
    <row r="9" spans="2:9" ht="15.75" thickBot="1">
      <c r="B9" s="49" t="s">
        <v>3</v>
      </c>
      <c r="C9" s="12" t="s">
        <v>48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44"/>
    </row>
    <row r="10" spans="2:18" ht="15">
      <c r="B10" s="43"/>
      <c r="C10" s="17" t="str">
        <f>+C4</f>
        <v>Investimenti Materiali</v>
      </c>
      <c r="D10" s="33">
        <f>+Input!E62*Input!$E$70</f>
        <v>17280</v>
      </c>
      <c r="E10" s="33">
        <f>+IF(D16&gt;=$D$4,0,$D4*Input!$E$70)</f>
        <v>17280</v>
      </c>
      <c r="F10" s="33">
        <f>+IF(E16&gt;=$D$4,0,$D4*Input!$E$70)</f>
        <v>17280</v>
      </c>
      <c r="G10" s="33">
        <f>+IF(F16&gt;=$D$4,0,$D4*Input!$E$70)</f>
        <v>17280</v>
      </c>
      <c r="H10" s="33">
        <f>+IF(G16&gt;=$D$4,0,$D4*Input!$E$70)</f>
        <v>17280</v>
      </c>
      <c r="I10" s="44"/>
      <c r="K10" s="8"/>
      <c r="L10" s="9"/>
      <c r="M10" s="9"/>
      <c r="N10" s="9"/>
      <c r="O10" s="9"/>
      <c r="P10" s="9"/>
      <c r="Q10" s="9"/>
      <c r="R10" s="10"/>
    </row>
    <row r="11" spans="2:18" ht="15">
      <c r="B11" s="43"/>
      <c r="C11" s="17" t="str">
        <f>+C5</f>
        <v>Investimenti Immateriali</v>
      </c>
      <c r="D11" s="33">
        <f>+Input!E63*Input!$E$71</f>
        <v>0</v>
      </c>
      <c r="E11" s="33">
        <f>+IF(D17&gt;=$D$5,0,$D5*Input!$E$71)</f>
        <v>0</v>
      </c>
      <c r="F11" s="33">
        <f>+IF(E17&gt;=$D$5,0,$D5*Input!$E$71)</f>
        <v>0</v>
      </c>
      <c r="G11" s="33">
        <f>+IF(F17&gt;=$D$5,0,$D5*Input!$E$71)</f>
        <v>0</v>
      </c>
      <c r="H11" s="33">
        <f>+IF(G17&gt;=$D$5,0,$D5*Input!$E$71)</f>
        <v>0</v>
      </c>
      <c r="I11" s="44"/>
      <c r="K11" s="16"/>
      <c r="L11" s="12" t="s">
        <v>59</v>
      </c>
      <c r="M11" s="12" t="str">
        <f>+M3</f>
        <v>Anno 1</v>
      </c>
      <c r="N11" s="12" t="str">
        <f>+N3</f>
        <v>Anno 2</v>
      </c>
      <c r="O11" s="12" t="str">
        <f>+O3</f>
        <v>Anno 3</v>
      </c>
      <c r="P11" s="12" t="str">
        <f>+P3</f>
        <v>Anno 4</v>
      </c>
      <c r="Q11" s="12" t="str">
        <f>+Q3</f>
        <v>Anno 5</v>
      </c>
      <c r="R11" s="15"/>
    </row>
    <row r="12" spans="2:18" ht="15">
      <c r="B12" s="43"/>
      <c r="C12" s="17"/>
      <c r="D12" s="17"/>
      <c r="E12" s="17"/>
      <c r="F12" s="17"/>
      <c r="G12" s="17"/>
      <c r="H12" s="17"/>
      <c r="I12" s="44"/>
      <c r="K12" s="16"/>
      <c r="L12" s="17" t="str">
        <f>+L4</f>
        <v>Investimenti Materiali</v>
      </c>
      <c r="M12" s="33">
        <f>+Input!E62+(Input!E62*Input!$E$65)-Input!E67</f>
        <v>0</v>
      </c>
      <c r="N12" s="33">
        <f>+Input!F62+(Input!F62*Input!$E$65)-Input!F67</f>
        <v>0</v>
      </c>
      <c r="O12" s="33">
        <f>+Input!G62+(Input!G62*Input!$E$65)-Input!G67</f>
        <v>0</v>
      </c>
      <c r="P12" s="33">
        <f>+Input!H62+(Input!H62*Input!$E$65)-Input!H67</f>
        <v>0</v>
      </c>
      <c r="Q12" s="33">
        <f>+Input!I62+(Input!I62*Input!$E$65)-Input!I67</f>
        <v>0</v>
      </c>
      <c r="R12" s="15"/>
    </row>
    <row r="13" spans="2:18" ht="15">
      <c r="B13" s="43"/>
      <c r="C13" s="17"/>
      <c r="D13" s="17"/>
      <c r="E13" s="17"/>
      <c r="F13" s="17"/>
      <c r="G13" s="17"/>
      <c r="H13" s="17"/>
      <c r="I13" s="44"/>
      <c r="K13" s="16"/>
      <c r="L13" s="17" t="str">
        <f>+L5</f>
        <v>Investimenti Immateriali</v>
      </c>
      <c r="M13" s="33">
        <f>+Input!E63+(Input!E63*Input!$E$65)-Input!E68</f>
        <v>0</v>
      </c>
      <c r="N13" s="33">
        <f>+Input!F63+(Input!F63*Input!$E$65)-Input!F68</f>
        <v>0</v>
      </c>
      <c r="O13" s="33">
        <f>+Input!G63+(Input!G63*Input!$E$65)-Input!G68</f>
        <v>0</v>
      </c>
      <c r="P13" s="33">
        <f>+Input!H63+(Input!H63*Input!$E$65)-Input!H68</f>
        <v>0</v>
      </c>
      <c r="Q13" s="33">
        <f>+Input!I63+(Input!I63*Input!$E$65)-Input!I68</f>
        <v>0</v>
      </c>
      <c r="R13" s="15"/>
    </row>
    <row r="14" spans="2:18" ht="15">
      <c r="B14" s="43"/>
      <c r="C14" s="17"/>
      <c r="D14" s="17"/>
      <c r="E14" s="17"/>
      <c r="F14" s="17"/>
      <c r="G14" s="17"/>
      <c r="H14" s="17"/>
      <c r="I14" s="44"/>
      <c r="K14" s="16"/>
      <c r="L14" s="17" t="str">
        <f>+L6</f>
        <v>Fee d'ingresso</v>
      </c>
      <c r="M14" s="33">
        <f>+(Input!$D$21+(Input!$D$21*Input!$E$21))-Input!D23</f>
        <v>0</v>
      </c>
      <c r="N14" s="33">
        <f>-Input!E23</f>
        <v>0</v>
      </c>
      <c r="O14" s="33">
        <f>-Input!F23</f>
        <v>0</v>
      </c>
      <c r="P14" s="33">
        <f>-Input!G23</f>
        <v>0</v>
      </c>
      <c r="Q14" s="33">
        <f>-Input!H23</f>
        <v>0</v>
      </c>
      <c r="R14" s="15"/>
    </row>
    <row r="15" spans="2:18" ht="15">
      <c r="B15" s="43"/>
      <c r="C15" s="12" t="s">
        <v>49</v>
      </c>
      <c r="D15" s="13" t="str">
        <f>+D9</f>
        <v>Anno 1</v>
      </c>
      <c r="E15" s="13" t="str">
        <f>+E9</f>
        <v>Anno 2</v>
      </c>
      <c r="F15" s="13" t="str">
        <f>+F9</f>
        <v>Anno 3</v>
      </c>
      <c r="G15" s="13" t="str">
        <f>+G9</f>
        <v>Anno 4</v>
      </c>
      <c r="H15" s="13" t="str">
        <f>+H9</f>
        <v>Anno 5</v>
      </c>
      <c r="I15" s="44"/>
      <c r="K15" s="16"/>
      <c r="L15" s="12" t="s">
        <v>60</v>
      </c>
      <c r="M15" s="34">
        <f>SUM(M12:M14)</f>
        <v>0</v>
      </c>
      <c r="N15" s="34">
        <f>SUM(N12:N14)</f>
        <v>0</v>
      </c>
      <c r="O15" s="34">
        <f>SUM(O12:O14)</f>
        <v>0</v>
      </c>
      <c r="P15" s="34">
        <f>SUM(P12:P14)</f>
        <v>0</v>
      </c>
      <c r="Q15" s="34">
        <f>SUM(Q12:Q14)</f>
        <v>0</v>
      </c>
      <c r="R15" s="15"/>
    </row>
    <row r="16" spans="2:18" ht="15.75" thickBot="1">
      <c r="B16" s="43"/>
      <c r="C16" s="17" t="str">
        <f>+C10</f>
        <v>Investimenti Materiali</v>
      </c>
      <c r="D16" s="33">
        <f>+D10</f>
        <v>17280</v>
      </c>
      <c r="E16" s="33">
        <f aca="true" t="shared" si="0" ref="E16:H17">+D16+E10</f>
        <v>34560</v>
      </c>
      <c r="F16" s="33">
        <f t="shared" si="0"/>
        <v>51840</v>
      </c>
      <c r="G16" s="33">
        <f t="shared" si="0"/>
        <v>69120</v>
      </c>
      <c r="H16" s="33">
        <f t="shared" si="0"/>
        <v>86400</v>
      </c>
      <c r="I16" s="44"/>
      <c r="K16" s="18"/>
      <c r="L16" s="19"/>
      <c r="M16" s="19"/>
      <c r="N16" s="19"/>
      <c r="O16" s="19"/>
      <c r="P16" s="19"/>
      <c r="Q16" s="19"/>
      <c r="R16" s="20"/>
    </row>
    <row r="17" spans="2:9" ht="15.75" thickBot="1">
      <c r="B17" s="43"/>
      <c r="C17" s="17" t="str">
        <f>+C11</f>
        <v>Investimenti Immateriali</v>
      </c>
      <c r="D17" s="33">
        <f>+D11</f>
        <v>0</v>
      </c>
      <c r="E17" s="33">
        <f t="shared" si="0"/>
        <v>0</v>
      </c>
      <c r="F17" s="33">
        <f t="shared" si="0"/>
        <v>0</v>
      </c>
      <c r="G17" s="33">
        <f t="shared" si="0"/>
        <v>0</v>
      </c>
      <c r="H17" s="33">
        <f t="shared" si="0"/>
        <v>0</v>
      </c>
      <c r="I17" s="44"/>
    </row>
    <row r="18" spans="2:18" ht="15">
      <c r="B18" s="43"/>
      <c r="C18" s="17"/>
      <c r="D18" s="17"/>
      <c r="E18" s="17"/>
      <c r="F18" s="17"/>
      <c r="G18" s="17"/>
      <c r="H18" s="17"/>
      <c r="I18" s="44"/>
      <c r="K18" s="8"/>
      <c r="L18" s="9"/>
      <c r="M18" s="9"/>
      <c r="N18" s="9"/>
      <c r="O18" s="9"/>
      <c r="P18" s="9"/>
      <c r="Q18" s="9"/>
      <c r="R18" s="10"/>
    </row>
    <row r="19" spans="2:18" ht="15">
      <c r="B19" s="49" t="s">
        <v>4</v>
      </c>
      <c r="C19" s="12" t="s">
        <v>48</v>
      </c>
      <c r="D19" s="13" t="s">
        <v>3</v>
      </c>
      <c r="E19" s="13" t="s">
        <v>4</v>
      </c>
      <c r="F19" s="13" t="s">
        <v>5</v>
      </c>
      <c r="G19" s="13" t="s">
        <v>6</v>
      </c>
      <c r="H19" s="13" t="s">
        <v>7</v>
      </c>
      <c r="I19" s="44"/>
      <c r="K19" s="16"/>
      <c r="L19" s="12" t="s">
        <v>37</v>
      </c>
      <c r="M19" s="13" t="str">
        <f>+M11</f>
        <v>Anno 1</v>
      </c>
      <c r="N19" s="13" t="str">
        <f>+N11</f>
        <v>Anno 2</v>
      </c>
      <c r="O19" s="13" t="str">
        <f>+O11</f>
        <v>Anno 3</v>
      </c>
      <c r="P19" s="13" t="str">
        <f>+P11</f>
        <v>Anno 4</v>
      </c>
      <c r="Q19" s="13" t="str">
        <f>+Q11</f>
        <v>Anno 5</v>
      </c>
      <c r="R19" s="15"/>
    </row>
    <row r="20" spans="2:18" ht="15">
      <c r="B20" s="43"/>
      <c r="C20" s="17" t="str">
        <f>+C10</f>
        <v>Investimenti Materiali</v>
      </c>
      <c r="D20" s="33"/>
      <c r="E20" s="33">
        <f>+E4*Input!E70</f>
        <v>0</v>
      </c>
      <c r="F20" s="33">
        <f>+IF(E26&gt;=$E$4,0,$E4*Input!$E$70)</f>
        <v>0</v>
      </c>
      <c r="G20" s="33">
        <f>+IF(F26&gt;=$E$4,0,$E4*Input!$E$70)</f>
        <v>0</v>
      </c>
      <c r="H20" s="33">
        <f>+IF(G26&gt;=$E$4,0,$E4*Input!$E$70)</f>
        <v>0</v>
      </c>
      <c r="I20" s="44"/>
      <c r="K20" s="16"/>
      <c r="L20" s="17" t="str">
        <f>+L12</f>
        <v>Investimenti Materiali</v>
      </c>
      <c r="M20" s="33">
        <f>+Input!E67</f>
        <v>104544</v>
      </c>
      <c r="N20" s="33">
        <f>+Input!F67</f>
        <v>0</v>
      </c>
      <c r="O20" s="33">
        <f>+Input!G67</f>
        <v>0</v>
      </c>
      <c r="P20" s="33">
        <f>+Input!H67</f>
        <v>0</v>
      </c>
      <c r="Q20" s="33">
        <f>+Input!I67</f>
        <v>0</v>
      </c>
      <c r="R20" s="15"/>
    </row>
    <row r="21" spans="2:18" ht="15">
      <c r="B21" s="43"/>
      <c r="C21" s="17" t="str">
        <f>+C11</f>
        <v>Investimenti Immateriali</v>
      </c>
      <c r="D21" s="33"/>
      <c r="E21" s="33">
        <f>+E5*Input!E71</f>
        <v>0</v>
      </c>
      <c r="F21" s="33">
        <f>+IF(E27&gt;=$E$5,0,$E5*Input!$E$71)</f>
        <v>0</v>
      </c>
      <c r="G21" s="33">
        <f>+IF(F27&gt;=$E$5,0,$E5*Input!$E$71)</f>
        <v>0</v>
      </c>
      <c r="H21" s="33">
        <f>+IF(G27&gt;=$E$5,0,$E5*Input!$E$71)</f>
        <v>0</v>
      </c>
      <c r="I21" s="44"/>
      <c r="K21" s="16"/>
      <c r="L21" s="17" t="str">
        <f>+L13</f>
        <v>Investimenti Immateriali</v>
      </c>
      <c r="M21" s="33">
        <f>+Input!E68</f>
        <v>0</v>
      </c>
      <c r="N21" s="33">
        <f>+Input!F68</f>
        <v>0</v>
      </c>
      <c r="O21" s="33">
        <f>+Input!G68</f>
        <v>0</v>
      </c>
      <c r="P21" s="33">
        <f>+Input!H68</f>
        <v>0</v>
      </c>
      <c r="Q21" s="33">
        <f>+Input!I68</f>
        <v>0</v>
      </c>
      <c r="R21" s="15"/>
    </row>
    <row r="22" spans="2:18" ht="15">
      <c r="B22" s="43"/>
      <c r="C22" s="17"/>
      <c r="D22" s="33"/>
      <c r="E22" s="33"/>
      <c r="F22" s="33"/>
      <c r="G22" s="33"/>
      <c r="H22" s="33"/>
      <c r="I22" s="44"/>
      <c r="K22" s="16"/>
      <c r="L22" s="17" t="s">
        <v>417</v>
      </c>
      <c r="M22" s="33">
        <f>+Input!D23</f>
        <v>0</v>
      </c>
      <c r="N22" s="33">
        <f>+Input!E23</f>
        <v>0</v>
      </c>
      <c r="O22" s="33">
        <f>+Input!F23</f>
        <v>0</v>
      </c>
      <c r="P22" s="33">
        <f>+Input!G23</f>
        <v>0</v>
      </c>
      <c r="Q22" s="33">
        <f>+Input!H23</f>
        <v>0</v>
      </c>
      <c r="R22" s="15"/>
    </row>
    <row r="23" spans="2:18" ht="15">
      <c r="B23" s="43"/>
      <c r="C23" s="17"/>
      <c r="D23" s="17"/>
      <c r="E23" s="17"/>
      <c r="F23" s="17"/>
      <c r="G23" s="17"/>
      <c r="H23" s="17"/>
      <c r="I23" s="44"/>
      <c r="K23" s="16"/>
      <c r="L23" s="12" t="s">
        <v>61</v>
      </c>
      <c r="M23" s="34">
        <f>SUM(M20:M22)</f>
        <v>104544</v>
      </c>
      <c r="N23" s="34">
        <f>SUM(N20:N22)</f>
        <v>0</v>
      </c>
      <c r="O23" s="34">
        <f>SUM(O20:O22)</f>
        <v>0</v>
      </c>
      <c r="P23" s="34">
        <f>SUM(P20:P22)</f>
        <v>0</v>
      </c>
      <c r="Q23" s="34">
        <f>SUM(Q20:Q22)</f>
        <v>0</v>
      </c>
      <c r="R23" s="15"/>
    </row>
    <row r="24" spans="2:18" ht="15.75" thickBot="1">
      <c r="B24" s="43"/>
      <c r="C24" s="17"/>
      <c r="D24" s="17"/>
      <c r="E24" s="17"/>
      <c r="F24" s="17"/>
      <c r="G24" s="17"/>
      <c r="H24" s="17"/>
      <c r="I24" s="44"/>
      <c r="K24" s="18"/>
      <c r="L24" s="19"/>
      <c r="M24" s="19"/>
      <c r="N24" s="19"/>
      <c r="O24" s="19"/>
      <c r="P24" s="19"/>
      <c r="Q24" s="19"/>
      <c r="R24" s="20"/>
    </row>
    <row r="25" spans="2:9" ht="15">
      <c r="B25" s="43"/>
      <c r="C25" s="12" t="s">
        <v>49</v>
      </c>
      <c r="D25" s="13" t="str">
        <f>+D19</f>
        <v>Anno 1</v>
      </c>
      <c r="E25" s="13" t="str">
        <f>+E19</f>
        <v>Anno 2</v>
      </c>
      <c r="F25" s="13" t="str">
        <f>+F19</f>
        <v>Anno 3</v>
      </c>
      <c r="G25" s="13" t="str">
        <f>+G19</f>
        <v>Anno 4</v>
      </c>
      <c r="H25" s="13" t="str">
        <f>+H19</f>
        <v>Anno 5</v>
      </c>
      <c r="I25" s="44"/>
    </row>
    <row r="26" spans="2:9" ht="15">
      <c r="B26" s="43"/>
      <c r="C26" s="17" t="str">
        <f>+C20</f>
        <v>Investimenti Materiali</v>
      </c>
      <c r="D26" s="33"/>
      <c r="E26" s="33">
        <f aca="true" t="shared" si="1" ref="E26:H27">+D26+E20</f>
        <v>0</v>
      </c>
      <c r="F26" s="33">
        <f t="shared" si="1"/>
        <v>0</v>
      </c>
      <c r="G26" s="33">
        <f t="shared" si="1"/>
        <v>0</v>
      </c>
      <c r="H26" s="33">
        <f t="shared" si="1"/>
        <v>0</v>
      </c>
      <c r="I26" s="44"/>
    </row>
    <row r="27" spans="2:9" ht="15">
      <c r="B27" s="43"/>
      <c r="C27" s="17" t="str">
        <f>+C21</f>
        <v>Investimenti Immateriali</v>
      </c>
      <c r="D27" s="33"/>
      <c r="E27" s="33">
        <f t="shared" si="1"/>
        <v>0</v>
      </c>
      <c r="F27" s="33">
        <f t="shared" si="1"/>
        <v>0</v>
      </c>
      <c r="G27" s="33">
        <f t="shared" si="1"/>
        <v>0</v>
      </c>
      <c r="H27" s="33">
        <f t="shared" si="1"/>
        <v>0</v>
      </c>
      <c r="I27" s="44"/>
    </row>
    <row r="28" spans="2:9" ht="15">
      <c r="B28" s="43"/>
      <c r="C28" s="17"/>
      <c r="D28" s="17"/>
      <c r="E28" s="17"/>
      <c r="F28" s="17"/>
      <c r="G28" s="17"/>
      <c r="H28" s="17"/>
      <c r="I28" s="44"/>
    </row>
    <row r="29" spans="2:9" ht="15">
      <c r="B29" s="49" t="s">
        <v>5</v>
      </c>
      <c r="C29" s="12" t="s">
        <v>48</v>
      </c>
      <c r="D29" s="13" t="s">
        <v>3</v>
      </c>
      <c r="E29" s="13" t="s">
        <v>4</v>
      </c>
      <c r="F29" s="13" t="s">
        <v>5</v>
      </c>
      <c r="G29" s="13" t="s">
        <v>6</v>
      </c>
      <c r="H29" s="13" t="s">
        <v>7</v>
      </c>
      <c r="I29" s="44"/>
    </row>
    <row r="30" spans="2:9" ht="15">
      <c r="B30" s="43"/>
      <c r="C30" s="17" t="str">
        <f>+C20</f>
        <v>Investimenti Materiali</v>
      </c>
      <c r="D30" s="33"/>
      <c r="E30" s="33"/>
      <c r="F30" s="33">
        <f>+F4*Input!$E$70</f>
        <v>0</v>
      </c>
      <c r="G30" s="33">
        <f>+IF(F35&gt;=$F$4,0,$F4*Input!$E$70)</f>
        <v>0</v>
      </c>
      <c r="H30" s="33">
        <f>+IF(G35&gt;=$F$4,0,$F4*Input!$E$70)</f>
        <v>0</v>
      </c>
      <c r="I30" s="44"/>
    </row>
    <row r="31" spans="2:9" ht="15">
      <c r="B31" s="43"/>
      <c r="C31" s="17" t="str">
        <f>+C21</f>
        <v>Investimenti Immateriali</v>
      </c>
      <c r="D31" s="33"/>
      <c r="E31" s="33"/>
      <c r="F31" s="33">
        <f>+F5*Input!E71</f>
        <v>0</v>
      </c>
      <c r="G31" s="33">
        <f>+IF(F36&gt;=$F$4,0,$F5*Input!$E$70)</f>
        <v>0</v>
      </c>
      <c r="H31" s="33">
        <f>+IF(G36&gt;=$F$4,0,$F5*Input!$E$70)</f>
        <v>0</v>
      </c>
      <c r="I31" s="44"/>
    </row>
    <row r="32" spans="2:9" ht="15">
      <c r="B32" s="43"/>
      <c r="C32" s="17"/>
      <c r="D32" s="17"/>
      <c r="E32" s="17"/>
      <c r="F32" s="17"/>
      <c r="G32" s="17"/>
      <c r="H32" s="17"/>
      <c r="I32" s="44"/>
    </row>
    <row r="33" spans="2:9" ht="15">
      <c r="B33" s="43"/>
      <c r="C33" s="17"/>
      <c r="D33" s="17"/>
      <c r="E33" s="17"/>
      <c r="F33" s="17"/>
      <c r="G33" s="17"/>
      <c r="H33" s="17"/>
      <c r="I33" s="44"/>
    </row>
    <row r="34" spans="2:9" ht="15">
      <c r="B34" s="43"/>
      <c r="C34" s="12" t="s">
        <v>49</v>
      </c>
      <c r="D34" s="13" t="str">
        <f>+D29</f>
        <v>Anno 1</v>
      </c>
      <c r="E34" s="13" t="str">
        <f>+E29</f>
        <v>Anno 2</v>
      </c>
      <c r="F34" s="13" t="str">
        <f>+F29</f>
        <v>Anno 3</v>
      </c>
      <c r="G34" s="13" t="str">
        <f>+G29</f>
        <v>Anno 4</v>
      </c>
      <c r="H34" s="13" t="str">
        <f>+H29</f>
        <v>Anno 5</v>
      </c>
      <c r="I34" s="44"/>
    </row>
    <row r="35" spans="2:9" ht="15">
      <c r="B35" s="43"/>
      <c r="C35" s="17" t="str">
        <f>+C30</f>
        <v>Investimenti Materiali</v>
      </c>
      <c r="D35" s="33"/>
      <c r="E35" s="33"/>
      <c r="F35" s="33">
        <f aca="true" t="shared" si="2" ref="F35:H36">+E35+F30</f>
        <v>0</v>
      </c>
      <c r="G35" s="33">
        <f t="shared" si="2"/>
        <v>0</v>
      </c>
      <c r="H35" s="33">
        <f t="shared" si="2"/>
        <v>0</v>
      </c>
      <c r="I35" s="44"/>
    </row>
    <row r="36" spans="2:9" ht="15">
      <c r="B36" s="43"/>
      <c r="C36" s="17" t="str">
        <f>+C31</f>
        <v>Investimenti Immateriali</v>
      </c>
      <c r="D36" s="33"/>
      <c r="E36" s="33"/>
      <c r="F36" s="33">
        <f t="shared" si="2"/>
        <v>0</v>
      </c>
      <c r="G36" s="33">
        <f t="shared" si="2"/>
        <v>0</v>
      </c>
      <c r="H36" s="33">
        <f t="shared" si="2"/>
        <v>0</v>
      </c>
      <c r="I36" s="44"/>
    </row>
    <row r="37" spans="2:9" ht="15">
      <c r="B37" s="43"/>
      <c r="C37" s="12"/>
      <c r="D37" s="17"/>
      <c r="E37" s="17"/>
      <c r="F37" s="17"/>
      <c r="G37" s="17"/>
      <c r="H37" s="17"/>
      <c r="I37" s="44"/>
    </row>
    <row r="38" spans="2:9" ht="15">
      <c r="B38" s="49" t="s">
        <v>6</v>
      </c>
      <c r="C38" s="12" t="s">
        <v>48</v>
      </c>
      <c r="D38" s="13" t="s">
        <v>3</v>
      </c>
      <c r="E38" s="13" t="s">
        <v>4</v>
      </c>
      <c r="F38" s="13" t="s">
        <v>5</v>
      </c>
      <c r="G38" s="13" t="s">
        <v>6</v>
      </c>
      <c r="H38" s="13" t="s">
        <v>7</v>
      </c>
      <c r="I38" s="44"/>
    </row>
    <row r="39" spans="2:9" ht="15">
      <c r="B39" s="43"/>
      <c r="C39" s="17" t="str">
        <f>+C30</f>
        <v>Investimenti Materiali</v>
      </c>
      <c r="D39" s="33"/>
      <c r="E39" s="33"/>
      <c r="F39" s="33"/>
      <c r="G39" s="33">
        <f>+G4*Input!E70</f>
        <v>0</v>
      </c>
      <c r="H39" s="33">
        <f>+IF(G44&gt;=$G$4,0,$G4*Input!$E$70)</f>
        <v>0</v>
      </c>
      <c r="I39" s="44"/>
    </row>
    <row r="40" spans="2:9" ht="15">
      <c r="B40" s="43"/>
      <c r="C40" s="17" t="str">
        <f>+C31</f>
        <v>Investimenti Immateriali</v>
      </c>
      <c r="D40" s="33"/>
      <c r="E40" s="33"/>
      <c r="F40" s="33"/>
      <c r="G40" s="33">
        <f>+G5*Input!E71</f>
        <v>0</v>
      </c>
      <c r="H40" s="33">
        <f>+IF(G45&gt;=$G$4,0,$G5*Input!$E$70)</f>
        <v>0</v>
      </c>
      <c r="I40" s="44"/>
    </row>
    <row r="41" spans="2:9" ht="15">
      <c r="B41" s="43"/>
      <c r="C41" s="17"/>
      <c r="D41" s="17"/>
      <c r="E41" s="17"/>
      <c r="F41" s="17"/>
      <c r="G41" s="17"/>
      <c r="H41" s="17"/>
      <c r="I41" s="44"/>
    </row>
    <row r="42" spans="2:9" ht="15">
      <c r="B42" s="43"/>
      <c r="C42" s="17"/>
      <c r="D42" s="17"/>
      <c r="E42" s="17"/>
      <c r="F42" s="17"/>
      <c r="G42" s="17"/>
      <c r="H42" s="17"/>
      <c r="I42" s="44"/>
    </row>
    <row r="43" spans="2:9" ht="15">
      <c r="B43" s="43"/>
      <c r="C43" s="12" t="s">
        <v>49</v>
      </c>
      <c r="D43" s="13" t="str">
        <f>+D38</f>
        <v>Anno 1</v>
      </c>
      <c r="E43" s="13" t="str">
        <f>+E38</f>
        <v>Anno 2</v>
      </c>
      <c r="F43" s="13" t="str">
        <f>+F38</f>
        <v>Anno 3</v>
      </c>
      <c r="G43" s="13" t="str">
        <f>+G38</f>
        <v>Anno 4</v>
      </c>
      <c r="H43" s="13" t="str">
        <f>+H38</f>
        <v>Anno 5</v>
      </c>
      <c r="I43" s="44"/>
    </row>
    <row r="44" spans="2:9" ht="15">
      <c r="B44" s="43"/>
      <c r="C44" s="17" t="str">
        <f>+C39</f>
        <v>Investimenti Materiali</v>
      </c>
      <c r="D44" s="33"/>
      <c r="E44" s="33"/>
      <c r="F44" s="33">
        <f aca="true" t="shared" si="3" ref="F44:H45">+E44+F39</f>
        <v>0</v>
      </c>
      <c r="G44" s="33">
        <f t="shared" si="3"/>
        <v>0</v>
      </c>
      <c r="H44" s="33">
        <f t="shared" si="3"/>
        <v>0</v>
      </c>
      <c r="I44" s="44"/>
    </row>
    <row r="45" spans="2:9" ht="15">
      <c r="B45" s="43"/>
      <c r="C45" s="17" t="str">
        <f>+C40</f>
        <v>Investimenti Immateriali</v>
      </c>
      <c r="D45" s="33"/>
      <c r="E45" s="33"/>
      <c r="F45" s="33">
        <f t="shared" si="3"/>
        <v>0</v>
      </c>
      <c r="G45" s="33">
        <f t="shared" si="3"/>
        <v>0</v>
      </c>
      <c r="H45" s="33">
        <f t="shared" si="3"/>
        <v>0</v>
      </c>
      <c r="I45" s="44"/>
    </row>
    <row r="46" spans="2:9" ht="15">
      <c r="B46" s="43"/>
      <c r="C46" s="17"/>
      <c r="D46" s="17"/>
      <c r="E46" s="17"/>
      <c r="F46" s="17"/>
      <c r="G46" s="17"/>
      <c r="H46" s="17"/>
      <c r="I46" s="44"/>
    </row>
    <row r="47" spans="2:9" ht="15">
      <c r="B47" s="49" t="s">
        <v>7</v>
      </c>
      <c r="C47" s="12" t="s">
        <v>48</v>
      </c>
      <c r="D47" s="13" t="s">
        <v>3</v>
      </c>
      <c r="E47" s="13" t="s">
        <v>4</v>
      </c>
      <c r="F47" s="13" t="s">
        <v>5</v>
      </c>
      <c r="G47" s="13" t="s">
        <v>6</v>
      </c>
      <c r="H47" s="13" t="s">
        <v>7</v>
      </c>
      <c r="I47" s="44"/>
    </row>
    <row r="48" spans="2:9" ht="15">
      <c r="B48" s="43"/>
      <c r="C48" s="17" t="str">
        <f>+C39</f>
        <v>Investimenti Materiali</v>
      </c>
      <c r="D48" s="33"/>
      <c r="E48" s="33"/>
      <c r="F48" s="33"/>
      <c r="G48" s="33"/>
      <c r="H48" s="33">
        <f>+H4*Input!E70</f>
        <v>0</v>
      </c>
      <c r="I48" s="44"/>
    </row>
    <row r="49" spans="2:9" ht="15">
      <c r="B49" s="43"/>
      <c r="C49" s="17" t="str">
        <f>+C40</f>
        <v>Investimenti Immateriali</v>
      </c>
      <c r="D49" s="33"/>
      <c r="E49" s="33"/>
      <c r="F49" s="33"/>
      <c r="G49" s="33"/>
      <c r="H49" s="33">
        <f>+H5*Input!E71</f>
        <v>0</v>
      </c>
      <c r="I49" s="44"/>
    </row>
    <row r="50" spans="2:9" ht="15">
      <c r="B50" s="43"/>
      <c r="C50" s="17"/>
      <c r="D50" s="17"/>
      <c r="E50" s="17"/>
      <c r="F50" s="17"/>
      <c r="G50" s="17"/>
      <c r="H50" s="17"/>
      <c r="I50" s="44"/>
    </row>
    <row r="51" spans="2:9" ht="15">
      <c r="B51" s="43"/>
      <c r="C51" s="17"/>
      <c r="D51" s="17"/>
      <c r="E51" s="17"/>
      <c r="F51" s="17"/>
      <c r="G51" s="17"/>
      <c r="H51" s="17"/>
      <c r="I51" s="44"/>
    </row>
    <row r="52" spans="2:9" ht="15">
      <c r="B52" s="43"/>
      <c r="C52" s="12" t="s">
        <v>49</v>
      </c>
      <c r="D52" s="13" t="str">
        <f>+D47</f>
        <v>Anno 1</v>
      </c>
      <c r="E52" s="13" t="str">
        <f>+E47</f>
        <v>Anno 2</v>
      </c>
      <c r="F52" s="13" t="str">
        <f>+F47</f>
        <v>Anno 3</v>
      </c>
      <c r="G52" s="13" t="str">
        <f>+G47</f>
        <v>Anno 4</v>
      </c>
      <c r="H52" s="13" t="str">
        <f>+H47</f>
        <v>Anno 5</v>
      </c>
      <c r="I52" s="44"/>
    </row>
    <row r="53" spans="2:9" ht="15">
      <c r="B53" s="43"/>
      <c r="C53" s="17" t="str">
        <f>+C48</f>
        <v>Investimenti Materiali</v>
      </c>
      <c r="D53" s="33"/>
      <c r="E53" s="33"/>
      <c r="F53" s="33"/>
      <c r="G53" s="33"/>
      <c r="H53" s="33">
        <f>+G53+H48</f>
        <v>0</v>
      </c>
      <c r="I53" s="44"/>
    </row>
    <row r="54" spans="2:9" ht="15">
      <c r="B54" s="43"/>
      <c r="C54" s="17" t="str">
        <f>+C49</f>
        <v>Investimenti Immateriali</v>
      </c>
      <c r="D54" s="33"/>
      <c r="E54" s="33"/>
      <c r="F54" s="33"/>
      <c r="G54" s="33"/>
      <c r="H54" s="33">
        <f>+G54+H49</f>
        <v>0</v>
      </c>
      <c r="I54" s="44"/>
    </row>
    <row r="55" spans="2:9" ht="15">
      <c r="B55" s="43"/>
      <c r="C55" s="17"/>
      <c r="D55" s="17"/>
      <c r="E55" s="17"/>
      <c r="F55" s="17"/>
      <c r="G55" s="17"/>
      <c r="H55" s="17"/>
      <c r="I55" s="44"/>
    </row>
    <row r="56" spans="2:9" ht="15">
      <c r="B56" s="49" t="s">
        <v>50</v>
      </c>
      <c r="C56" s="12" t="str">
        <f>+C47</f>
        <v>Ammortamenti</v>
      </c>
      <c r="D56" s="13" t="str">
        <f>+D52</f>
        <v>Anno 1</v>
      </c>
      <c r="E56" s="13" t="str">
        <f>+E52</f>
        <v>Anno 2</v>
      </c>
      <c r="F56" s="13" t="str">
        <f>+F52</f>
        <v>Anno 3</v>
      </c>
      <c r="G56" s="13" t="str">
        <f>+G52</f>
        <v>Anno 4</v>
      </c>
      <c r="H56" s="13" t="str">
        <f>+H52</f>
        <v>Anno 5</v>
      </c>
      <c r="I56" s="44"/>
    </row>
    <row r="57" spans="2:9" ht="15">
      <c r="B57" s="43"/>
      <c r="C57" s="17" t="str">
        <f aca="true" t="shared" si="4" ref="C57:C63">+C48</f>
        <v>Investimenti Materiali</v>
      </c>
      <c r="D57" s="33">
        <f aca="true" t="shared" si="5" ref="D57:H58">+D10+D20+D30+D39+E48</f>
        <v>17280</v>
      </c>
      <c r="E57" s="33">
        <f t="shared" si="5"/>
        <v>17280</v>
      </c>
      <c r="F57" s="33">
        <f t="shared" si="5"/>
        <v>17280</v>
      </c>
      <c r="G57" s="33">
        <f t="shared" si="5"/>
        <v>17280</v>
      </c>
      <c r="H57" s="33">
        <f t="shared" si="5"/>
        <v>17280</v>
      </c>
      <c r="I57" s="44"/>
    </row>
    <row r="58" spans="2:9" ht="15">
      <c r="B58" s="43"/>
      <c r="C58" s="17" t="str">
        <f t="shared" si="4"/>
        <v>Investimenti Immateriali</v>
      </c>
      <c r="D58" s="33">
        <f t="shared" si="5"/>
        <v>0</v>
      </c>
      <c r="E58" s="33">
        <f t="shared" si="5"/>
        <v>0</v>
      </c>
      <c r="F58" s="33">
        <f t="shared" si="5"/>
        <v>0</v>
      </c>
      <c r="G58" s="33">
        <f t="shared" si="5"/>
        <v>0</v>
      </c>
      <c r="H58" s="33">
        <f t="shared" si="5"/>
        <v>0</v>
      </c>
      <c r="I58" s="44"/>
    </row>
    <row r="59" spans="2:9" ht="15">
      <c r="B59" s="43"/>
      <c r="C59" s="17"/>
      <c r="D59" s="17"/>
      <c r="E59" s="17"/>
      <c r="F59" s="17"/>
      <c r="G59" s="17"/>
      <c r="H59" s="17"/>
      <c r="I59" s="44"/>
    </row>
    <row r="60" spans="2:9" ht="15">
      <c r="B60" s="43"/>
      <c r="C60" s="17"/>
      <c r="D60" s="17"/>
      <c r="E60" s="17"/>
      <c r="F60" s="17"/>
      <c r="G60" s="17"/>
      <c r="H60" s="17"/>
      <c r="I60" s="44"/>
    </row>
    <row r="61" spans="2:9" ht="15">
      <c r="B61" s="43"/>
      <c r="C61" s="12" t="str">
        <f t="shared" si="4"/>
        <v>Fondo Ammortamenti</v>
      </c>
      <c r="D61" s="13" t="str">
        <f>+D56</f>
        <v>Anno 1</v>
      </c>
      <c r="E61" s="13" t="str">
        <f>+E56</f>
        <v>Anno 2</v>
      </c>
      <c r="F61" s="13" t="str">
        <f>+F56</f>
        <v>Anno 3</v>
      </c>
      <c r="G61" s="13" t="str">
        <f>+G56</f>
        <v>Anno 4</v>
      </c>
      <c r="H61" s="13" t="str">
        <f>+H56</f>
        <v>Anno 5</v>
      </c>
      <c r="I61" s="44"/>
    </row>
    <row r="62" spans="2:9" ht="15">
      <c r="B62" s="43"/>
      <c r="C62" s="17" t="str">
        <f t="shared" si="4"/>
        <v>Investimenti Materiali</v>
      </c>
      <c r="D62" s="33">
        <f>+D16+D26+D35+D44+E53</f>
        <v>17280</v>
      </c>
      <c r="E62" s="45">
        <f aca="true" t="shared" si="6" ref="E62:H63">+E57+D62</f>
        <v>34560</v>
      </c>
      <c r="F62" s="45">
        <f t="shared" si="6"/>
        <v>51840</v>
      </c>
      <c r="G62" s="45">
        <f t="shared" si="6"/>
        <v>69120</v>
      </c>
      <c r="H62" s="45">
        <f t="shared" si="6"/>
        <v>86400</v>
      </c>
      <c r="I62" s="44"/>
    </row>
    <row r="63" spans="2:9" ht="15">
      <c r="B63" s="43"/>
      <c r="C63" s="17" t="str">
        <f t="shared" si="4"/>
        <v>Investimenti Immateriali</v>
      </c>
      <c r="D63" s="33">
        <f>+D17+D27+D36+D45+E54</f>
        <v>0</v>
      </c>
      <c r="E63" s="45">
        <f t="shared" si="6"/>
        <v>0</v>
      </c>
      <c r="F63" s="45">
        <f t="shared" si="6"/>
        <v>0</v>
      </c>
      <c r="G63" s="45">
        <f t="shared" si="6"/>
        <v>0</v>
      </c>
      <c r="H63" s="45">
        <f t="shared" si="6"/>
        <v>0</v>
      </c>
      <c r="I63" s="44"/>
    </row>
    <row r="64" spans="2:9" ht="15.75" thickBot="1">
      <c r="B64" s="46"/>
      <c r="C64" s="47"/>
      <c r="D64" s="47"/>
      <c r="E64" s="47"/>
      <c r="F64" s="47"/>
      <c r="G64" s="47"/>
      <c r="H64" s="47"/>
      <c r="I64" s="48"/>
    </row>
    <row r="65" ht="15.75" thickTop="1"/>
    <row r="66" ht="15.75" thickBot="1"/>
    <row r="67" spans="2:9" ht="15">
      <c r="B67" s="8"/>
      <c r="C67" s="9"/>
      <c r="D67" s="9"/>
      <c r="E67" s="9"/>
      <c r="F67" s="9"/>
      <c r="G67" s="9"/>
      <c r="H67" s="9"/>
      <c r="I67" s="10"/>
    </row>
    <row r="68" spans="2:9" ht="15">
      <c r="B68" s="16" t="s">
        <v>417</v>
      </c>
      <c r="C68" s="17"/>
      <c r="D68" s="17"/>
      <c r="E68" s="17"/>
      <c r="F68" s="17"/>
      <c r="G68" s="17"/>
      <c r="H68" s="17"/>
      <c r="I68" s="15"/>
    </row>
    <row r="69" spans="2:9" ht="15">
      <c r="B69" s="16"/>
      <c r="C69" s="17"/>
      <c r="D69" s="17"/>
      <c r="E69" s="17"/>
      <c r="F69" s="17"/>
      <c r="G69" s="17"/>
      <c r="H69" s="17"/>
      <c r="I69" s="15"/>
    </row>
    <row r="70" spans="2:9" ht="15">
      <c r="B70" s="16"/>
      <c r="D70" s="13" t="str">
        <f>+D61</f>
        <v>Anno 1</v>
      </c>
      <c r="E70" s="13" t="str">
        <f>+E61</f>
        <v>Anno 2</v>
      </c>
      <c r="F70" s="13" t="str">
        <f>+F61</f>
        <v>Anno 3</v>
      </c>
      <c r="G70" s="13" t="str">
        <f>+G61</f>
        <v>Anno 4</v>
      </c>
      <c r="H70" s="13" t="str">
        <f>+H61</f>
        <v>Anno 5</v>
      </c>
      <c r="I70" s="15"/>
    </row>
    <row r="71" spans="2:9" ht="15">
      <c r="B71" s="16"/>
      <c r="C71" s="12" t="s">
        <v>417</v>
      </c>
      <c r="D71" s="33">
        <f>+Input!$D$21</f>
        <v>0</v>
      </c>
      <c r="E71" s="33">
        <f>+Input!$D$21</f>
        <v>0</v>
      </c>
      <c r="F71" s="33">
        <f>+Input!$D$21</f>
        <v>0</v>
      </c>
      <c r="G71" s="33">
        <f>+Input!$D$21</f>
        <v>0</v>
      </c>
      <c r="H71" s="33">
        <f>+Input!$D$21</f>
        <v>0</v>
      </c>
      <c r="I71" s="15"/>
    </row>
    <row r="72" spans="2:9" ht="15">
      <c r="B72" s="16"/>
      <c r="C72" s="17"/>
      <c r="D72" s="17"/>
      <c r="E72" s="17"/>
      <c r="F72" s="17"/>
      <c r="G72" s="17"/>
      <c r="H72" s="17"/>
      <c r="I72" s="15"/>
    </row>
    <row r="73" spans="2:9" ht="15">
      <c r="B73" s="16"/>
      <c r="C73" s="17" t="s">
        <v>420</v>
      </c>
      <c r="D73" s="33">
        <f>+Input!D21/Input!F21</f>
        <v>0</v>
      </c>
      <c r="E73" s="33">
        <f>+IF(D75&gt;=Input!$D$21,0,Input!$D$21/Input!$F$21)</f>
        <v>0</v>
      </c>
      <c r="F73" s="33">
        <f>+IF(E75&gt;=Input!$D$21,0,Input!$D$21/Input!$F$21)</f>
        <v>0</v>
      </c>
      <c r="G73" s="33">
        <f>+IF(F75&gt;=Input!$D$21,0,Input!$D$21/Input!$F$21)</f>
        <v>0</v>
      </c>
      <c r="H73" s="33">
        <f>+IF(G75&gt;=Input!$D$21,0,Input!$D$21/Input!$F$21)</f>
        <v>0</v>
      </c>
      <c r="I73" s="15"/>
    </row>
    <row r="74" spans="2:9" ht="15">
      <c r="B74" s="16"/>
      <c r="C74" s="17"/>
      <c r="D74" s="17"/>
      <c r="E74" s="17"/>
      <c r="F74" s="17"/>
      <c r="G74" s="17"/>
      <c r="H74" s="17"/>
      <c r="I74" s="15"/>
    </row>
    <row r="75" spans="2:9" ht="15">
      <c r="B75" s="16"/>
      <c r="C75" s="17" t="s">
        <v>419</v>
      </c>
      <c r="D75" s="33">
        <f>+D73</f>
        <v>0</v>
      </c>
      <c r="E75" s="33">
        <f>+E73+D75</f>
        <v>0</v>
      </c>
      <c r="F75" s="33">
        <f>+F73+E75</f>
        <v>0</v>
      </c>
      <c r="G75" s="33">
        <f>+G73+F75</f>
        <v>0</v>
      </c>
      <c r="H75" s="33">
        <f>+H73+G75</f>
        <v>0</v>
      </c>
      <c r="I75" s="15"/>
    </row>
    <row r="76" spans="2:9" ht="15.75" thickBot="1">
      <c r="B76" s="18"/>
      <c r="C76" s="19"/>
      <c r="D76" s="19"/>
      <c r="E76" s="19"/>
      <c r="F76" s="19"/>
      <c r="G76" s="19"/>
      <c r="H76" s="19"/>
      <c r="I76" s="2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I23"/>
  <sheetViews>
    <sheetView showGridLines="0" zoomScalePageLayoutView="0" workbookViewId="0" topLeftCell="A1">
      <selection activeCell="H32" sqref="H32"/>
    </sheetView>
  </sheetViews>
  <sheetFormatPr defaultColWidth="9.140625" defaultRowHeight="15"/>
  <cols>
    <col min="2" max="2" width="2.8515625" style="0" customWidth="1"/>
    <col min="3" max="3" width="18.140625" style="0" bestFit="1" customWidth="1"/>
    <col min="4" max="4" width="10.57421875" style="0" bestFit="1" customWidth="1"/>
    <col min="5" max="8" width="11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12" t="s">
        <v>72</v>
      </c>
      <c r="D3" s="13" t="str">
        <f>+Input!E76</f>
        <v>Anno 1</v>
      </c>
      <c r="E3" s="13" t="str">
        <f>+Input!F76</f>
        <v>Anno 2</v>
      </c>
      <c r="F3" s="13" t="str">
        <f>+Input!G76</f>
        <v>Anno 3</v>
      </c>
      <c r="G3" s="13" t="str">
        <f>+Input!H76</f>
        <v>Anno 4</v>
      </c>
      <c r="H3" s="13" t="str">
        <f>+Input!I76</f>
        <v>Anno 5</v>
      </c>
      <c r="I3" s="15"/>
    </row>
    <row r="4" spans="2:9" ht="15">
      <c r="B4" s="16"/>
      <c r="C4" s="17" t="s">
        <v>68</v>
      </c>
      <c r="D4" s="33">
        <f>+Input!E79*Input!E77</f>
        <v>30000</v>
      </c>
      <c r="E4" s="33">
        <f>+Input!F79*Input!F77</f>
        <v>31500</v>
      </c>
      <c r="F4" s="33">
        <f>+Input!G79*Input!G77</f>
        <v>31500</v>
      </c>
      <c r="G4" s="33">
        <f>+Input!H79*Input!H77</f>
        <v>31500</v>
      </c>
      <c r="H4" s="33">
        <f>+Input!I79*Input!I77</f>
        <v>31500</v>
      </c>
      <c r="I4" s="15"/>
    </row>
    <row r="5" spans="2:9" ht="15">
      <c r="B5" s="16"/>
      <c r="C5" s="17" t="s">
        <v>69</v>
      </c>
      <c r="D5" s="33">
        <f>+D4*Input!$E$81</f>
        <v>9000</v>
      </c>
      <c r="E5" s="33">
        <f>+E4*Input!$E$81</f>
        <v>9450</v>
      </c>
      <c r="F5" s="33">
        <f>+F4*Input!$E$81</f>
        <v>9450</v>
      </c>
      <c r="G5" s="33">
        <f>+G4*Input!$E$81</f>
        <v>9450</v>
      </c>
      <c r="H5" s="33">
        <f>+H4*Input!$E$81</f>
        <v>9450</v>
      </c>
      <c r="I5" s="15"/>
    </row>
    <row r="6" spans="2:9" ht="15">
      <c r="B6" s="16"/>
      <c r="C6" s="17" t="s">
        <v>70</v>
      </c>
      <c r="D6" s="33">
        <f>+D4*Input!$E$82</f>
        <v>1200</v>
      </c>
      <c r="E6" s="33">
        <f>+E4*Input!$E$82</f>
        <v>1260</v>
      </c>
      <c r="F6" s="33">
        <f>+F4*Input!$E$82</f>
        <v>1260</v>
      </c>
      <c r="G6" s="33">
        <f>+G4*Input!$E$82</f>
        <v>1260</v>
      </c>
      <c r="H6" s="33">
        <f>+H4*Input!$E$82</f>
        <v>1260</v>
      </c>
      <c r="I6" s="15"/>
    </row>
    <row r="7" spans="2:9" ht="15">
      <c r="B7" s="16"/>
      <c r="C7" s="17" t="s">
        <v>71</v>
      </c>
      <c r="D7" s="33">
        <f>+D4*Input!$E$83</f>
        <v>2400</v>
      </c>
      <c r="E7" s="33">
        <f>+E4*Input!$E$83</f>
        <v>2520</v>
      </c>
      <c r="F7" s="33">
        <f>+F4*Input!$E$83</f>
        <v>2520</v>
      </c>
      <c r="G7" s="33">
        <f>+G4*Input!$E$83</f>
        <v>2520</v>
      </c>
      <c r="H7" s="33">
        <f>+H4*Input!$E$83</f>
        <v>2520</v>
      </c>
      <c r="I7" s="15"/>
    </row>
    <row r="8" spans="2:9" ht="15">
      <c r="B8" s="16"/>
      <c r="C8" s="12" t="s">
        <v>74</v>
      </c>
      <c r="D8" s="50">
        <f>SUM(D4:D7)</f>
        <v>42600</v>
      </c>
      <c r="E8" s="50">
        <f>SUM(E4:E7)</f>
        <v>44730</v>
      </c>
      <c r="F8" s="50">
        <f>SUM(F4:F7)</f>
        <v>44730</v>
      </c>
      <c r="G8" s="50">
        <f>SUM(G4:G7)</f>
        <v>44730</v>
      </c>
      <c r="H8" s="50">
        <f>SUM(H4:H7)</f>
        <v>44730</v>
      </c>
      <c r="I8" s="15"/>
    </row>
    <row r="9" spans="2:9" ht="15.75" thickBot="1">
      <c r="B9" s="18"/>
      <c r="C9" s="51"/>
      <c r="D9" s="53"/>
      <c r="E9" s="53"/>
      <c r="F9" s="53"/>
      <c r="G9" s="53"/>
      <c r="H9" s="53"/>
      <c r="I9" s="20"/>
    </row>
    <row r="11" ht="15.75" thickBot="1"/>
    <row r="12" spans="2:9" ht="15">
      <c r="B12" s="8"/>
      <c r="C12" s="9"/>
      <c r="D12" s="9"/>
      <c r="E12" s="9"/>
      <c r="F12" s="9"/>
      <c r="G12" s="9"/>
      <c r="H12" s="9"/>
      <c r="I12" s="10"/>
    </row>
    <row r="13" spans="2:9" ht="15">
      <c r="B13" s="16"/>
      <c r="C13" s="12" t="s">
        <v>37</v>
      </c>
      <c r="D13" s="13" t="str">
        <f aca="true" t="shared" si="0" ref="D13:H15">+D3</f>
        <v>Anno 1</v>
      </c>
      <c r="E13" s="13" t="str">
        <f t="shared" si="0"/>
        <v>Anno 2</v>
      </c>
      <c r="F13" s="13" t="str">
        <f t="shared" si="0"/>
        <v>Anno 3</v>
      </c>
      <c r="G13" s="13" t="str">
        <f t="shared" si="0"/>
        <v>Anno 4</v>
      </c>
      <c r="H13" s="13" t="str">
        <f t="shared" si="0"/>
        <v>Anno 5</v>
      </c>
      <c r="I13" s="15"/>
    </row>
    <row r="14" spans="2:9" ht="15">
      <c r="B14" s="16"/>
      <c r="C14" s="17" t="str">
        <f>+C4</f>
        <v>Retribuzione</v>
      </c>
      <c r="D14" s="45">
        <f t="shared" si="0"/>
        <v>30000</v>
      </c>
      <c r="E14" s="45">
        <f t="shared" si="0"/>
        <v>31500</v>
      </c>
      <c r="F14" s="45">
        <f t="shared" si="0"/>
        <v>31500</v>
      </c>
      <c r="G14" s="45">
        <f t="shared" si="0"/>
        <v>31500</v>
      </c>
      <c r="H14" s="45">
        <f t="shared" si="0"/>
        <v>31500</v>
      </c>
      <c r="I14" s="15"/>
    </row>
    <row r="15" spans="2:9" ht="15">
      <c r="B15" s="16"/>
      <c r="C15" s="17" t="str">
        <f aca="true" t="shared" si="1" ref="C15:D17">+C5</f>
        <v>INPS</v>
      </c>
      <c r="D15" s="45">
        <f t="shared" si="0"/>
        <v>9000</v>
      </c>
      <c r="E15" s="45">
        <f t="shared" si="0"/>
        <v>9450</v>
      </c>
      <c r="F15" s="45">
        <f t="shared" si="0"/>
        <v>9450</v>
      </c>
      <c r="G15" s="45">
        <f t="shared" si="0"/>
        <v>9450</v>
      </c>
      <c r="H15" s="45">
        <f t="shared" si="0"/>
        <v>9450</v>
      </c>
      <c r="I15" s="15"/>
    </row>
    <row r="16" spans="2:9" ht="15">
      <c r="B16" s="16"/>
      <c r="C16" s="17" t="str">
        <f t="shared" si="1"/>
        <v>INAIL</v>
      </c>
      <c r="D16" s="45">
        <f t="shared" si="1"/>
        <v>1200</v>
      </c>
      <c r="E16" s="45">
        <f aca="true" t="shared" si="2" ref="E16:H17">+E6</f>
        <v>1260</v>
      </c>
      <c r="F16" s="45">
        <f t="shared" si="2"/>
        <v>1260</v>
      </c>
      <c r="G16" s="45">
        <f t="shared" si="2"/>
        <v>1260</v>
      </c>
      <c r="H16" s="45">
        <f t="shared" si="2"/>
        <v>1260</v>
      </c>
      <c r="I16" s="15"/>
    </row>
    <row r="17" spans="2:9" ht="15">
      <c r="B17" s="16"/>
      <c r="C17" s="17" t="str">
        <f t="shared" si="1"/>
        <v>TFR</v>
      </c>
      <c r="D17" s="45">
        <f t="shared" si="1"/>
        <v>2400</v>
      </c>
      <c r="E17" s="45">
        <f t="shared" si="2"/>
        <v>2520</v>
      </c>
      <c r="F17" s="45">
        <f t="shared" si="2"/>
        <v>2520</v>
      </c>
      <c r="G17" s="45">
        <f t="shared" si="2"/>
        <v>2520</v>
      </c>
      <c r="H17" s="45">
        <f t="shared" si="2"/>
        <v>2520</v>
      </c>
      <c r="I17" s="15"/>
    </row>
    <row r="18" spans="2:9" ht="15">
      <c r="B18" s="16"/>
      <c r="C18" s="12" t="s">
        <v>74</v>
      </c>
      <c r="D18" s="50">
        <f>SUM(D14:D17)</f>
        <v>42600</v>
      </c>
      <c r="E18" s="50">
        <f>SUM(E14:E17)</f>
        <v>44730</v>
      </c>
      <c r="F18" s="50">
        <f>SUM(F14:F17)</f>
        <v>44730</v>
      </c>
      <c r="G18" s="50">
        <f>SUM(G14:G17)</f>
        <v>44730</v>
      </c>
      <c r="H18" s="50">
        <f>SUM(H14:H17)</f>
        <v>44730</v>
      </c>
      <c r="I18" s="15"/>
    </row>
    <row r="19" spans="2:9" ht="15.75" thickBot="1">
      <c r="B19" s="18"/>
      <c r="C19" s="19"/>
      <c r="D19" s="19"/>
      <c r="E19" s="19"/>
      <c r="F19" s="19"/>
      <c r="G19" s="19"/>
      <c r="H19" s="19"/>
      <c r="I19" s="20"/>
    </row>
    <row r="22" spans="3:8" ht="15">
      <c r="C22" t="s">
        <v>328</v>
      </c>
      <c r="D22" s="25">
        <f>+D17</f>
        <v>2400</v>
      </c>
      <c r="E22" s="25">
        <f>+E17</f>
        <v>2520</v>
      </c>
      <c r="F22" s="25">
        <f>+F17</f>
        <v>2520</v>
      </c>
      <c r="G22" s="25">
        <f>+G17</f>
        <v>2520</v>
      </c>
      <c r="H22" s="25">
        <f>+H17</f>
        <v>2520</v>
      </c>
    </row>
    <row r="23" spans="3:8" ht="15">
      <c r="C23" t="s">
        <v>37</v>
      </c>
      <c r="D23" s="25">
        <f>+D18-D22</f>
        <v>40200</v>
      </c>
      <c r="E23" s="25">
        <f>+E18-E22</f>
        <v>42210</v>
      </c>
      <c r="F23" s="25">
        <f>+F18-F22</f>
        <v>42210</v>
      </c>
      <c r="G23" s="25">
        <f>+G18-G22</f>
        <v>42210</v>
      </c>
      <c r="H23" s="25">
        <f>+H18-H22</f>
        <v>42210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Imperiale, Gianluca</cp:lastModifiedBy>
  <dcterms:created xsi:type="dcterms:W3CDTF">2012-11-14T21:23:26Z</dcterms:created>
  <dcterms:modified xsi:type="dcterms:W3CDTF">2012-12-20T17:00:29Z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