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Sheet1" sheetId="2" r:id="rId2"/>
    <sheet name="Report -&gt;" sheetId="3" r:id="rId3"/>
    <sheet name="SP" sheetId="4" r:id="rId4"/>
    <sheet name="CE" sheetId="5" r:id="rId5"/>
    <sheet name="Cash Flow" sheetId="6" r:id="rId6"/>
    <sheet name="Calcoli -&gt; " sheetId="7" r:id="rId7"/>
    <sheet name="MCL" sheetId="8" r:id="rId8"/>
    <sheet name="Inve" sheetId="9" r:id="rId9"/>
    <sheet name="Personale" sheetId="10" r:id="rId10"/>
    <sheet name="Mutuo invitalia" sheetId="11" r:id="rId11"/>
    <sheet name="finanziamento" sheetId="12" r:id="rId12"/>
    <sheet name="Altri costi" sheetId="13" r:id="rId13"/>
    <sheet name="Iva" sheetId="14" r:id="rId14"/>
    <sheet name="Irap" sheetId="15" r:id="rId15"/>
    <sheet name="Irpef socio" sheetId="16" r:id="rId16"/>
    <sheet name="Inps socio" sheetId="17" r:id="rId17"/>
    <sheet name="Banca" sheetId="18" r:id="rId18"/>
    <sheet name="Sheet5" sheetId="19" r:id="rId1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<sst xmlns="http://schemas.openxmlformats.org/spreadsheetml/2006/main" count="802" uniqueCount="440">
  <si>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</si>
  <si>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</si>
  <si>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</si>
  <si>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</si>
  <si>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</si>
  <si>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</si>
  <si>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</si>
  <si>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</si>
  <si>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</si>
  <si>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</si>
  <si>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</si>
  <si>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</si>
  <si>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</si>
  <si>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</si>
  <si>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</si>
  <si>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</si>
  <si>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</si>
  <si>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</si>
  <si>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</si>
  <si>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</si>
  <si>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</si>
  <si>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</si>
  <si>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</si>
  <si>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</si>
  <si>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</si>
  <si>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</si>
  <si>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</si>
  <si>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</si>
  <si>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</si>
  <si>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</si>
  <si>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</si>
  <si>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</si>
  <si>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</si>
  <si>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</si>
  <si>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</si>
  <si>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</si>
  <si>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</si>
  <si>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</si>
  <si>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</si>
  <si>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</si>
  <si>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</si>
  <si>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</si>
  <si>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</si>
  <si>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</si>
  <si>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</si>
  <si>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</si>
  <si>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</si>
  <si>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</si>
  <si>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</si>
  <si>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</si>
  <si>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</si>
  <si>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</si>
  <si>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</si>
  <si>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</si>
  <si>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</si>
  <si>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</si>
  <si>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</si>
  <si>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</si>
  <si>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</si>
  <si>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</si>
  <si>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</si>
  <si>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</si>
  <si>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</si>
  <si>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</si>
  <si>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</si>
  <si>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</si>
  <si>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</si>
  <si>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</si>
  <si>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</si>
  <si>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</si>
  <si>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</si>
  <si>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</si>
  <si>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</si>
  <si>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</si>
  <si>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</si>
  <si>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</si>
  <si>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</si>
  <si>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</si>
  <si>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</si>
  <si>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</si>
  <si>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</si>
  <si>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</si>
  <si>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</si>
  <si>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</si>
  <si>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</si>
  <si>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</si>
  <si>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</si>
  <si>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</si>
  <si>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</si>
  <si>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</si>
  <si>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</si>
  <si>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</si>
  <si>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</si>
  <si>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</si>
  <si>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</si>
  <si>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</si>
  <si>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</si>
  <si>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</si>
  <si>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</si>
  <si>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</si>
  <si>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</si>
  <si>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</si>
  <si>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</si>
  <si>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</si>
  <si>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</si>
  <si>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</si>
  <si>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</si>
  <si>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</si>
  <si>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</si>
  <si>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</si>
  <si>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</si>
  <si>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</si>
  <si>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</si>
  <si>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</si>
  <si>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</si>
  <si>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</si>
  <si>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</si>
  <si>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</si>
  <si>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</si>
  <si>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</si>
  <si>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</si>
  <si>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</si>
  <si>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</si>
  <si>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</si>
  <si>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</si>
  <si>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</si>
  <si>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</si>
  <si>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</si>
  <si>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</si>
  <si>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</si>
  <si>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</si>
  <si>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</si>
  <si>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</si>
  <si>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</si>
  <si>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</si>
  <si>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</si>
  <si>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</si>
  <si>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</si>
  <si>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</si>
  <si>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</si>
  <si>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</si>
  <si>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</si>
  <si>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</si>
  <si>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</si>
  <si>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</si>
  <si>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</si>
  <si>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</si>
  <si>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</si>
  <si>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</si>
  <si>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</si>
  <si>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</si>
  <si>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</si>
  <si>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</si>
  <si>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</si>
  <si>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</si>
  <si>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</si>
  <si>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</si>
  <si>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</si>
  <si>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</si>
  <si>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</si>
  <si>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</si>
  <si>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</si>
  <si>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</si>
  <si>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</si>
  <si>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</si>
  <si>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</si>
  <si>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</si>
  <si>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</si>
  <si>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</si>
  <si>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</si>
  <si>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</si>
  <si>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</si>
  <si>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</si>
  <si>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</si>
  <si>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</si>
  <si>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</si>
  <si>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</si>
  <si>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</si>
  <si>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</si>
  <si>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</si>
  <si>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</si>
  <si>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</si>
  <si>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</si>
  <si>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</si>
  <si>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</si>
  <si>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</si>
  <si>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</si>
  <si>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</si>
  <si>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</si>
  <si>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</si>
  <si>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</si>
  <si>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</si>
  <si>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</si>
  <si>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</si>
  <si>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</si>
  <si>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</si>
  <si>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</si>
  <si>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</si>
  <si>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</si>
  <si>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</si>
  <si>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</si>
  <si>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</si>
  <si>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</si>
  <si>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</si>
  <si>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</si>
  <si>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</si>
  <si>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</si>
  <si>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</si>
  <si>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</si>
  <si>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</si>
  <si>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</si>
  <si>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</si>
  <si>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</si>
  <si>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</si>
  <si>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</si>
  <si>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</si>
  <si>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</si>
  <si>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</si>
  <si>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</si>
  <si>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</si>
  <si>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</si>
  <si>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</si>
  <si>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</si>
  <si>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</si>
  <si>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</si>
  <si>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</si>
  <si>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</si>
  <si>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</si>
  <si>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</si>
  <si>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</si>
  <si>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</si>
  <si>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</si>
  <si>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</si>
  <si>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</si>
  <si>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</si>
  <si>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</si>
  <si>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</si>
  <si>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</si>
  <si>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</si>
  <si>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</si>
  <si>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2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</si>
  <si>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</si>
  <si>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</si>
  <si>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</si>
  <si>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</si>
  <si>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</si>
  <si>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</si>
  <si>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</si>
  <si>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</si>
  <si>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</si>
  <si>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</si>
  <si>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</si>
  <si>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</si>
  <si>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</si>
  <si>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</si>
  <si>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</si>
  <si>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</si>
  <si>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</si>
  <si>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</si>
  <si>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</si>
  <si>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</si>
  <si>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</si>
  <si>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</si>
  <si>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</si>
  <si>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</si>
  <si>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</si>
  <si>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</si>
  <si>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</si>
  <si>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</si>
  <si>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</si>
  <si>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</si>
  <si>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</si>
  <si>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</si>
  <si>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</si>
  <si>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</si>
  <si>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</si>
  <si>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</si>
  <si>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</si>
  <si>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</si>
  <si>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</si>
  <si>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</si>
  <si>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</si>
  <si>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</si>
  <si>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</si>
  <si>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</si>
  <si>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</si>
  <si>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</si>
  <si>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</si>
  <si>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</si>
  <si>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</si>
  <si>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</si>
  <si>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</si>
  <si>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</si>
  <si>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</si>
  <si>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</si>
  <si>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</si>
  <si>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</si>
  <si>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</si>
  <si>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</si>
  <si>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</si>
  <si>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</si>
  <si>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</si>
  <si>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</si>
  <si>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</si>
  <si>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</si>
  <si>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</si>
  <si>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</si>
  <si>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</si>
  <si>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</si>
  <si>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</si>
  <si>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</si>
  <si>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</si>
  <si>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</si>
  <si>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</si>
  <si>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</si>
  <si>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</si>
  <si>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</si>
  <si>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</si>
  <si>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</si>
  <si>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</si>
  <si>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</si>
  <si>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</si>
  <si>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</si>
  <si>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</si>
  <si>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</si>
  <si>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</si>
  <si>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</si>
  <si>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</si>
  <si>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</si>
  <si>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</si>
  <si>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</si>
  <si>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</si>
  <si>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</si>
  <si>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</si>
  <si>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</si>
  <si>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</si>
  <si>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</si>
  <si>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</si>
  <si>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</si>
  <si>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</si>
  <si>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</si>
  <si>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</si>
  <si>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</si>
  <si>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</si>
  <si>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</si>
  <si>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</si>
  <si>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</si>
  <si>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</si>
  <si>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</si>
  <si>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</si>
  <si>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</si>
  <si>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</si>
  <si>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</si>
  <si>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</si>
  <si>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</si>
  <si>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</si>
  <si>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</si>
  <si>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</si>
  <si>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</si>
  <si>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</si>
  <si>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</si>
  <si>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</si>
  <si>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</si>
  <si>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</si>
  <si>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</si>
  <si>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</si>
  <si>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</si>
  <si>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</si>
  <si>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</si>
  <si>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</si>
  <si>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</si>
  <si>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</si>
  <si>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</si>
  <si>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</si>
  <si>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Abbigliamento/Franchising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</si>
  <si>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</si>
  <si>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</si>
  <si>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</si>
  <si>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</si>
  <si>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</si>
  <si>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</si>
  <si>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</si>
  <si>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</si>
  <si>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</si>
  <si>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</si>
  <si>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</si>
  <si>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</si>
  <si>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% Fatturato</t>
  </si>
  <si>
    <t>gg dilazione pagamento</t>
  </si>
  <si>
    <t>Royalties franchising</t>
  </si>
  <si>
    <t>Acquisti</t>
  </si>
  <si>
    <t>Debito v/Franchisor</t>
  </si>
  <si>
    <t>Uscite Franchisor</t>
  </si>
  <si>
    <t>www.bpexcel.it</t>
  </si>
  <si>
    <t>MARCHIO:</t>
  </si>
  <si>
    <t>CAMOMILLA</t>
  </si>
  <si>
    <t>TIPOLOGIA FORMAT:</t>
  </si>
  <si>
    <t>120 mq</t>
  </si>
  <si>
    <t>Margine contribuzione</t>
  </si>
  <si>
    <t>Importo Fidejussione</t>
  </si>
  <si>
    <t>% Margien di contribuzione</t>
  </si>
  <si>
    <t>SEZIONE FINANZIAMENTO INVITALIA</t>
  </si>
  <si>
    <t>Fidejussione</t>
  </si>
  <si>
    <t xml:space="preserve">      -Fidejussione</t>
  </si>
  <si>
    <t>LE AGEVOLAZIONI</t>
  </si>
  <si>
    <t>Le agevolazioni previste sono:</t>
  </si>
  <si>
    <r>
      <t>per gli investimenti</t>
    </r>
    <r>
      <rPr>
        <sz val="10"/>
        <color indexed="8"/>
        <rFont val="Verdana"/>
        <family val="2"/>
      </rPr>
      <t xml:space="preserve">, un </t>
    </r>
    <r>
      <rPr>
        <b/>
        <sz val="10"/>
        <color indexed="8"/>
        <rFont val="Verdana"/>
        <family val="2"/>
      </rPr>
      <t>contributo a fondo perduto</t>
    </r>
    <r>
      <rPr>
        <sz val="10"/>
        <color indexed="8"/>
        <rFont val="Verdana"/>
        <family val="2"/>
      </rPr>
      <t xml:space="preserve"> e un </t>
    </r>
    <r>
      <rPr>
        <b/>
        <sz val="10"/>
        <color indexed="8"/>
        <rFont val="Verdana"/>
        <family val="2"/>
      </rPr>
      <t>mutuo a tasso agevolato</t>
    </r>
    <r>
      <rPr>
        <sz val="10"/>
        <color indexed="8"/>
        <rFont val="Verdana"/>
        <family val="2"/>
      </rPr>
      <t>, che può anche arrivare a coprire il 100% degli investimenti ammissibili</t>
    </r>
  </si>
  <si>
    <r>
      <t>per la gestione</t>
    </r>
    <r>
      <rPr>
        <sz val="10"/>
        <color indexed="8"/>
        <rFont val="Verdana"/>
        <family val="2"/>
      </rPr>
      <t xml:space="preserve">, un </t>
    </r>
    <r>
      <rPr>
        <b/>
        <sz val="10"/>
        <color indexed="8"/>
        <rFont val="Verdana"/>
        <family val="2"/>
      </rPr>
      <t>contributo a fondo perduto</t>
    </r>
    <r>
      <rPr>
        <sz val="10"/>
        <color indexed="8"/>
        <rFont val="Verdana"/>
        <family val="2"/>
      </rPr>
      <t>, anche su base pluriennale, sulle spese ad essa relative</t>
    </r>
  </si>
  <si>
    <r>
      <t xml:space="preserve">Le </t>
    </r>
    <r>
      <rPr>
        <b/>
        <sz val="10"/>
        <color indexed="8"/>
        <rFont val="Verdana"/>
        <family val="2"/>
      </rPr>
      <t>agevolazioni finanziarie</t>
    </r>
    <r>
      <rPr>
        <sz val="10"/>
        <color indexed="8"/>
        <rFont val="Verdana"/>
        <family val="2"/>
      </rPr>
      <t xml:space="preserve"> sono concesse entro il limite comunitario “de minimis”.</t>
    </r>
  </si>
  <si>
    <r>
      <t xml:space="preserve">L'entità di ciascuna singola agevolazione non è predefinita, ma è il risultato di un calcolo che tiene conto dell'ammontare degli investimenti e delle spese di gestione nonché delle caratteristiche del mutuo a tasso agevolato (durata, entità e tasso) che si intende richiedere. Il </t>
    </r>
    <r>
      <rPr>
        <b/>
        <sz val="10"/>
        <color indexed="8"/>
        <rFont val="Verdana"/>
        <family val="2"/>
      </rPr>
      <t>calcolo</t>
    </r>
    <r>
      <rPr>
        <sz val="10"/>
        <color indexed="8"/>
        <rFont val="Verdana"/>
        <family val="2"/>
      </rPr>
      <t xml:space="preserve"> deve essere effettuato nel rispetto del principio che prevede che l'</t>
    </r>
    <r>
      <rPr>
        <b/>
        <sz val="10"/>
        <color indexed="8"/>
        <rFont val="Verdana"/>
        <family val="2"/>
      </rPr>
      <t>importo del mutuo</t>
    </r>
    <r>
      <rPr>
        <sz val="10"/>
        <color indexed="8"/>
        <rFont val="Verdana"/>
        <family val="2"/>
      </rPr>
      <t xml:space="preserve"> a tasso agevolato per gli investimenti </t>
    </r>
    <r>
      <rPr>
        <b/>
        <sz val="10"/>
        <color indexed="8"/>
        <rFont val="Verdana"/>
        <family val="2"/>
      </rPr>
      <t>non</t>
    </r>
    <r>
      <rPr>
        <sz val="10"/>
        <color indexed="8"/>
        <rFont val="Verdana"/>
        <family val="2"/>
      </rPr>
      <t xml:space="preserve"> possa essere </t>
    </r>
    <r>
      <rPr>
        <b/>
        <sz val="10"/>
        <color indexed="8"/>
        <rFont val="Verdana"/>
        <family val="2"/>
      </rPr>
      <t>inferiore al 50%</t>
    </r>
    <r>
      <rPr>
        <sz val="10"/>
        <color indexed="8"/>
        <rFont val="Verdana"/>
        <family val="2"/>
      </rPr>
      <t xml:space="preserve"> del totale delle agevolazioni concedibili.</t>
    </r>
  </si>
  <si>
    <r>
      <t xml:space="preserve">Il mutuo è restituibile in </t>
    </r>
    <r>
      <rPr>
        <b/>
        <sz val="10"/>
        <color indexed="8"/>
        <rFont val="Verdana"/>
        <family val="2"/>
      </rPr>
      <t>7 anni</t>
    </r>
    <r>
      <rPr>
        <sz val="10"/>
        <color indexed="8"/>
        <rFont val="Verdana"/>
        <family val="2"/>
      </rPr>
      <t>, con rate trimestrali costanti posticipate.</t>
    </r>
  </si>
  <si>
    <r>
      <t xml:space="preserve">Le </t>
    </r>
    <r>
      <rPr>
        <b/>
        <sz val="10"/>
        <color indexed="8"/>
        <rFont val="Verdana"/>
        <family val="2"/>
      </rPr>
      <t>spese di investimento e di gestione</t>
    </r>
    <r>
      <rPr>
        <sz val="10"/>
        <color indexed="8"/>
        <rFont val="Verdana"/>
        <family val="2"/>
      </rPr>
      <t xml:space="preserve"> considerate "</t>
    </r>
    <r>
      <rPr>
        <b/>
        <sz val="10"/>
        <color indexed="8"/>
        <rFont val="Verdana"/>
        <family val="2"/>
      </rPr>
      <t>ammissibili</t>
    </r>
    <r>
      <rPr>
        <sz val="10"/>
        <color indexed="8"/>
        <rFont val="Verdana"/>
        <family val="2"/>
      </rPr>
      <t>" ai fini del calcolo dell'ammontare delle agevolazioni sono:</t>
    </r>
  </si>
  <si>
    <t>per l'investimento</t>
  </si>
  <si>
    <t>attrezzature, macchinari, impianti e allacciamenti</t>
  </si>
  <si>
    <t>beni immateriali a utilità pluriennale</t>
  </si>
  <si>
    <t>ristrutturazione di immobili, entro il limite massimo del 10% del valore degli investimenti</t>
  </si>
  <si>
    <t>per la gestione</t>
  </si>
  <si>
    <t>materiale di consumo, semilavorati e prodotti finiti, nonché altri costi inerenti al processo produttivo</t>
  </si>
  <si>
    <t>utenze e canoni di locazione per immobili</t>
  </si>
  <si>
    <t>oneri finanziari</t>
  </si>
  <si>
    <t>prestazioni di garanzie assicurative sui beni finanziati</t>
  </si>
  <si>
    <t>prestazione di servizi.</t>
  </si>
  <si>
    <t>NOTA BENE</t>
  </si>
  <si>
    <t>La spesa per l'IVA non è ammissibile</t>
  </si>
  <si>
    <t>Attrezzature e macchinari possono essere anche usati purchè non oggetto di precedenti agevolazioni</t>
  </si>
  <si>
    <t>Le spese considerate ammissibili sono quelle sostenute successivamente alla data di ammissione alle agevolazioni e non alla data di presentazione della domanda</t>
  </si>
  <si>
    <t>I beni oggetto delle agevolazioni sono vincolati all'esercizio dell'attività finanziata per un periodo minimo di cinque anni a decorrere dalla data della delibera di ammissione alle agevolazioni e, comunque, fino all'estinzione del mutuo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</si>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</sst>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u val="single"/>
      <sz val="18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9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7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3" fillId="0" borderId="27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>
      <alignment horizontal="center"/>
    </xf>
    <xf numFmtId="0" fontId="2" fillId="35" borderId="32" xfId="0" applyFont="1" applyFill="1" applyBorder="1" applyAlignment="1" applyProtection="1">
      <alignment vertical="center"/>
      <protection hidden="1"/>
    </xf>
    <xf numFmtId="2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3" xfId="59" applyFont="1" applyFill="1" applyBorder="1" applyAlignment="1" applyProtection="1">
      <alignment horizontal="center" vertical="center" wrapText="1"/>
      <protection locked="0"/>
    </xf>
    <xf numFmtId="17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/>
      <protection hidden="1"/>
    </xf>
    <xf numFmtId="165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vertical="center" wrapText="1"/>
      <protection hidden="1"/>
    </xf>
    <xf numFmtId="3" fontId="23" fillId="36" borderId="14" xfId="0" applyNumberFormat="1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17" fontId="2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20" xfId="0" applyNumberFormat="1" applyFont="1" applyBorder="1" applyAlignment="1">
      <alignment horizontal="center"/>
    </xf>
    <xf numFmtId="9" fontId="0" fillId="0" borderId="19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49" fillId="0" borderId="0" xfId="0" applyFont="1" applyAlignment="1">
      <alignment horizontal="left" vertical="center" wrapText="1" indent="1"/>
    </xf>
    <xf numFmtId="0" fontId="0" fillId="38" borderId="0" xfId="0" applyFill="1" applyAlignment="1">
      <alignment vertical="center" wrapText="1"/>
    </xf>
    <xf numFmtId="0" fontId="47" fillId="38" borderId="0" xfId="0" applyFont="1" applyFill="1" applyAlignment="1">
      <alignment vertical="center" wrapText="1"/>
    </xf>
    <xf numFmtId="0" fontId="0" fillId="38" borderId="0" xfId="0" applyFill="1" applyAlignment="1">
      <alignment horizontal="left" vertical="center" wrapText="1" indent="1"/>
    </xf>
    <xf numFmtId="0" fontId="48" fillId="38" borderId="0" xfId="0" applyFont="1" applyFill="1" applyAlignment="1">
      <alignment horizontal="left" vertical="center" wrapText="1" indent="1"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50" fillId="16" borderId="0" xfId="53" applyFont="1" applyFill="1" applyAlignment="1">
      <alignment horizontal="center"/>
    </xf>
    <xf numFmtId="0" fontId="43" fillId="3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1"/>
  <sheetViews>
    <sheetView showGridLines="0"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2.421875" style="0" customWidth="1"/>
    <col min="9" max="9" width="14.57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29" max="29" width="11.00390625" style="0" bestFit="1" customWidth="1"/>
    <col min="30" max="30" width="15.57421875" style="0" bestFit="1" customWidth="1"/>
  </cols>
  <sheetData>
    <row r="2" spans="5:9" ht="15">
      <c r="E2" s="8" t="s">
        <v>394</v>
      </c>
      <c r="F2" s="153" t="s">
        <v>395</v>
      </c>
      <c r="H2" t="s">
        <v>396</v>
      </c>
      <c r="I2" t="s">
        <v>397</v>
      </c>
    </row>
    <row r="3" spans="3:13" ht="46.5">
      <c r="C3" s="152" t="s">
        <v>393</v>
      </c>
      <c r="E3" s="8" t="s">
        <v>349</v>
      </c>
      <c r="F3" t="s">
        <v>352</v>
      </c>
      <c r="H3" t="s">
        <v>373</v>
      </c>
      <c r="I3" s="128" t="s">
        <v>374</v>
      </c>
      <c r="J3" s="8" t="s">
        <v>350</v>
      </c>
      <c r="K3" s="128" t="s">
        <v>353</v>
      </c>
      <c r="M3" s="2" t="s">
        <v>368</v>
      </c>
    </row>
    <row r="4" ht="15.75" thickBot="1"/>
    <row r="5" spans="2:11" ht="15">
      <c r="B5" s="10"/>
      <c r="C5" s="23" t="s">
        <v>252</v>
      </c>
      <c r="D5" s="11"/>
      <c r="E5" s="11"/>
      <c r="F5" s="11"/>
      <c r="G5" s="11"/>
      <c r="H5" s="11"/>
      <c r="I5" s="12"/>
      <c r="K5" s="8" t="s">
        <v>348</v>
      </c>
    </row>
    <row r="6" spans="2:11" ht="15">
      <c r="B6" s="18"/>
      <c r="C6" s="19"/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7"/>
      <c r="K6" s="107" t="s">
        <v>345</v>
      </c>
    </row>
    <row r="7" spans="2:11" ht="15">
      <c r="B7" s="18"/>
      <c r="C7" s="19" t="s">
        <v>351</v>
      </c>
      <c r="D7" s="52">
        <f>+'CE'!D51</f>
        <v>-30212.594680000002</v>
      </c>
      <c r="E7" s="52">
        <f>+'CE'!E51</f>
        <v>-9086.86698074797</v>
      </c>
      <c r="F7" s="52">
        <f>+'CE'!F51</f>
        <v>17850.32000000003</v>
      </c>
      <c r="G7" s="52">
        <f>+'CE'!G51</f>
        <v>20362.865989815076</v>
      </c>
      <c r="H7" s="52">
        <f>+'CE'!H51</f>
        <v>20494.717299426462</v>
      </c>
      <c r="I7" s="17"/>
      <c r="K7" s="107" t="s">
        <v>346</v>
      </c>
    </row>
    <row r="8" spans="2:11" ht="15">
      <c r="B8" s="18"/>
      <c r="C8" s="19" t="s">
        <v>367</v>
      </c>
      <c r="D8" s="52">
        <f>+'CE'!D59</f>
        <v>-33405.48468</v>
      </c>
      <c r="E8" s="52">
        <f>+'CE'!E59</f>
        <v>-12279.756980747969</v>
      </c>
      <c r="F8" s="52">
        <f>+'CE'!F59</f>
        <v>8584.452039000014</v>
      </c>
      <c r="G8" s="52">
        <f>+'CE'!G59</f>
        <v>9831.835693256788</v>
      </c>
      <c r="H8" s="52">
        <f>+'CE'!H59</f>
        <v>9897.294860598715</v>
      </c>
      <c r="I8" s="17"/>
      <c r="K8" s="107" t="s">
        <v>300</v>
      </c>
    </row>
    <row r="9" spans="2:9" ht="15">
      <c r="B9" s="18"/>
      <c r="C9" s="19"/>
      <c r="D9" s="126"/>
      <c r="E9" s="126"/>
      <c r="F9" s="126"/>
      <c r="G9" s="126"/>
      <c r="H9" s="126"/>
      <c r="I9" s="17"/>
    </row>
    <row r="10" spans="2:9" ht="15">
      <c r="B10" s="18"/>
      <c r="C10" s="19" t="s">
        <v>284</v>
      </c>
      <c r="D10" s="52">
        <f>+IF(SP!C4&gt;0,SP!C4,-SP!C25)</f>
        <v>3094.1199999999953</v>
      </c>
      <c r="E10" s="52">
        <f>+IF(SP!D4&gt;0,SP!D4,-SP!D25)</f>
        <v>-10627.680827999953</v>
      </c>
      <c r="F10" s="52">
        <f>+IF(SP!E4&gt;0,SP!E4,-SP!E25)</f>
        <v>4352.325854097027</v>
      </c>
      <c r="G10" s="52">
        <f>+IF(SP!F4&gt;0,SP!F4,-SP!F25)</f>
        <v>34920.44804894226</v>
      </c>
      <c r="H10" s="52">
        <f>+IF(SP!G4&gt;0,SP!G4,-SP!G25)</f>
        <v>65343.20427749911</v>
      </c>
      <c r="I10" s="17"/>
    </row>
    <row r="11" spans="2:9" ht="15.75" thickBot="1">
      <c r="B11" s="20"/>
      <c r="C11" s="21"/>
      <c r="D11" s="21"/>
      <c r="E11" s="21"/>
      <c r="F11" s="21"/>
      <c r="G11" s="21"/>
      <c r="H11" s="21"/>
      <c r="I11" s="22"/>
    </row>
    <row r="12" ht="15.75" thickBot="1"/>
    <row r="13" spans="2:9" ht="15">
      <c r="B13" s="10"/>
      <c r="C13" s="11"/>
      <c r="D13" s="11"/>
      <c r="E13" s="11"/>
      <c r="F13" s="11"/>
      <c r="G13" s="11"/>
      <c r="H13" s="11"/>
      <c r="I13" s="12"/>
    </row>
    <row r="14" spans="2:9" ht="15">
      <c r="B14" s="18"/>
      <c r="C14" s="14" t="s">
        <v>269</v>
      </c>
      <c r="D14" s="19"/>
      <c r="E14" s="19"/>
      <c r="F14" s="19"/>
      <c r="G14" s="19"/>
      <c r="H14" s="19"/>
      <c r="I14" s="17"/>
    </row>
    <row r="15" spans="2:34" ht="15">
      <c r="B15" s="18"/>
      <c r="C15" s="19" t="s">
        <v>257</v>
      </c>
      <c r="D15" s="106" t="s">
        <v>267</v>
      </c>
      <c r="E15" s="19"/>
      <c r="F15" s="19"/>
      <c r="G15" s="19"/>
      <c r="H15" s="19"/>
      <c r="I15" s="17"/>
      <c r="AH15" t="s">
        <v>267</v>
      </c>
    </row>
    <row r="16" spans="2:34" ht="15">
      <c r="B16" s="18"/>
      <c r="C16" s="19"/>
      <c r="D16" s="19"/>
      <c r="E16" s="19"/>
      <c r="F16" s="19"/>
      <c r="G16" s="19"/>
      <c r="H16" s="19"/>
      <c r="I16" s="17"/>
      <c r="AH16" t="s">
        <v>268</v>
      </c>
    </row>
    <row r="17" spans="2:9" ht="30">
      <c r="B17" s="18"/>
      <c r="C17" s="19"/>
      <c r="D17" s="15" t="s">
        <v>387</v>
      </c>
      <c r="E17" s="129" t="s">
        <v>388</v>
      </c>
      <c r="F17" s="129" t="s">
        <v>226</v>
      </c>
      <c r="G17" s="19"/>
      <c r="H17" s="19"/>
      <c r="I17" s="17"/>
    </row>
    <row r="18" spans="2:9" ht="15">
      <c r="B18" s="18"/>
      <c r="C18" s="19" t="s">
        <v>386</v>
      </c>
      <c r="D18" s="25">
        <v>0</v>
      </c>
      <c r="E18" s="26">
        <v>0</v>
      </c>
      <c r="F18" s="25">
        <v>0.21</v>
      </c>
      <c r="G18" s="19"/>
      <c r="H18" s="19"/>
      <c r="I18" s="17"/>
    </row>
    <row r="19" spans="2:9" ht="15">
      <c r="B19" s="18"/>
      <c r="C19" s="19"/>
      <c r="D19" s="19"/>
      <c r="E19" s="19"/>
      <c r="F19" s="19"/>
      <c r="G19" s="19"/>
      <c r="H19" s="19"/>
      <c r="I19" s="17"/>
    </row>
    <row r="20" spans="2:9" ht="15">
      <c r="B20" s="18"/>
      <c r="C20" s="19" t="s">
        <v>283</v>
      </c>
      <c r="D20" s="25">
        <v>1</v>
      </c>
      <c r="E20" s="14"/>
      <c r="F20" s="19"/>
      <c r="G20" s="19"/>
      <c r="H20" s="19"/>
      <c r="I20" s="17"/>
    </row>
    <row r="21" spans="2:9" ht="15">
      <c r="B21" s="18"/>
      <c r="C21" s="19"/>
      <c r="D21" s="14" t="str">
        <f>+D6</f>
        <v>Anno 1</v>
      </c>
      <c r="E21" s="14" t="str">
        <f>+E6</f>
        <v>Anno 2</v>
      </c>
      <c r="F21" s="14" t="str">
        <f>+F6</f>
        <v>Anno 3</v>
      </c>
      <c r="G21" s="14" t="str">
        <f>+G6</f>
        <v>Anno 4</v>
      </c>
      <c r="H21" s="14" t="str">
        <f>+H6</f>
        <v>Anno 5</v>
      </c>
      <c r="I21" s="17"/>
    </row>
    <row r="22" spans="2:9" ht="15">
      <c r="B22" s="18"/>
      <c r="C22" s="19" t="s">
        <v>337</v>
      </c>
      <c r="D22" s="2">
        <v>0</v>
      </c>
      <c r="E22" s="2"/>
      <c r="F22" s="2"/>
      <c r="G22" s="2"/>
      <c r="H22" s="2"/>
      <c r="I22" s="17"/>
    </row>
    <row r="23" spans="2:9" ht="15">
      <c r="B23" s="18"/>
      <c r="C23" s="19" t="s">
        <v>338</v>
      </c>
      <c r="E23" s="2">
        <v>0</v>
      </c>
      <c r="F23" s="2"/>
      <c r="G23" s="2"/>
      <c r="H23" s="2"/>
      <c r="I23" s="17"/>
    </row>
    <row r="24" spans="2:9" ht="15.75" thickBot="1">
      <c r="B24" s="20"/>
      <c r="C24" s="21"/>
      <c r="D24" s="105"/>
      <c r="E24" s="105"/>
      <c r="F24" s="105"/>
      <c r="G24" s="105"/>
      <c r="H24" s="105"/>
      <c r="I24" s="22"/>
    </row>
    <row r="25" ht="15.75" thickBot="1"/>
    <row r="26" spans="2:14" ht="15">
      <c r="B26" s="10"/>
      <c r="C26" s="23" t="s">
        <v>10</v>
      </c>
      <c r="D26" s="11"/>
      <c r="E26" s="11"/>
      <c r="F26" s="11"/>
      <c r="G26" s="11"/>
      <c r="H26" s="11"/>
      <c r="I26" s="23" t="s">
        <v>0</v>
      </c>
      <c r="J26" s="23"/>
      <c r="K26" s="23"/>
      <c r="L26" s="23"/>
      <c r="M26" s="23"/>
      <c r="N26" s="12"/>
    </row>
    <row r="27" spans="1:30" ht="30">
      <c r="A27" s="8"/>
      <c r="B27" s="13"/>
      <c r="C27" s="14" t="s">
        <v>9</v>
      </c>
      <c r="D27" s="14"/>
      <c r="E27" s="24" t="s">
        <v>398</v>
      </c>
      <c r="F27" s="24" t="s">
        <v>1</v>
      </c>
      <c r="G27" s="24" t="s">
        <v>2</v>
      </c>
      <c r="H27" s="16"/>
      <c r="I27" s="15" t="s">
        <v>3</v>
      </c>
      <c r="J27" s="15" t="s">
        <v>4</v>
      </c>
      <c r="K27" s="15" t="s">
        <v>5</v>
      </c>
      <c r="L27" s="15" t="s">
        <v>6</v>
      </c>
      <c r="M27" s="15" t="s">
        <v>7</v>
      </c>
      <c r="N27" s="17"/>
      <c r="AC27" t="s">
        <v>8</v>
      </c>
      <c r="AD27" t="s">
        <v>12</v>
      </c>
    </row>
    <row r="28" spans="2:30" ht="15">
      <c r="B28" s="18"/>
      <c r="C28" s="29" t="s">
        <v>375</v>
      </c>
      <c r="D28" s="14"/>
      <c r="E28" s="25">
        <v>0.31</v>
      </c>
      <c r="F28" s="25">
        <v>0.21</v>
      </c>
      <c r="G28" s="26">
        <v>0</v>
      </c>
      <c r="H28" s="19"/>
      <c r="I28" s="2">
        <v>200000</v>
      </c>
      <c r="J28" s="3">
        <v>280000</v>
      </c>
      <c r="K28" s="3">
        <v>372000</v>
      </c>
      <c r="L28" s="3">
        <v>380000</v>
      </c>
      <c r="M28" s="4">
        <v>380000</v>
      </c>
      <c r="N28" s="17"/>
      <c r="Q28" s="27"/>
      <c r="R28" s="131"/>
      <c r="AC28" s="1">
        <v>0</v>
      </c>
      <c r="AD28" s="1">
        <v>0</v>
      </c>
    </row>
    <row r="29" spans="2:30" ht="15">
      <c r="B29" s="18"/>
      <c r="C29" s="29" t="s">
        <v>376</v>
      </c>
      <c r="D29" s="14"/>
      <c r="E29" s="25">
        <v>0</v>
      </c>
      <c r="F29" s="25">
        <v>0</v>
      </c>
      <c r="G29" s="26">
        <v>0</v>
      </c>
      <c r="H29" s="19"/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7"/>
      <c r="AC29" s="1">
        <v>30</v>
      </c>
      <c r="AD29" s="1">
        <v>30</v>
      </c>
    </row>
    <row r="30" spans="2:30" ht="15">
      <c r="B30" s="18"/>
      <c r="C30" s="29" t="s">
        <v>377</v>
      </c>
      <c r="D30" s="14"/>
      <c r="E30" s="25">
        <v>0</v>
      </c>
      <c r="F30" s="25">
        <v>0</v>
      </c>
      <c r="G30" s="26">
        <v>0</v>
      </c>
      <c r="H30" s="19"/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7"/>
      <c r="AC30" s="1">
        <v>60</v>
      </c>
      <c r="AD30" s="1">
        <v>60</v>
      </c>
    </row>
    <row r="31" spans="2:30" ht="15">
      <c r="B31" s="18"/>
      <c r="C31" s="29" t="s">
        <v>378</v>
      </c>
      <c r="D31" s="14"/>
      <c r="E31" s="25">
        <v>0</v>
      </c>
      <c r="F31" s="25">
        <v>0</v>
      </c>
      <c r="G31" s="26">
        <v>0</v>
      </c>
      <c r="H31" s="19"/>
      <c r="I31" s="5">
        <v>0</v>
      </c>
      <c r="J31" s="6">
        <v>0</v>
      </c>
      <c r="K31" s="6">
        <v>0</v>
      </c>
      <c r="L31" s="6">
        <v>0</v>
      </c>
      <c r="M31" s="7">
        <v>0</v>
      </c>
      <c r="N31" s="17"/>
      <c r="AC31" s="1">
        <v>90</v>
      </c>
      <c r="AD31" s="1">
        <v>90</v>
      </c>
    </row>
    <row r="32" spans="2:30" ht="15">
      <c r="B32" s="18"/>
      <c r="C32" s="29" t="s">
        <v>379</v>
      </c>
      <c r="D32" s="14"/>
      <c r="E32" s="25">
        <v>0</v>
      </c>
      <c r="F32" s="25">
        <v>0</v>
      </c>
      <c r="G32" s="26">
        <v>0</v>
      </c>
      <c r="H32" s="19"/>
      <c r="I32" s="5"/>
      <c r="J32" s="6"/>
      <c r="K32" s="6"/>
      <c r="L32" s="6"/>
      <c r="M32" s="7"/>
      <c r="N32" s="17"/>
      <c r="AC32" s="1">
        <v>120</v>
      </c>
      <c r="AD32" s="1">
        <v>120</v>
      </c>
    </row>
    <row r="33" spans="2:30" ht="15">
      <c r="B33" s="18"/>
      <c r="C33" s="29" t="s">
        <v>380</v>
      </c>
      <c r="D33" s="14"/>
      <c r="E33" s="25">
        <v>0</v>
      </c>
      <c r="F33" s="25">
        <v>0</v>
      </c>
      <c r="G33" s="26">
        <v>0</v>
      </c>
      <c r="H33" s="19"/>
      <c r="I33" s="5"/>
      <c r="J33" s="6"/>
      <c r="K33" s="6"/>
      <c r="L33" s="6"/>
      <c r="M33" s="7"/>
      <c r="N33" s="17"/>
      <c r="AC33" s="1">
        <v>150</v>
      </c>
      <c r="AD33" s="1">
        <v>150</v>
      </c>
    </row>
    <row r="34" spans="2:30" ht="15">
      <c r="B34" s="18"/>
      <c r="C34" s="29" t="s">
        <v>381</v>
      </c>
      <c r="D34" s="14"/>
      <c r="E34" s="25">
        <v>0</v>
      </c>
      <c r="F34" s="25">
        <v>0</v>
      </c>
      <c r="G34" s="26">
        <v>0</v>
      </c>
      <c r="H34" s="19"/>
      <c r="I34" s="5"/>
      <c r="J34" s="6"/>
      <c r="K34" s="6"/>
      <c r="L34" s="6"/>
      <c r="M34" s="7"/>
      <c r="N34" s="17"/>
      <c r="AC34" s="1">
        <v>180</v>
      </c>
      <c r="AD34" s="1">
        <v>180</v>
      </c>
    </row>
    <row r="35" spans="2:14" ht="15">
      <c r="B35" s="18"/>
      <c r="C35" s="29" t="s">
        <v>382</v>
      </c>
      <c r="D35" s="14"/>
      <c r="E35" s="25">
        <v>0</v>
      </c>
      <c r="F35" s="25">
        <v>0</v>
      </c>
      <c r="G35" s="26">
        <v>0</v>
      </c>
      <c r="H35" s="19"/>
      <c r="I35" s="5"/>
      <c r="J35" s="6"/>
      <c r="K35" s="6"/>
      <c r="L35" s="6"/>
      <c r="M35" s="7"/>
      <c r="N35" s="17"/>
    </row>
    <row r="36" spans="2:14" ht="15">
      <c r="B36" s="18"/>
      <c r="C36" s="29" t="s">
        <v>383</v>
      </c>
      <c r="D36" s="14"/>
      <c r="E36" s="25">
        <v>0</v>
      </c>
      <c r="F36" s="25">
        <v>0</v>
      </c>
      <c r="G36" s="26">
        <v>0</v>
      </c>
      <c r="H36" s="19"/>
      <c r="I36" s="5"/>
      <c r="J36" s="6"/>
      <c r="K36" s="6"/>
      <c r="L36" s="6"/>
      <c r="M36" s="7"/>
      <c r="N36" s="17"/>
    </row>
    <row r="37" spans="2:14" ht="15.75" thickBot="1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ht="15.75" thickBot="1"/>
    <row r="39" spans="2:12" ht="15">
      <c r="B39" s="10"/>
      <c r="C39" s="23" t="s">
        <v>390</v>
      </c>
      <c r="D39" s="11"/>
      <c r="E39" s="30"/>
      <c r="F39" s="11"/>
      <c r="G39" s="11"/>
      <c r="H39" s="12"/>
      <c r="L39" s="130"/>
    </row>
    <row r="40" spans="2:15" ht="26.25" customHeight="1">
      <c r="B40" s="18"/>
      <c r="C40" s="19" t="s">
        <v>9</v>
      </c>
      <c r="D40" s="19"/>
      <c r="E40" s="24" t="s">
        <v>11</v>
      </c>
      <c r="F40" s="24"/>
      <c r="G40" s="24" t="s">
        <v>13</v>
      </c>
      <c r="H40" s="17"/>
      <c r="O40" s="131"/>
    </row>
    <row r="41" spans="2:8" ht="15">
      <c r="B41" s="18"/>
      <c r="C41" s="29" t="str">
        <f>+"Mp x"&amp;C28</f>
        <v>Mp xTipologia 1</v>
      </c>
      <c r="D41" s="19"/>
      <c r="E41" s="40">
        <v>0.21</v>
      </c>
      <c r="F41" s="24"/>
      <c r="G41" s="26">
        <v>0</v>
      </c>
      <c r="H41" s="17"/>
    </row>
    <row r="42" spans="2:8" ht="15">
      <c r="B42" s="18"/>
      <c r="C42" s="29" t="str">
        <f aca="true" t="shared" si="0" ref="C42:C49">+"Mp x"&amp;C29</f>
        <v>Mp xTipologia 2</v>
      </c>
      <c r="D42" s="19"/>
      <c r="E42" s="40">
        <v>0.21</v>
      </c>
      <c r="F42" s="24"/>
      <c r="G42" s="26">
        <v>0</v>
      </c>
      <c r="H42" s="17"/>
    </row>
    <row r="43" spans="2:8" ht="15">
      <c r="B43" s="18"/>
      <c r="C43" s="29" t="str">
        <f t="shared" si="0"/>
        <v>Mp xTipologia 3</v>
      </c>
      <c r="D43" s="19"/>
      <c r="E43" s="40">
        <v>0.21</v>
      </c>
      <c r="F43" s="24"/>
      <c r="G43" s="26">
        <v>0</v>
      </c>
      <c r="H43" s="17"/>
    </row>
    <row r="44" spans="2:8" ht="15">
      <c r="B44" s="18"/>
      <c r="C44" s="29" t="str">
        <f t="shared" si="0"/>
        <v>Mp xTipologia 4</v>
      </c>
      <c r="D44" s="19"/>
      <c r="E44" s="40">
        <v>0</v>
      </c>
      <c r="F44" s="24"/>
      <c r="G44" s="26">
        <v>0</v>
      </c>
      <c r="H44" s="17"/>
    </row>
    <row r="45" spans="2:8" ht="15">
      <c r="B45" s="18"/>
      <c r="C45" s="29" t="str">
        <f t="shared" si="0"/>
        <v>Mp xTipologia 5</v>
      </c>
      <c r="D45" s="19"/>
      <c r="E45" s="40">
        <v>0</v>
      </c>
      <c r="F45" s="24"/>
      <c r="G45" s="26">
        <v>0</v>
      </c>
      <c r="H45" s="17"/>
    </row>
    <row r="46" spans="2:8" ht="15">
      <c r="B46" s="18"/>
      <c r="C46" s="29" t="str">
        <f t="shared" si="0"/>
        <v>Mp xTipologia 6</v>
      </c>
      <c r="D46" s="19"/>
      <c r="E46" s="40">
        <v>0</v>
      </c>
      <c r="F46" s="24"/>
      <c r="G46" s="26">
        <v>0</v>
      </c>
      <c r="H46" s="17"/>
    </row>
    <row r="47" spans="2:8" ht="15">
      <c r="B47" s="18"/>
      <c r="C47" s="29" t="str">
        <f t="shared" si="0"/>
        <v>Mp xTipologia 7</v>
      </c>
      <c r="D47" s="19"/>
      <c r="E47" s="40">
        <v>0</v>
      </c>
      <c r="F47" s="24"/>
      <c r="G47" s="26">
        <v>0</v>
      </c>
      <c r="H47" s="17"/>
    </row>
    <row r="48" spans="2:8" ht="15">
      <c r="B48" s="18"/>
      <c r="C48" s="29" t="str">
        <f>+"Mp x"&amp;C35</f>
        <v>Mp xTipologia 8</v>
      </c>
      <c r="D48" s="19"/>
      <c r="E48" s="40">
        <v>0</v>
      </c>
      <c r="F48" s="24"/>
      <c r="G48" s="26">
        <v>0</v>
      </c>
      <c r="H48" s="17"/>
    </row>
    <row r="49" spans="2:8" ht="15">
      <c r="B49" s="18"/>
      <c r="C49" s="29" t="str">
        <f t="shared" si="0"/>
        <v>Mp xTipologia 9</v>
      </c>
      <c r="D49" s="19"/>
      <c r="E49" s="40">
        <v>0</v>
      </c>
      <c r="F49" s="24"/>
      <c r="G49" s="26">
        <v>0</v>
      </c>
      <c r="H49" s="17"/>
    </row>
    <row r="50" spans="2:8" ht="15.75" thickBot="1">
      <c r="B50" s="20"/>
      <c r="C50" s="21"/>
      <c r="D50" s="21"/>
      <c r="E50" s="21"/>
      <c r="F50" s="21"/>
      <c r="G50" s="21"/>
      <c r="H50" s="22"/>
    </row>
    <row r="52" ht="15.75" thickBot="1"/>
    <row r="53" spans="2:12" ht="15">
      <c r="B53" s="10"/>
      <c r="C53" s="23" t="s">
        <v>40</v>
      </c>
      <c r="D53" s="11"/>
      <c r="E53" s="11"/>
      <c r="F53" s="11"/>
      <c r="G53" s="11"/>
      <c r="H53" s="11"/>
      <c r="I53" s="11"/>
      <c r="J53" s="11"/>
      <c r="K53" s="11"/>
      <c r="L53" s="12"/>
    </row>
    <row r="54" spans="2:12" ht="15">
      <c r="B54" s="18"/>
      <c r="C54" s="19"/>
      <c r="D54" s="19"/>
      <c r="E54" s="15" t="str">
        <f>+I27</f>
        <v>Anno 1</v>
      </c>
      <c r="F54" s="15" t="str">
        <f>+J27</f>
        <v>Anno 2</v>
      </c>
      <c r="G54" s="15" t="str">
        <f>+K27</f>
        <v>Anno 3</v>
      </c>
      <c r="H54" s="15" t="str">
        <f>+L27</f>
        <v>Anno 4</v>
      </c>
      <c r="I54" s="15" t="str">
        <f>+M27</f>
        <v>Anno 5</v>
      </c>
      <c r="J54" s="19"/>
      <c r="K54" s="19"/>
      <c r="L54" s="17"/>
    </row>
    <row r="55" spans="2:12" ht="15">
      <c r="B55" s="18"/>
      <c r="C55" s="19" t="s">
        <v>41</v>
      </c>
      <c r="D55" s="19"/>
      <c r="E55" s="2">
        <v>72000</v>
      </c>
      <c r="F55" s="2"/>
      <c r="G55" s="2"/>
      <c r="H55" s="2"/>
      <c r="I55" s="2"/>
      <c r="J55" s="19"/>
      <c r="K55" s="19"/>
      <c r="L55" s="17"/>
    </row>
    <row r="56" spans="2:12" ht="15">
      <c r="B56" s="18"/>
      <c r="C56" s="19" t="s">
        <v>42</v>
      </c>
      <c r="D56" s="19"/>
      <c r="E56" s="2">
        <v>0</v>
      </c>
      <c r="F56" s="2"/>
      <c r="G56" s="2"/>
      <c r="H56" s="2"/>
      <c r="I56" s="2"/>
      <c r="J56" s="19"/>
      <c r="K56" s="19"/>
      <c r="L56" s="17"/>
    </row>
    <row r="57" spans="2:12" ht="1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7"/>
    </row>
    <row r="58" spans="2:12" ht="15">
      <c r="B58" s="18"/>
      <c r="C58" s="19" t="s">
        <v>1</v>
      </c>
      <c r="D58" s="19"/>
      <c r="E58" s="25">
        <v>0.21</v>
      </c>
      <c r="F58" s="19"/>
      <c r="G58" s="19"/>
      <c r="H58" s="19"/>
      <c r="I58" s="19"/>
      <c r="J58" s="19"/>
      <c r="K58" s="14" t="s">
        <v>45</v>
      </c>
      <c r="L58" s="17"/>
    </row>
    <row r="59" spans="2:12" ht="15">
      <c r="B59" s="18"/>
      <c r="C59" s="19"/>
      <c r="D59" s="19"/>
      <c r="E59" s="19" t="str">
        <f>+E54</f>
        <v>Anno 1</v>
      </c>
      <c r="F59" s="19" t="str">
        <f>+F54</f>
        <v>Anno 2</v>
      </c>
      <c r="G59" s="19" t="str">
        <f>+G54</f>
        <v>Anno 3</v>
      </c>
      <c r="H59" s="19" t="str">
        <f>+H54</f>
        <v>Anno 4</v>
      </c>
      <c r="I59" s="19" t="str">
        <f>+I54</f>
        <v>Anno 5</v>
      </c>
      <c r="J59" s="19"/>
      <c r="K59" s="19"/>
      <c r="L59" s="17"/>
    </row>
    <row r="60" spans="2:12" ht="15">
      <c r="B60" s="18"/>
      <c r="C60" s="19" t="s">
        <v>43</v>
      </c>
      <c r="D60" s="19"/>
      <c r="E60" s="2">
        <v>40000</v>
      </c>
      <c r="F60" s="2">
        <v>47120</v>
      </c>
      <c r="G60" s="2"/>
      <c r="H60" s="2"/>
      <c r="I60" s="2"/>
      <c r="J60" s="19"/>
      <c r="K60" s="41">
        <f>+(SUM(E55:I55)+(SUM(E55:I55)*E58))-SUM(E60:I60)</f>
        <v>0</v>
      </c>
      <c r="L60" s="17"/>
    </row>
    <row r="61" spans="2:12" ht="15">
      <c r="B61" s="18"/>
      <c r="C61" s="19" t="s">
        <v>44</v>
      </c>
      <c r="D61" s="19"/>
      <c r="E61" s="2">
        <v>0</v>
      </c>
      <c r="F61" s="2"/>
      <c r="G61" s="2"/>
      <c r="H61" s="2"/>
      <c r="I61" s="2"/>
      <c r="J61" s="19"/>
      <c r="K61" s="41">
        <f>+(SUM(E56:I56)+(SUM(E56:I56)*E58))-SUM(E61:I61)</f>
        <v>0</v>
      </c>
      <c r="L61" s="17"/>
    </row>
    <row r="62" spans="2:12" ht="1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7"/>
    </row>
    <row r="63" spans="2:12" ht="15">
      <c r="B63" s="18"/>
      <c r="C63" s="19" t="s">
        <v>46</v>
      </c>
      <c r="D63" s="19"/>
      <c r="E63" s="25">
        <v>0.2</v>
      </c>
      <c r="F63" s="19"/>
      <c r="G63" s="19"/>
      <c r="H63" s="19"/>
      <c r="I63" s="19"/>
      <c r="J63" s="19"/>
      <c r="K63" s="19"/>
      <c r="L63" s="17"/>
    </row>
    <row r="64" spans="2:12" ht="15">
      <c r="B64" s="18"/>
      <c r="C64" s="19" t="s">
        <v>47</v>
      </c>
      <c r="D64" s="19"/>
      <c r="E64" s="25">
        <v>0.2</v>
      </c>
      <c r="F64" s="19"/>
      <c r="G64" s="19"/>
      <c r="H64" s="19"/>
      <c r="I64" s="19"/>
      <c r="J64" s="19"/>
      <c r="K64" s="19"/>
      <c r="L64" s="17"/>
    </row>
    <row r="65" spans="2:12" ht="15.75" thickBot="1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2"/>
    </row>
    <row r="66" ht="15.75" thickBot="1"/>
    <row r="67" spans="2:10" ht="15">
      <c r="B67" s="10"/>
      <c r="C67" s="11"/>
      <c r="D67" s="11"/>
      <c r="E67" s="11"/>
      <c r="F67" s="11"/>
      <c r="G67" s="11"/>
      <c r="H67" s="11"/>
      <c r="I67" s="11"/>
      <c r="J67" s="12"/>
    </row>
    <row r="68" spans="2:10" ht="15">
      <c r="B68" s="18"/>
      <c r="C68" s="14" t="s">
        <v>63</v>
      </c>
      <c r="D68" s="19"/>
      <c r="E68" s="19"/>
      <c r="F68" s="19"/>
      <c r="G68" s="19"/>
      <c r="H68" s="19"/>
      <c r="I68" s="19"/>
      <c r="J68" s="17"/>
    </row>
    <row r="69" spans="2:10" ht="15">
      <c r="B69" s="18"/>
      <c r="C69" s="19"/>
      <c r="D69" s="19"/>
      <c r="E69" s="15" t="str">
        <f>+E54</f>
        <v>Anno 1</v>
      </c>
      <c r="F69" s="15" t="str">
        <f>+F54</f>
        <v>Anno 2</v>
      </c>
      <c r="G69" s="15" t="str">
        <f>+G54</f>
        <v>Anno 3</v>
      </c>
      <c r="H69" s="15" t="str">
        <f>+H54</f>
        <v>Anno 4</v>
      </c>
      <c r="I69" s="15" t="str">
        <f>+I54</f>
        <v>Anno 5</v>
      </c>
      <c r="J69" s="17"/>
    </row>
    <row r="70" spans="2:10" ht="15">
      <c r="B70" s="18"/>
      <c r="C70" s="19" t="s">
        <v>64</v>
      </c>
      <c r="D70" s="19"/>
      <c r="E70" s="151">
        <v>1.5</v>
      </c>
      <c r="F70" s="151">
        <v>1.5</v>
      </c>
      <c r="G70" s="151">
        <v>1.5</v>
      </c>
      <c r="H70" s="151">
        <v>1.5</v>
      </c>
      <c r="I70" s="151">
        <v>1.5</v>
      </c>
      <c r="J70" s="17"/>
    </row>
    <row r="71" spans="2:10" ht="15">
      <c r="B71" s="18"/>
      <c r="C71" s="19"/>
      <c r="D71" s="19"/>
      <c r="E71" s="19"/>
      <c r="F71" s="19"/>
      <c r="G71" s="19"/>
      <c r="H71" s="19"/>
      <c r="I71" s="19"/>
      <c r="J71" s="17"/>
    </row>
    <row r="72" spans="2:10" ht="15">
      <c r="B72" s="18"/>
      <c r="C72" s="19" t="s">
        <v>73</v>
      </c>
      <c r="D72" s="19"/>
      <c r="E72" s="2">
        <v>20000</v>
      </c>
      <c r="F72" s="2">
        <f>1500*14</f>
        <v>21000</v>
      </c>
      <c r="G72" s="2">
        <f>1500*14</f>
        <v>21000</v>
      </c>
      <c r="H72" s="2">
        <f>1500*14</f>
        <v>21000</v>
      </c>
      <c r="I72" s="2">
        <f>1500*14</f>
        <v>21000</v>
      </c>
      <c r="J72" s="17"/>
    </row>
    <row r="73" spans="2:10" ht="15">
      <c r="B73" s="18"/>
      <c r="C73" s="54"/>
      <c r="D73" s="19"/>
      <c r="E73" s="19"/>
      <c r="F73" s="19"/>
      <c r="G73" s="19"/>
      <c r="H73" s="19"/>
      <c r="I73" s="19"/>
      <c r="J73" s="17"/>
    </row>
    <row r="74" spans="2:10" ht="15">
      <c r="B74" s="18"/>
      <c r="C74" s="19" t="s">
        <v>65</v>
      </c>
      <c r="D74" s="19"/>
      <c r="E74" s="108">
        <v>0.3</v>
      </c>
      <c r="F74" s="19"/>
      <c r="G74" s="19"/>
      <c r="H74" s="19"/>
      <c r="I74" s="19"/>
      <c r="J74" s="17"/>
    </row>
    <row r="75" spans="2:10" ht="15">
      <c r="B75" s="18"/>
      <c r="C75" s="19" t="s">
        <v>66</v>
      </c>
      <c r="D75" s="19"/>
      <c r="E75" s="109">
        <v>0.04</v>
      </c>
      <c r="F75" s="19"/>
      <c r="G75" s="19"/>
      <c r="H75" s="19"/>
      <c r="I75" s="19"/>
      <c r="J75" s="17"/>
    </row>
    <row r="76" spans="2:10" ht="15">
      <c r="B76" s="18"/>
      <c r="C76" s="19" t="s">
        <v>67</v>
      </c>
      <c r="D76" s="19"/>
      <c r="E76" s="110">
        <v>0.08</v>
      </c>
      <c r="F76" s="19"/>
      <c r="G76" s="19"/>
      <c r="H76" s="19"/>
      <c r="I76" s="19"/>
      <c r="J76" s="17"/>
    </row>
    <row r="77" spans="2:10" ht="15.75" thickBot="1">
      <c r="B77" s="20"/>
      <c r="C77" s="21"/>
      <c r="D77" s="21"/>
      <c r="E77" s="21"/>
      <c r="F77" s="21"/>
      <c r="G77" s="21"/>
      <c r="H77" s="21"/>
      <c r="I77" s="21"/>
      <c r="J77" s="22"/>
    </row>
    <row r="79" ht="15.75" thickBot="1"/>
    <row r="80" spans="2:6" ht="15">
      <c r="B80" s="10"/>
      <c r="C80" s="23" t="s">
        <v>76</v>
      </c>
      <c r="D80" s="11"/>
      <c r="E80" s="11"/>
      <c r="F80" s="12"/>
    </row>
    <row r="81" spans="2:6" ht="15">
      <c r="B81" s="18"/>
      <c r="C81" s="19"/>
      <c r="D81" s="19"/>
      <c r="E81" s="19"/>
      <c r="F81" s="17"/>
    </row>
    <row r="82" spans="2:40" ht="15">
      <c r="B82" s="18"/>
      <c r="C82" s="19" t="s">
        <v>77</v>
      </c>
      <c r="D82" s="19"/>
      <c r="E82" s="111" t="s">
        <v>93</v>
      </c>
      <c r="F82" s="17"/>
      <c r="AN82" t="s">
        <v>91</v>
      </c>
    </row>
    <row r="83" spans="2:40" ht="15">
      <c r="B83" s="18"/>
      <c r="C83" s="19" t="s">
        <v>78</v>
      </c>
      <c r="D83" s="19"/>
      <c r="E83" s="110">
        <v>0.01</v>
      </c>
      <c r="F83" s="17"/>
      <c r="AN83" t="s">
        <v>92</v>
      </c>
    </row>
    <row r="84" spans="2:40" ht="15">
      <c r="B84" s="18"/>
      <c r="C84" s="19"/>
      <c r="D84" s="19"/>
      <c r="E84" s="19"/>
      <c r="F84" s="17"/>
      <c r="AN84" t="s">
        <v>93</v>
      </c>
    </row>
    <row r="85" spans="2:40" ht="15">
      <c r="B85" s="18"/>
      <c r="C85" s="19" t="s">
        <v>79</v>
      </c>
      <c r="D85" s="19"/>
      <c r="E85" s="112">
        <v>0</v>
      </c>
      <c r="F85" s="17"/>
      <c r="AN85" t="s">
        <v>94</v>
      </c>
    </row>
    <row r="86" spans="2:40" ht="15">
      <c r="B86" s="18"/>
      <c r="C86" s="19" t="s">
        <v>80</v>
      </c>
      <c r="D86" s="19"/>
      <c r="E86" s="113">
        <v>1</v>
      </c>
      <c r="F86" s="17"/>
      <c r="AN86" t="s">
        <v>95</v>
      </c>
    </row>
    <row r="87" spans="2:6" ht="15.75" thickBot="1">
      <c r="B87" s="20"/>
      <c r="C87" s="21"/>
      <c r="D87" s="21"/>
      <c r="E87" s="21"/>
      <c r="F87" s="22"/>
    </row>
    <row r="88" ht="15.75" thickBot="1"/>
    <row r="89" spans="2:11" ht="15">
      <c r="B89" s="10"/>
      <c r="C89" s="11"/>
      <c r="D89" s="11"/>
      <c r="E89" s="11"/>
      <c r="F89" s="11"/>
      <c r="G89" s="11"/>
      <c r="H89" s="11"/>
      <c r="I89" s="11"/>
      <c r="J89" s="11"/>
      <c r="K89" s="12"/>
    </row>
    <row r="90" spans="2:11" ht="15">
      <c r="B90" s="18"/>
      <c r="C90" s="15" t="s">
        <v>225</v>
      </c>
      <c r="D90" s="85" t="s">
        <v>226</v>
      </c>
      <c r="E90" s="14" t="s">
        <v>227</v>
      </c>
      <c r="F90" s="15" t="str">
        <f>+E69</f>
        <v>Anno 1</v>
      </c>
      <c r="G90" s="15" t="str">
        <f>+F69</f>
        <v>Anno 2</v>
      </c>
      <c r="H90" s="15" t="str">
        <f>+G69</f>
        <v>Anno 3</v>
      </c>
      <c r="I90" s="15" t="str">
        <f>+H69</f>
        <v>Anno 4</v>
      </c>
      <c r="J90" s="15" t="str">
        <f>+I69</f>
        <v>Anno 5</v>
      </c>
      <c r="K90" s="17"/>
    </row>
    <row r="91" spans="2:11" ht="15">
      <c r="B91" s="18"/>
      <c r="C91" s="15"/>
      <c r="D91" s="19"/>
      <c r="E91" s="16"/>
      <c r="F91" s="16"/>
      <c r="G91" s="16"/>
      <c r="H91" s="16"/>
      <c r="I91" s="16"/>
      <c r="J91" s="16"/>
      <c r="K91" s="17"/>
    </row>
    <row r="92" spans="2:11" ht="15">
      <c r="B92" s="18"/>
      <c r="C92" s="19" t="s">
        <v>228</v>
      </c>
      <c r="D92" s="109">
        <v>0.21</v>
      </c>
      <c r="E92" s="19"/>
      <c r="F92" s="2">
        <v>6000</v>
      </c>
      <c r="G92" s="2">
        <v>6000</v>
      </c>
      <c r="H92" s="2">
        <v>6000</v>
      </c>
      <c r="I92" s="2">
        <v>6000</v>
      </c>
      <c r="J92" s="2">
        <v>6000</v>
      </c>
      <c r="K92" s="17"/>
    </row>
    <row r="93" spans="2:11" ht="15">
      <c r="B93" s="18"/>
      <c r="C93" s="19" t="s">
        <v>229</v>
      </c>
      <c r="D93" s="109">
        <v>0.21</v>
      </c>
      <c r="E93" s="19"/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7"/>
    </row>
    <row r="94" spans="2:11" ht="15">
      <c r="B94" s="18"/>
      <c r="C94" s="19" t="s">
        <v>230</v>
      </c>
      <c r="D94" s="109">
        <v>0.21</v>
      </c>
      <c r="E94" s="19"/>
      <c r="F94" s="2">
        <v>2000</v>
      </c>
      <c r="G94" s="2">
        <v>2000</v>
      </c>
      <c r="H94" s="2">
        <v>2000</v>
      </c>
      <c r="I94" s="2">
        <v>2000</v>
      </c>
      <c r="J94" s="2">
        <v>2000</v>
      </c>
      <c r="K94" s="17"/>
    </row>
    <row r="95" spans="2:11" ht="15">
      <c r="B95" s="18"/>
      <c r="C95" s="19" t="s">
        <v>231</v>
      </c>
      <c r="D95" s="109">
        <v>0.21</v>
      </c>
      <c r="E95" s="19"/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7"/>
    </row>
    <row r="96" spans="2:11" ht="15">
      <c r="B96" s="18"/>
      <c r="C96" s="19" t="s">
        <v>232</v>
      </c>
      <c r="D96" s="109">
        <v>0.21</v>
      </c>
      <c r="E96" s="19"/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7"/>
    </row>
    <row r="97" spans="2:11" ht="15">
      <c r="B97" s="18"/>
      <c r="C97" s="19" t="s">
        <v>233</v>
      </c>
      <c r="D97" s="109">
        <v>0.21</v>
      </c>
      <c r="E97" s="19"/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17"/>
    </row>
    <row r="98" spans="2:11" ht="15">
      <c r="B98" s="18"/>
      <c r="C98" s="19" t="s">
        <v>234</v>
      </c>
      <c r="D98" s="109">
        <v>0.21</v>
      </c>
      <c r="E98" s="19"/>
      <c r="F98" s="2">
        <v>600</v>
      </c>
      <c r="G98" s="2">
        <v>600</v>
      </c>
      <c r="H98" s="2">
        <v>600</v>
      </c>
      <c r="I98" s="2">
        <v>600</v>
      </c>
      <c r="J98" s="2">
        <v>600</v>
      </c>
      <c r="K98" s="17"/>
    </row>
    <row r="99" spans="2:11" ht="15">
      <c r="B99" s="18"/>
      <c r="C99" s="19" t="s">
        <v>235</v>
      </c>
      <c r="D99" s="109">
        <v>0.21</v>
      </c>
      <c r="E99" s="19"/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7"/>
    </row>
    <row r="100" spans="2:11" ht="15">
      <c r="B100" s="18"/>
      <c r="C100" s="19" t="s">
        <v>239</v>
      </c>
      <c r="D100" s="109">
        <v>0</v>
      </c>
      <c r="E100" s="19"/>
      <c r="F100" s="2">
        <v>24000</v>
      </c>
      <c r="G100" s="2">
        <v>24000</v>
      </c>
      <c r="H100" s="2">
        <v>24000</v>
      </c>
      <c r="I100" s="2">
        <v>24000</v>
      </c>
      <c r="J100" s="2">
        <v>24000</v>
      </c>
      <c r="K100" s="17"/>
    </row>
    <row r="101" spans="2:11" ht="15">
      <c r="B101" s="18"/>
      <c r="C101" s="19" t="s">
        <v>236</v>
      </c>
      <c r="D101" s="109">
        <v>0.21</v>
      </c>
      <c r="E101" s="19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7"/>
    </row>
    <row r="102" spans="2:11" ht="15">
      <c r="B102" s="18"/>
      <c r="C102" s="19" t="s">
        <v>237</v>
      </c>
      <c r="D102" s="109">
        <v>0.21</v>
      </c>
      <c r="E102" s="19"/>
      <c r="F102" s="2">
        <v>1000</v>
      </c>
      <c r="G102" s="2">
        <v>1000</v>
      </c>
      <c r="H102" s="2">
        <v>1000</v>
      </c>
      <c r="I102" s="2">
        <v>1000</v>
      </c>
      <c r="J102" s="2">
        <v>1000</v>
      </c>
      <c r="K102" s="17"/>
    </row>
    <row r="103" spans="2:11" ht="15">
      <c r="B103" s="18"/>
      <c r="C103" s="19" t="s">
        <v>238</v>
      </c>
      <c r="D103" s="109">
        <v>0</v>
      </c>
      <c r="E103" s="19"/>
      <c r="F103" s="2">
        <v>1000</v>
      </c>
      <c r="G103" s="2">
        <v>1000</v>
      </c>
      <c r="H103" s="2">
        <v>1000</v>
      </c>
      <c r="I103" s="2">
        <v>1000</v>
      </c>
      <c r="J103" s="2">
        <v>1000</v>
      </c>
      <c r="K103" s="17"/>
    </row>
    <row r="104" spans="2:11" ht="15">
      <c r="B104" s="18"/>
      <c r="C104" s="54" t="s">
        <v>438</v>
      </c>
      <c r="D104" s="109">
        <v>0</v>
      </c>
      <c r="E104" s="19"/>
      <c r="F104" s="2">
        <v>200</v>
      </c>
      <c r="G104" s="2">
        <v>200</v>
      </c>
      <c r="H104" s="2">
        <v>200</v>
      </c>
      <c r="I104" s="2">
        <v>200</v>
      </c>
      <c r="J104" s="2">
        <v>200</v>
      </c>
      <c r="K104" s="17"/>
    </row>
    <row r="105" spans="2:11" ht="15">
      <c r="B105" s="18"/>
      <c r="C105" s="54" t="s">
        <v>240</v>
      </c>
      <c r="D105" s="109">
        <v>0</v>
      </c>
      <c r="E105" s="19"/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7"/>
    </row>
    <row r="106" spans="2:11" ht="15">
      <c r="B106" s="18"/>
      <c r="C106" s="54" t="s">
        <v>241</v>
      </c>
      <c r="D106" s="109">
        <v>0</v>
      </c>
      <c r="E106" s="19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7"/>
    </row>
    <row r="107" spans="2:11" ht="15">
      <c r="B107" s="18"/>
      <c r="C107" s="54" t="s">
        <v>242</v>
      </c>
      <c r="D107" s="109">
        <v>0</v>
      </c>
      <c r="E107" s="19"/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7"/>
    </row>
    <row r="108" spans="2:11" ht="15">
      <c r="B108" s="18"/>
      <c r="C108" s="54" t="s">
        <v>243</v>
      </c>
      <c r="D108" s="109">
        <v>0</v>
      </c>
      <c r="E108" s="19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7"/>
    </row>
    <row r="109" spans="2:11" ht="15">
      <c r="B109" s="18"/>
      <c r="C109" s="54" t="s">
        <v>244</v>
      </c>
      <c r="D109" s="109">
        <v>0</v>
      </c>
      <c r="E109" s="19"/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7"/>
    </row>
    <row r="110" spans="2:11" ht="15">
      <c r="B110" s="18"/>
      <c r="C110" s="54" t="s">
        <v>245</v>
      </c>
      <c r="D110" s="109">
        <v>0</v>
      </c>
      <c r="E110" s="19"/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7"/>
    </row>
    <row r="111" spans="2:11" ht="15">
      <c r="B111" s="18"/>
      <c r="C111" s="54" t="s">
        <v>246</v>
      </c>
      <c r="D111" s="109">
        <v>0</v>
      </c>
      <c r="E111" s="19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7"/>
    </row>
    <row r="112" spans="2:11" ht="15">
      <c r="B112" s="18"/>
      <c r="C112" s="54" t="s">
        <v>247</v>
      </c>
      <c r="D112" s="109">
        <v>0</v>
      </c>
      <c r="E112" s="19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7"/>
    </row>
    <row r="113" spans="2:11" ht="15.75" thickBot="1">
      <c r="B113" s="20"/>
      <c r="C113" s="21"/>
      <c r="D113" s="21"/>
      <c r="E113" s="21"/>
      <c r="F113" s="21"/>
      <c r="G113" s="21"/>
      <c r="H113" s="21"/>
      <c r="I113" s="21"/>
      <c r="J113" s="21"/>
      <c r="K113" s="22"/>
    </row>
    <row r="114" ht="15.75" thickBot="1"/>
    <row r="115" spans="2:5" ht="15">
      <c r="B115" s="10"/>
      <c r="C115" s="11"/>
      <c r="D115" s="11"/>
      <c r="E115" s="12"/>
    </row>
    <row r="116" spans="2:5" ht="15">
      <c r="B116" s="18"/>
      <c r="C116" s="19" t="s">
        <v>251</v>
      </c>
      <c r="D116" s="109">
        <v>0.05</v>
      </c>
      <c r="E116" s="17"/>
    </row>
    <row r="117" spans="2:5" ht="15">
      <c r="B117" s="18"/>
      <c r="C117" s="19"/>
      <c r="D117" s="19"/>
      <c r="E117" s="17"/>
    </row>
    <row r="118" spans="2:5" ht="15">
      <c r="B118" s="18"/>
      <c r="C118" s="19" t="s">
        <v>335</v>
      </c>
      <c r="D118" s="109">
        <v>0.03</v>
      </c>
      <c r="E118" s="17"/>
    </row>
    <row r="119" spans="2:5" ht="15.75" thickBot="1">
      <c r="B119" s="20"/>
      <c r="C119" s="21"/>
      <c r="D119" s="21"/>
      <c r="E119" s="22"/>
    </row>
    <row r="120" ht="15.75" thickBot="1"/>
    <row r="121" spans="2:9" ht="15">
      <c r="B121" s="10"/>
      <c r="C121" s="11"/>
      <c r="D121" s="11"/>
      <c r="E121" s="11"/>
      <c r="F121" s="11"/>
      <c r="G121" s="11"/>
      <c r="H121" s="11"/>
      <c r="I121" s="12"/>
    </row>
    <row r="122" spans="2:9" ht="15">
      <c r="B122" s="18"/>
      <c r="C122" s="19"/>
      <c r="D122" s="15" t="str">
        <f>+F90</f>
        <v>Anno 1</v>
      </c>
      <c r="E122" s="15" t="str">
        <f>+G90</f>
        <v>Anno 2</v>
      </c>
      <c r="F122" s="15" t="str">
        <f>+H90</f>
        <v>Anno 3</v>
      </c>
      <c r="G122" s="15" t="str">
        <f>+I90</f>
        <v>Anno 4</v>
      </c>
      <c r="H122" s="15" t="str">
        <f>+J90</f>
        <v>Anno 5</v>
      </c>
      <c r="I122" s="38"/>
    </row>
    <row r="123" spans="2:9" ht="15">
      <c r="B123" s="18"/>
      <c r="C123" s="133" t="s">
        <v>399</v>
      </c>
      <c r="D123" s="6">
        <v>35000</v>
      </c>
      <c r="E123" s="6">
        <v>35000</v>
      </c>
      <c r="F123" s="6">
        <v>50000</v>
      </c>
      <c r="G123" s="6">
        <v>50000</v>
      </c>
      <c r="H123" s="6">
        <v>50000</v>
      </c>
      <c r="I123" s="17"/>
    </row>
    <row r="124" spans="2:9" ht="15.75" thickBot="1">
      <c r="B124" s="20"/>
      <c r="C124" s="21"/>
      <c r="D124" s="21"/>
      <c r="E124" s="21"/>
      <c r="F124" s="21"/>
      <c r="G124" s="21"/>
      <c r="H124" s="21"/>
      <c r="I124" s="22"/>
    </row>
    <row r="126" ht="15.75" thickBot="1"/>
    <row r="127" spans="2:9" ht="15">
      <c r="B127" s="10"/>
      <c r="C127" s="11"/>
      <c r="D127" s="11"/>
      <c r="E127" s="11"/>
      <c r="F127" s="11"/>
      <c r="G127" s="11"/>
      <c r="H127" s="11"/>
      <c r="I127" s="12"/>
    </row>
    <row r="128" spans="2:9" ht="15">
      <c r="B128" s="18"/>
      <c r="C128" s="14" t="s">
        <v>401</v>
      </c>
      <c r="D128" s="19"/>
      <c r="E128" s="19"/>
      <c r="F128" s="19"/>
      <c r="G128" s="19"/>
      <c r="H128" s="19"/>
      <c r="I128" s="17"/>
    </row>
    <row r="129" spans="2:9" ht="15">
      <c r="B129" s="18"/>
      <c r="C129" s="19"/>
      <c r="D129" s="19"/>
      <c r="E129" s="19"/>
      <c r="F129" s="19"/>
      <c r="G129" s="19"/>
      <c r="H129" s="19"/>
      <c r="I129" s="17"/>
    </row>
    <row r="130" spans="2:9" ht="15">
      <c r="B130" s="18"/>
      <c r="C130" s="19" t="s">
        <v>427</v>
      </c>
      <c r="D130" s="6">
        <v>50000</v>
      </c>
      <c r="E130" s="19"/>
      <c r="F130" s="19"/>
      <c r="G130" s="19"/>
      <c r="H130" s="19"/>
      <c r="I130" s="17"/>
    </row>
    <row r="131" spans="2:9" ht="15">
      <c r="B131" s="18"/>
      <c r="C131" s="19" t="s">
        <v>428</v>
      </c>
      <c r="D131" s="6">
        <v>50000</v>
      </c>
      <c r="E131" s="19"/>
      <c r="F131" s="19"/>
      <c r="G131" s="19"/>
      <c r="H131" s="19"/>
      <c r="I131" s="17"/>
    </row>
    <row r="132" spans="2:9" ht="15">
      <c r="B132" s="18"/>
      <c r="C132" s="19"/>
      <c r="D132" s="36">
        <f>SUM(D130:D131)</f>
        <v>100000</v>
      </c>
      <c r="E132" s="19"/>
      <c r="F132" s="19"/>
      <c r="G132" s="19"/>
      <c r="H132" s="19"/>
      <c r="I132" s="17"/>
    </row>
    <row r="133" spans="2:9" ht="15">
      <c r="B133" s="18"/>
      <c r="C133" s="19"/>
      <c r="D133" s="19"/>
      <c r="E133" s="19"/>
      <c r="F133" s="19"/>
      <c r="G133" s="19"/>
      <c r="H133" s="19"/>
      <c r="I133" s="17"/>
    </row>
    <row r="134" spans="2:9" ht="15">
      <c r="B134" s="18"/>
      <c r="C134" s="19" t="s">
        <v>90</v>
      </c>
      <c r="D134" s="41">
        <f>+IF(((D130+D131)/2)&gt;D130,D130,((D130+D131)/2))</f>
        <v>50000</v>
      </c>
      <c r="E134" s="150"/>
      <c r="F134" s="19" t="s">
        <v>431</v>
      </c>
      <c r="G134" s="19"/>
      <c r="H134" s="109">
        <v>0.02</v>
      </c>
      <c r="I134" s="17"/>
    </row>
    <row r="135" spans="2:9" ht="15">
      <c r="B135" s="18"/>
      <c r="C135" s="19" t="s">
        <v>429</v>
      </c>
      <c r="D135" s="41">
        <f>+D134</f>
        <v>50000</v>
      </c>
      <c r="E135" s="19"/>
      <c r="F135" s="19"/>
      <c r="G135" s="19"/>
      <c r="H135" s="19"/>
      <c r="I135" s="17"/>
    </row>
    <row r="136" spans="2:9" ht="15">
      <c r="B136" s="18"/>
      <c r="C136" s="14" t="s">
        <v>430</v>
      </c>
      <c r="D136" s="36">
        <f>SUM(D134:D135)</f>
        <v>100000</v>
      </c>
      <c r="E136" s="19"/>
      <c r="F136" s="19"/>
      <c r="G136" s="19"/>
      <c r="H136" s="19"/>
      <c r="I136" s="17"/>
    </row>
    <row r="137" spans="2:9" ht="15">
      <c r="B137" s="18"/>
      <c r="C137" s="14"/>
      <c r="D137" s="36"/>
      <c r="E137" s="19"/>
      <c r="F137" s="19"/>
      <c r="G137" s="19"/>
      <c r="H137" s="19"/>
      <c r="I137" s="17"/>
    </row>
    <row r="138" spans="2:9" ht="15">
      <c r="B138" s="18"/>
      <c r="C138" s="14" t="s">
        <v>434</v>
      </c>
      <c r="D138" s="36" t="s">
        <v>261</v>
      </c>
      <c r="E138" s="36" t="s">
        <v>262</v>
      </c>
      <c r="F138" s="19"/>
      <c r="G138" s="19"/>
      <c r="H138" s="19"/>
      <c r="I138" s="17"/>
    </row>
    <row r="139" spans="2:9" ht="15">
      <c r="B139" s="18"/>
      <c r="C139" s="19" t="s">
        <v>39</v>
      </c>
      <c r="D139" s="41">
        <f>+D134</f>
        <v>50000</v>
      </c>
      <c r="E139" s="19"/>
      <c r="F139" s="19"/>
      <c r="G139" s="19"/>
      <c r="H139" s="19"/>
      <c r="I139" s="17"/>
    </row>
    <row r="140" spans="2:9" ht="15">
      <c r="B140" s="18"/>
      <c r="C140" s="19" t="s">
        <v>435</v>
      </c>
      <c r="D140" s="6">
        <v>30000</v>
      </c>
      <c r="E140" s="6">
        <v>20000</v>
      </c>
      <c r="F140" s="19"/>
      <c r="G140" s="19"/>
      <c r="H140" s="19"/>
      <c r="I140" s="17"/>
    </row>
    <row r="141" spans="2:9" ht="15.75" thickBot="1">
      <c r="B141" s="20"/>
      <c r="C141" s="21"/>
      <c r="D141" s="21"/>
      <c r="E141" s="21"/>
      <c r="F141" s="21"/>
      <c r="G141" s="21"/>
      <c r="H141" s="21"/>
      <c r="I141" s="22"/>
    </row>
  </sheetData>
  <sheetProtection/>
  <dataValidations count="4">
    <dataValidation type="list" allowBlank="1" showInputMessage="1" showErrorMessage="1" sqref="G41:G49 E18 G28:G36">
      <formula1>$AD$28:$AD$34</formula1>
    </dataValidation>
    <dataValidation type="list" allowBlank="1" showInputMessage="1" showErrorMessage="1" sqref="F41:F49">
      <formula1>$AC$28:$AC$34</formula1>
    </dataValidation>
    <dataValidation type="list" allowBlank="1" showInputMessage="1" showErrorMessage="1" sqref="E82">
      <formula1>$AN$82:$AN$86</formula1>
    </dataValidation>
    <dataValidation type="list" allowBlank="1" showInputMessage="1" showErrorMessage="1" sqref="D15">
      <formula1>$AH$15:$AH$25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I32" sqref="I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10"/>
      <c r="C2" s="11"/>
      <c r="D2" s="11"/>
      <c r="E2" s="11"/>
      <c r="F2" s="11"/>
      <c r="G2" s="11"/>
      <c r="H2" s="11"/>
      <c r="I2" s="12"/>
    </row>
    <row r="3" spans="2:9" ht="15">
      <c r="B3" s="18"/>
      <c r="C3" s="14" t="s">
        <v>72</v>
      </c>
      <c r="D3" s="15" t="str">
        <f>+Input!E69</f>
        <v>Anno 1</v>
      </c>
      <c r="E3" s="15" t="str">
        <f>+Input!F69</f>
        <v>Anno 2</v>
      </c>
      <c r="F3" s="15" t="str">
        <f>+Input!G69</f>
        <v>Anno 3</v>
      </c>
      <c r="G3" s="15" t="str">
        <f>+Input!H69</f>
        <v>Anno 4</v>
      </c>
      <c r="H3" s="15" t="str">
        <f>+Input!I69</f>
        <v>Anno 5</v>
      </c>
      <c r="I3" s="17"/>
    </row>
    <row r="4" spans="2:9" ht="15">
      <c r="B4" s="18"/>
      <c r="C4" s="19" t="s">
        <v>68</v>
      </c>
      <c r="D4" s="35">
        <f>+Input!E72*Input!E70</f>
        <v>30000</v>
      </c>
      <c r="E4" s="35">
        <f>+Input!F72*Input!F70</f>
        <v>31500</v>
      </c>
      <c r="F4" s="35">
        <f>+Input!G72*Input!G70</f>
        <v>31500</v>
      </c>
      <c r="G4" s="35">
        <f>+Input!H72*Input!H70</f>
        <v>31500</v>
      </c>
      <c r="H4" s="35">
        <f>+Input!I72*Input!I70</f>
        <v>31500</v>
      </c>
      <c r="I4" s="17"/>
    </row>
    <row r="5" spans="2:9" ht="15">
      <c r="B5" s="18"/>
      <c r="C5" s="19" t="s">
        <v>69</v>
      </c>
      <c r="D5" s="35">
        <f>+D4*Input!$E$74</f>
        <v>9000</v>
      </c>
      <c r="E5" s="35">
        <f>+E4*Input!$E$74</f>
        <v>9450</v>
      </c>
      <c r="F5" s="35">
        <f>+F4*Input!$E$74</f>
        <v>9450</v>
      </c>
      <c r="G5" s="35">
        <f>+G4*Input!$E$74</f>
        <v>9450</v>
      </c>
      <c r="H5" s="35">
        <f>+H4*Input!$E$74</f>
        <v>9450</v>
      </c>
      <c r="I5" s="17"/>
    </row>
    <row r="6" spans="2:9" ht="15">
      <c r="B6" s="18"/>
      <c r="C6" s="19" t="s">
        <v>70</v>
      </c>
      <c r="D6" s="35">
        <f>+D4*Input!$E$75</f>
        <v>1200</v>
      </c>
      <c r="E6" s="35">
        <f>+E4*Input!$E$75</f>
        <v>1260</v>
      </c>
      <c r="F6" s="35">
        <f>+F4*Input!$E$75</f>
        <v>1260</v>
      </c>
      <c r="G6" s="35">
        <f>+G4*Input!$E$75</f>
        <v>1260</v>
      </c>
      <c r="H6" s="35">
        <f>+H4*Input!$E$75</f>
        <v>1260</v>
      </c>
      <c r="I6" s="17"/>
    </row>
    <row r="7" spans="2:9" ht="15">
      <c r="B7" s="18"/>
      <c r="C7" s="19" t="s">
        <v>71</v>
      </c>
      <c r="D7" s="35">
        <f>+D4*Input!$E$76</f>
        <v>2400</v>
      </c>
      <c r="E7" s="35">
        <f>+E4*Input!$E$76</f>
        <v>2520</v>
      </c>
      <c r="F7" s="35">
        <f>+F4*Input!$E$76</f>
        <v>2520</v>
      </c>
      <c r="G7" s="35">
        <f>+G4*Input!$E$76</f>
        <v>2520</v>
      </c>
      <c r="H7" s="35">
        <f>+H4*Input!$E$76</f>
        <v>2520</v>
      </c>
      <c r="I7" s="17"/>
    </row>
    <row r="8" spans="2:9" ht="15">
      <c r="B8" s="18"/>
      <c r="C8" s="14" t="s">
        <v>74</v>
      </c>
      <c r="D8" s="52">
        <f>SUM(D4:D7)</f>
        <v>42600</v>
      </c>
      <c r="E8" s="52">
        <f>SUM(E4:E7)</f>
        <v>44730</v>
      </c>
      <c r="F8" s="52">
        <f>SUM(F4:F7)</f>
        <v>44730</v>
      </c>
      <c r="G8" s="52">
        <f>SUM(G4:G7)</f>
        <v>44730</v>
      </c>
      <c r="H8" s="52">
        <f>SUM(H4:H7)</f>
        <v>44730</v>
      </c>
      <c r="I8" s="17"/>
    </row>
    <row r="9" spans="2:9" ht="15.75" thickBot="1">
      <c r="B9" s="20"/>
      <c r="C9" s="53"/>
      <c r="D9" s="55"/>
      <c r="E9" s="55"/>
      <c r="F9" s="55"/>
      <c r="G9" s="55"/>
      <c r="H9" s="55"/>
      <c r="I9" s="22"/>
    </row>
    <row r="11" ht="15.75" thickBot="1"/>
    <row r="12" spans="2:9" ht="15">
      <c r="B12" s="10"/>
      <c r="C12" s="11"/>
      <c r="D12" s="11"/>
      <c r="E12" s="11"/>
      <c r="F12" s="11"/>
      <c r="G12" s="11"/>
      <c r="H12" s="11"/>
      <c r="I12" s="12"/>
    </row>
    <row r="13" spans="2:9" ht="15">
      <c r="B13" s="18"/>
      <c r="C13" s="14" t="s">
        <v>37</v>
      </c>
      <c r="D13" s="15" t="str">
        <f aca="true" t="shared" si="0" ref="D13:H15">+D3</f>
        <v>Anno 1</v>
      </c>
      <c r="E13" s="15" t="str">
        <f t="shared" si="0"/>
        <v>Anno 2</v>
      </c>
      <c r="F13" s="15" t="str">
        <f t="shared" si="0"/>
        <v>Anno 3</v>
      </c>
      <c r="G13" s="15" t="str">
        <f t="shared" si="0"/>
        <v>Anno 4</v>
      </c>
      <c r="H13" s="15" t="str">
        <f t="shared" si="0"/>
        <v>Anno 5</v>
      </c>
      <c r="I13" s="17"/>
    </row>
    <row r="14" spans="2:9" ht="15">
      <c r="B14" s="18"/>
      <c r="C14" s="19" t="str">
        <f>+C4</f>
        <v>Retribuzione</v>
      </c>
      <c r="D14" s="47">
        <f t="shared" si="0"/>
        <v>30000</v>
      </c>
      <c r="E14" s="47">
        <f t="shared" si="0"/>
        <v>31500</v>
      </c>
      <c r="F14" s="47">
        <f t="shared" si="0"/>
        <v>31500</v>
      </c>
      <c r="G14" s="47">
        <f t="shared" si="0"/>
        <v>31500</v>
      </c>
      <c r="H14" s="47">
        <f t="shared" si="0"/>
        <v>31500</v>
      </c>
      <c r="I14" s="17"/>
    </row>
    <row r="15" spans="2:9" ht="15">
      <c r="B15" s="18"/>
      <c r="C15" s="19" t="str">
        <f aca="true" t="shared" si="1" ref="C15:D17">+C5</f>
        <v>INPS</v>
      </c>
      <c r="D15" s="47">
        <f t="shared" si="0"/>
        <v>9000</v>
      </c>
      <c r="E15" s="47">
        <f t="shared" si="0"/>
        <v>9450</v>
      </c>
      <c r="F15" s="47">
        <f t="shared" si="0"/>
        <v>9450</v>
      </c>
      <c r="G15" s="47">
        <f t="shared" si="0"/>
        <v>9450</v>
      </c>
      <c r="H15" s="47">
        <f t="shared" si="0"/>
        <v>9450</v>
      </c>
      <c r="I15" s="17"/>
    </row>
    <row r="16" spans="2:9" ht="15">
      <c r="B16" s="18"/>
      <c r="C16" s="19" t="str">
        <f t="shared" si="1"/>
        <v>INAIL</v>
      </c>
      <c r="D16" s="47">
        <f t="shared" si="1"/>
        <v>1200</v>
      </c>
      <c r="E16" s="47">
        <f aca="true" t="shared" si="2" ref="E16:H17">+E6</f>
        <v>1260</v>
      </c>
      <c r="F16" s="47">
        <f t="shared" si="2"/>
        <v>1260</v>
      </c>
      <c r="G16" s="47">
        <f t="shared" si="2"/>
        <v>1260</v>
      </c>
      <c r="H16" s="47">
        <f t="shared" si="2"/>
        <v>1260</v>
      </c>
      <c r="I16" s="17"/>
    </row>
    <row r="17" spans="2:9" ht="15">
      <c r="B17" s="18"/>
      <c r="C17" s="19" t="str">
        <f t="shared" si="1"/>
        <v>TFR</v>
      </c>
      <c r="D17" s="47">
        <f t="shared" si="1"/>
        <v>2400</v>
      </c>
      <c r="E17" s="47">
        <f t="shared" si="2"/>
        <v>2520</v>
      </c>
      <c r="F17" s="47">
        <f t="shared" si="2"/>
        <v>2520</v>
      </c>
      <c r="G17" s="47">
        <f t="shared" si="2"/>
        <v>2520</v>
      </c>
      <c r="H17" s="47">
        <f t="shared" si="2"/>
        <v>2520</v>
      </c>
      <c r="I17" s="17"/>
    </row>
    <row r="18" spans="2:9" ht="15">
      <c r="B18" s="18"/>
      <c r="C18" s="14" t="s">
        <v>74</v>
      </c>
      <c r="D18" s="52">
        <f>SUM(D14:D17)</f>
        <v>42600</v>
      </c>
      <c r="E18" s="52">
        <f>SUM(E14:E17)</f>
        <v>44730</v>
      </c>
      <c r="F18" s="52">
        <f>SUM(F14:F17)</f>
        <v>44730</v>
      </c>
      <c r="G18" s="52">
        <f>SUM(G14:G17)</f>
        <v>44730</v>
      </c>
      <c r="H18" s="52">
        <f>SUM(H14:H17)</f>
        <v>44730</v>
      </c>
      <c r="I18" s="17"/>
    </row>
    <row r="19" spans="2:9" ht="15.75" thickBot="1">
      <c r="B19" s="20"/>
      <c r="C19" s="21"/>
      <c r="D19" s="21"/>
      <c r="E19" s="21"/>
      <c r="F19" s="21"/>
      <c r="G19" s="21"/>
      <c r="H19" s="21"/>
      <c r="I19" s="22"/>
    </row>
    <row r="22" spans="3:8" ht="15">
      <c r="C22" t="s">
        <v>329</v>
      </c>
      <c r="D22" s="27">
        <f>+D17</f>
        <v>2400</v>
      </c>
      <c r="E22" s="27">
        <f>+E17</f>
        <v>2520</v>
      </c>
      <c r="F22" s="27">
        <f>+F17</f>
        <v>2520</v>
      </c>
      <c r="G22" s="27">
        <f>+G17</f>
        <v>2520</v>
      </c>
      <c r="H22" s="27">
        <f>+H17</f>
        <v>2520</v>
      </c>
    </row>
    <row r="23" spans="3:8" ht="15">
      <c r="C23" t="s">
        <v>37</v>
      </c>
      <c r="D23" s="27">
        <f>+D18-D22</f>
        <v>40200</v>
      </c>
      <c r="E23" s="27">
        <f>+E18-E22</f>
        <v>42210</v>
      </c>
      <c r="F23" s="27">
        <f>+F18-F22</f>
        <v>42210</v>
      </c>
      <c r="G23" s="27">
        <f>+G18-G22</f>
        <v>42210</v>
      </c>
      <c r="H23" s="27">
        <f>+H18-H22</f>
        <v>42210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6"/>
      <c r="B1" s="57" t="s">
        <v>81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>
        <v>1</v>
      </c>
      <c r="GN1" s="77">
        <v>2</v>
      </c>
      <c r="GO1" s="77">
        <v>3</v>
      </c>
      <c r="GP1" s="77">
        <v>4</v>
      </c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</row>
    <row r="2" spans="1:212" ht="15">
      <c r="A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FY2" s="78" t="s">
        <v>91</v>
      </c>
      <c r="FZ2" s="77">
        <v>1</v>
      </c>
      <c r="GA2" s="77"/>
      <c r="GB2" s="77"/>
      <c r="GC2" s="77" t="s">
        <v>135</v>
      </c>
      <c r="GD2" s="77">
        <f>VLOOKUP(C4,$FY$2:$FZ$38,2,FALSE)</f>
        <v>3</v>
      </c>
      <c r="GE2" s="77" t="s">
        <v>136</v>
      </c>
      <c r="GF2" s="77"/>
      <c r="GG2" s="77"/>
      <c r="GH2" s="77"/>
      <c r="GI2" s="77"/>
      <c r="GJ2" s="77">
        <v>1</v>
      </c>
      <c r="GK2" s="77">
        <f>+IF($C$8=$GM$1,GM2,IF($C$8=$GN$1,GN2,IF($C$8=$GO$1,GO2,IF($C$8=$GP$1,GP2,0))))</f>
        <v>1</v>
      </c>
      <c r="GL2" s="77"/>
      <c r="GM2" s="77">
        <v>1</v>
      </c>
      <c r="GN2" s="77">
        <v>1</v>
      </c>
      <c r="GO2" s="77">
        <v>1</v>
      </c>
      <c r="GP2" s="77">
        <v>1</v>
      </c>
      <c r="GQ2" s="77"/>
      <c r="GR2" s="77"/>
      <c r="GS2" s="77"/>
      <c r="GT2" s="77">
        <v>1</v>
      </c>
      <c r="GU2" s="77"/>
      <c r="GV2" s="77">
        <v>1</v>
      </c>
      <c r="GW2" s="77"/>
      <c r="GX2" s="77"/>
      <c r="GY2" s="77"/>
      <c r="GZ2" s="77"/>
      <c r="HA2" s="77"/>
      <c r="HB2" s="77"/>
      <c r="HC2" s="77"/>
      <c r="HD2" s="77"/>
    </row>
    <row r="3" spans="1:212" ht="15.75">
      <c r="A3" s="56"/>
      <c r="B3" s="57" t="s">
        <v>82</v>
      </c>
      <c r="C3" s="58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FY3" s="78" t="s">
        <v>92</v>
      </c>
      <c r="FZ3" s="77">
        <f>1+FZ2</f>
        <v>2</v>
      </c>
      <c r="GA3" s="77"/>
      <c r="GB3" s="77"/>
      <c r="GC3" s="77"/>
      <c r="GD3" s="77">
        <f>VLOOKUP(C6,$FY$2:$FZ$38,2,FALSE)</f>
        <v>3</v>
      </c>
      <c r="GE3" s="77" t="s">
        <v>137</v>
      </c>
      <c r="GF3" s="77"/>
      <c r="GG3" s="77"/>
      <c r="GH3" s="77"/>
      <c r="GI3" s="77"/>
      <c r="GJ3" s="77">
        <f>+GJ2+1</f>
        <v>2</v>
      </c>
      <c r="GK3" s="77">
        <f>+IF($C$8=$GM$1,GM3,IF($C$8=$GN$1,GN3,IF($C$8=$GO$1,GO3,IF($C$8=$GP$1,GP3,0))))</f>
        <v>0</v>
      </c>
      <c r="GL3" s="77"/>
      <c r="GM3" s="77"/>
      <c r="GN3" s="77"/>
      <c r="GO3" s="77"/>
      <c r="GP3" s="77"/>
      <c r="GQ3" s="77"/>
      <c r="GR3" s="77"/>
      <c r="GS3" s="77"/>
      <c r="GT3" s="77">
        <v>2</v>
      </c>
      <c r="GU3" s="77"/>
      <c r="GV3" s="77">
        <v>2</v>
      </c>
      <c r="GW3" s="77"/>
      <c r="GX3" s="77"/>
      <c r="GY3" s="77"/>
      <c r="GZ3" s="77"/>
      <c r="HA3" s="77"/>
      <c r="HB3" s="77"/>
      <c r="HC3" s="77"/>
      <c r="HD3" s="77"/>
    </row>
    <row r="4" spans="2:212" ht="15">
      <c r="B4" s="59" t="s">
        <v>77</v>
      </c>
      <c r="C4" s="60" t="s">
        <v>436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FY4" s="78" t="s">
        <v>93</v>
      </c>
      <c r="FZ4" s="77">
        <f aca="true" t="shared" si="0" ref="FZ4:FZ67">1+FZ3</f>
        <v>3</v>
      </c>
      <c r="GA4" s="77"/>
      <c r="GB4" s="77"/>
      <c r="GC4" s="77"/>
      <c r="GD4" s="77"/>
      <c r="GE4" s="77"/>
      <c r="GF4" s="77"/>
      <c r="GG4" s="77"/>
      <c r="GH4" s="77"/>
      <c r="GI4" s="77"/>
      <c r="GJ4" s="77">
        <f aca="true" t="shared" si="1" ref="GJ4:GJ67">+GJ3+1</f>
        <v>3</v>
      </c>
      <c r="GK4" s="77">
        <f aca="true" t="shared" si="2" ref="GK4:GK68">+IF($C$8=$GM$1,GM4,IF($C$8=$GN$1,GN4,IF($C$8=$GO$1,GO4,IF($C$8=$GP$1,GP4,0))))</f>
        <v>0</v>
      </c>
      <c r="GL4" s="77"/>
      <c r="GM4" s="77"/>
      <c r="GN4" s="77"/>
      <c r="GO4" s="77"/>
      <c r="GP4" s="77"/>
      <c r="GQ4" s="77"/>
      <c r="GR4" s="77"/>
      <c r="GS4" s="77"/>
      <c r="GT4" s="77">
        <v>3</v>
      </c>
      <c r="GU4" s="77"/>
      <c r="GV4" s="77">
        <v>3</v>
      </c>
      <c r="GW4" s="77"/>
      <c r="GX4" s="77"/>
      <c r="GY4" s="77"/>
      <c r="GZ4" s="77"/>
      <c r="HA4" s="77"/>
      <c r="HB4" s="77"/>
      <c r="HC4" s="77"/>
      <c r="HD4" s="77"/>
    </row>
    <row r="5" spans="1:212" ht="15">
      <c r="A5" s="56" t="s">
        <v>83</v>
      </c>
      <c r="B5" s="59" t="s">
        <v>78</v>
      </c>
      <c r="C5" s="61">
        <f>+Input!H134</f>
        <v>0.02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FY5" s="78" t="s">
        <v>94</v>
      </c>
      <c r="FZ5" s="77">
        <f t="shared" si="0"/>
        <v>4</v>
      </c>
      <c r="GA5" s="77"/>
      <c r="GB5" s="77"/>
      <c r="GC5" s="77"/>
      <c r="GD5" s="77"/>
      <c r="GE5" s="77"/>
      <c r="GF5" s="77"/>
      <c r="GG5" s="77"/>
      <c r="GH5" s="77"/>
      <c r="GI5" s="77"/>
      <c r="GJ5" s="77">
        <f t="shared" si="1"/>
        <v>4</v>
      </c>
      <c r="GK5" s="77">
        <f t="shared" si="2"/>
        <v>0</v>
      </c>
      <c r="GL5" s="77"/>
      <c r="GM5" s="77"/>
      <c r="GN5" s="77"/>
      <c r="GO5" s="77"/>
      <c r="GP5" s="77">
        <v>1</v>
      </c>
      <c r="GQ5" s="77"/>
      <c r="GR5" s="77"/>
      <c r="GS5" s="77"/>
      <c r="GT5" s="77">
        <v>4</v>
      </c>
      <c r="GU5" s="77"/>
      <c r="GV5" s="77">
        <v>4</v>
      </c>
      <c r="GW5" s="77"/>
      <c r="GX5" s="77"/>
      <c r="GY5" s="77"/>
      <c r="GZ5" s="77"/>
      <c r="HA5" s="77"/>
      <c r="HB5" s="77"/>
      <c r="HC5" s="77"/>
      <c r="HD5" s="77"/>
    </row>
    <row r="6" spans="1:212" ht="15">
      <c r="A6" s="56"/>
      <c r="B6" s="59" t="s">
        <v>84</v>
      </c>
      <c r="C6" s="62" t="s">
        <v>436</v>
      </c>
      <c r="D6" s="56">
        <f>+IF(GD3&lt;GD2,"non puoi inserire una data antecedente a quella di stipule del finanziamento","")</f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FY6" s="78" t="s">
        <v>95</v>
      </c>
      <c r="FZ6" s="77">
        <f t="shared" si="0"/>
        <v>5</v>
      </c>
      <c r="GA6" s="77"/>
      <c r="GB6" s="77"/>
      <c r="GC6" s="77"/>
      <c r="GD6" s="77"/>
      <c r="GE6" s="77"/>
      <c r="GF6" s="77"/>
      <c r="GG6" s="77"/>
      <c r="GH6" s="77"/>
      <c r="GI6" s="77"/>
      <c r="GJ6" s="77">
        <f t="shared" si="1"/>
        <v>5</v>
      </c>
      <c r="GK6" s="77">
        <f t="shared" si="2"/>
        <v>0</v>
      </c>
      <c r="GL6" s="77"/>
      <c r="GM6" s="77"/>
      <c r="GN6" s="77"/>
      <c r="GO6" s="77">
        <v>1</v>
      </c>
      <c r="GP6" s="77"/>
      <c r="GQ6" s="77"/>
      <c r="GR6" s="77"/>
      <c r="GS6" s="77"/>
      <c r="GT6" s="77"/>
      <c r="GU6" s="77"/>
      <c r="GV6" s="77">
        <v>5</v>
      </c>
      <c r="GW6" s="77"/>
      <c r="GX6" s="77"/>
      <c r="GY6" s="77"/>
      <c r="GZ6" s="77"/>
      <c r="HA6" s="77"/>
      <c r="HB6" s="77"/>
      <c r="HC6" s="77"/>
      <c r="HD6" s="77"/>
    </row>
    <row r="7" spans="1:212" ht="15">
      <c r="A7" s="56"/>
      <c r="B7" s="63" t="s">
        <v>79</v>
      </c>
      <c r="C7" s="64">
        <f>+Input!D134</f>
        <v>50000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FY7" s="78" t="s">
        <v>96</v>
      </c>
      <c r="FZ7" s="77">
        <f t="shared" si="0"/>
        <v>6</v>
      </c>
      <c r="GA7" s="77"/>
      <c r="GB7" s="77"/>
      <c r="GC7" s="77"/>
      <c r="GD7" s="77"/>
      <c r="GE7" s="77"/>
      <c r="GF7" s="77"/>
      <c r="GG7" s="77"/>
      <c r="GH7" s="77"/>
      <c r="GI7" s="77"/>
      <c r="GJ7" s="77">
        <f t="shared" si="1"/>
        <v>6</v>
      </c>
      <c r="GK7" s="77">
        <f t="shared" si="2"/>
        <v>0</v>
      </c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>
        <v>6</v>
      </c>
      <c r="GW7" s="77"/>
      <c r="GX7" s="77"/>
      <c r="GY7" s="77"/>
      <c r="GZ7" s="77"/>
      <c r="HA7" s="77"/>
      <c r="HB7" s="77"/>
      <c r="HC7" s="77"/>
      <c r="HD7" s="77"/>
    </row>
    <row r="8" spans="1:212" ht="15">
      <c r="A8" s="56"/>
      <c r="B8" s="63" t="s">
        <v>85</v>
      </c>
      <c r="C8" s="65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FY8" s="78" t="s">
        <v>97</v>
      </c>
      <c r="FZ8" s="77">
        <f t="shared" si="0"/>
        <v>7</v>
      </c>
      <c r="GA8" s="77"/>
      <c r="GB8" s="77"/>
      <c r="GC8" s="77"/>
      <c r="GD8" s="77"/>
      <c r="GE8" s="77"/>
      <c r="GF8" s="77"/>
      <c r="GG8" s="77"/>
      <c r="GH8" s="77"/>
      <c r="GI8" s="77"/>
      <c r="GJ8" s="77">
        <f t="shared" si="1"/>
        <v>7</v>
      </c>
      <c r="GK8" s="77">
        <f t="shared" si="2"/>
        <v>0</v>
      </c>
      <c r="GL8" s="77"/>
      <c r="GM8" s="77"/>
      <c r="GN8" s="77">
        <v>1</v>
      </c>
      <c r="GO8" s="77"/>
      <c r="GP8" s="77">
        <v>1</v>
      </c>
      <c r="GQ8" s="77"/>
      <c r="GR8" s="77"/>
      <c r="GS8" s="77"/>
      <c r="GT8" s="77"/>
      <c r="GU8" s="77"/>
      <c r="GV8" s="77">
        <v>7</v>
      </c>
      <c r="GW8" s="77"/>
      <c r="GX8" s="77"/>
      <c r="GY8" s="77"/>
      <c r="GZ8" s="77"/>
      <c r="HA8" s="77"/>
      <c r="HB8" s="77"/>
      <c r="HC8" s="77"/>
      <c r="HD8" s="77"/>
    </row>
    <row r="9" spans="1:212" ht="15">
      <c r="A9" s="56"/>
      <c r="B9" s="63" t="s">
        <v>80</v>
      </c>
      <c r="C9" s="65">
        <v>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FY9" s="78" t="s">
        <v>98</v>
      </c>
      <c r="FZ9" s="77">
        <f t="shared" si="0"/>
        <v>8</v>
      </c>
      <c r="GA9" s="77"/>
      <c r="GB9" s="77"/>
      <c r="GC9" s="77"/>
      <c r="GD9" s="77"/>
      <c r="GE9" s="77"/>
      <c r="GF9" s="77"/>
      <c r="GG9" s="77"/>
      <c r="GH9" s="77"/>
      <c r="GI9" s="77"/>
      <c r="GJ9" s="77">
        <f t="shared" si="1"/>
        <v>8</v>
      </c>
      <c r="GK9" s="77">
        <f t="shared" si="2"/>
        <v>0</v>
      </c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>
        <v>8</v>
      </c>
      <c r="GW9" s="77"/>
      <c r="GX9" s="77"/>
      <c r="GY9" s="77"/>
      <c r="GZ9" s="77"/>
      <c r="HA9" s="77"/>
      <c r="HB9" s="77"/>
      <c r="HC9" s="77"/>
      <c r="HD9" s="77"/>
    </row>
    <row r="10" spans="1:212" ht="15">
      <c r="A10" s="56"/>
      <c r="B10" s="66" t="s">
        <v>86</v>
      </c>
      <c r="C10" s="67">
        <v>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FY10" s="78" t="s">
        <v>99</v>
      </c>
      <c r="FZ10" s="77">
        <f t="shared" si="0"/>
        <v>9</v>
      </c>
      <c r="GA10" s="77"/>
      <c r="GB10" s="77"/>
      <c r="GC10" s="77"/>
      <c r="GD10" s="77"/>
      <c r="GE10" s="77"/>
      <c r="GF10" s="77"/>
      <c r="GG10" s="77"/>
      <c r="GH10" s="77"/>
      <c r="GI10" s="77"/>
      <c r="GJ10" s="77">
        <f t="shared" si="1"/>
        <v>9</v>
      </c>
      <c r="GK10" s="77">
        <f t="shared" si="2"/>
        <v>0</v>
      </c>
      <c r="GL10" s="77"/>
      <c r="GM10" s="77"/>
      <c r="GN10" s="77"/>
      <c r="GO10" s="77">
        <v>1</v>
      </c>
      <c r="GP10" s="77"/>
      <c r="GQ10" s="77"/>
      <c r="GR10" s="77"/>
      <c r="GS10" s="77"/>
      <c r="GT10" s="77"/>
      <c r="GU10" s="77"/>
      <c r="GV10" s="77">
        <v>9</v>
      </c>
      <c r="GW10" s="77"/>
      <c r="GX10" s="77"/>
      <c r="GY10" s="77"/>
      <c r="GZ10" s="77"/>
      <c r="HA10" s="77"/>
      <c r="HB10" s="77"/>
      <c r="HC10" s="77"/>
      <c r="HD10" s="77"/>
    </row>
    <row r="11" spans="1:212" ht="15">
      <c r="A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FY11" s="78" t="s">
        <v>100</v>
      </c>
      <c r="FZ11" s="77">
        <f t="shared" si="0"/>
        <v>10</v>
      </c>
      <c r="GA11" s="77"/>
      <c r="GB11" s="77"/>
      <c r="GC11" s="77"/>
      <c r="GD11" s="77"/>
      <c r="GE11" s="77"/>
      <c r="GF11" s="77"/>
      <c r="GG11" s="77"/>
      <c r="GH11" s="77"/>
      <c r="GI11" s="77"/>
      <c r="GJ11" s="77">
        <f t="shared" si="1"/>
        <v>10</v>
      </c>
      <c r="GK11" s="77">
        <f t="shared" si="2"/>
        <v>0</v>
      </c>
      <c r="GL11" s="77"/>
      <c r="GM11" s="77"/>
      <c r="GN11" s="77"/>
      <c r="GO11" s="77"/>
      <c r="GP11" s="77">
        <v>1</v>
      </c>
      <c r="GQ11" s="77"/>
      <c r="GR11" s="77"/>
      <c r="GS11" s="77"/>
      <c r="GT11" s="77"/>
      <c r="GU11" s="77"/>
      <c r="GV11" s="77">
        <v>10</v>
      </c>
      <c r="GW11" s="77"/>
      <c r="GX11" s="77"/>
      <c r="GY11" s="77"/>
      <c r="GZ11" s="77"/>
      <c r="HA11" s="77"/>
      <c r="HB11" s="77"/>
      <c r="HC11" s="77"/>
      <c r="HD11" s="77"/>
    </row>
    <row r="12" spans="1:212" ht="15">
      <c r="A12" s="56"/>
      <c r="B12" s="68" t="s">
        <v>87</v>
      </c>
      <c r="C12" s="69" t="str">
        <f>IF(C8=1,"annuale",IF(C8=2,"semestrale",IF(C8=3,"quadrimestrale",IF(C8=4,"trimestrale"))))</f>
        <v>annuale</v>
      </c>
      <c r="D12" s="149">
        <f>((1+C5)^(1/C8))-1</f>
        <v>0.020000000000000018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FY12" s="78" t="s">
        <v>101</v>
      </c>
      <c r="FZ12" s="77">
        <f t="shared" si="0"/>
        <v>11</v>
      </c>
      <c r="GA12" s="77"/>
      <c r="GB12" s="77"/>
      <c r="GC12" s="77"/>
      <c r="GD12" s="77"/>
      <c r="GE12" s="77"/>
      <c r="GF12" s="77"/>
      <c r="GG12" s="77"/>
      <c r="GH12" s="77"/>
      <c r="GI12" s="77"/>
      <c r="GJ12" s="77">
        <f t="shared" si="1"/>
        <v>11</v>
      </c>
      <c r="GK12" s="77">
        <f t="shared" si="2"/>
        <v>0</v>
      </c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</row>
    <row r="13" spans="1:212" ht="15">
      <c r="A13" s="56"/>
      <c r="C13" s="56"/>
      <c r="D13" s="56"/>
      <c r="E13" s="56"/>
      <c r="F13" s="56"/>
      <c r="G13" s="56"/>
      <c r="H13" s="56"/>
      <c r="I13" s="56"/>
      <c r="J13" s="56"/>
      <c r="K13" s="56"/>
      <c r="L13" s="56">
        <v>1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FY13" s="78" t="s">
        <v>102</v>
      </c>
      <c r="FZ13" s="77">
        <f t="shared" si="0"/>
        <v>12</v>
      </c>
      <c r="GA13" s="77"/>
      <c r="GB13" s="77"/>
      <c r="GC13" s="77"/>
      <c r="GD13" s="77"/>
      <c r="GE13" s="77"/>
      <c r="GF13" s="77"/>
      <c r="GG13" s="77"/>
      <c r="GH13" s="77"/>
      <c r="GI13" s="77"/>
      <c r="GJ13" s="77">
        <f t="shared" si="1"/>
        <v>12</v>
      </c>
      <c r="GK13" s="77">
        <f t="shared" si="2"/>
        <v>0</v>
      </c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</row>
    <row r="14" spans="1:212" ht="15">
      <c r="A14" s="56"/>
      <c r="B14" s="68" t="s">
        <v>88</v>
      </c>
      <c r="C14" s="69" t="str">
        <f>C12</f>
        <v>annuale</v>
      </c>
      <c r="D14" s="71">
        <f>C7/((1-(1+D12)^(-C10))/D12)</f>
        <v>7725.59780515499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FY14" s="78" t="s">
        <v>103</v>
      </c>
      <c r="FZ14" s="77">
        <f t="shared" si="0"/>
        <v>13</v>
      </c>
      <c r="GA14" s="77"/>
      <c r="GB14" s="77"/>
      <c r="GC14" s="77"/>
      <c r="GD14" s="77"/>
      <c r="GE14" s="77"/>
      <c r="GF14" s="77"/>
      <c r="GG14" s="77"/>
      <c r="GH14" s="77"/>
      <c r="GI14" s="77"/>
      <c r="GJ14" s="77">
        <f t="shared" si="1"/>
        <v>13</v>
      </c>
      <c r="GK14" s="77">
        <f t="shared" si="2"/>
        <v>1</v>
      </c>
      <c r="GL14" s="77"/>
      <c r="GM14" s="77">
        <v>1</v>
      </c>
      <c r="GN14" s="77">
        <v>1</v>
      </c>
      <c r="GO14" s="77">
        <v>1</v>
      </c>
      <c r="GP14" s="77">
        <v>1</v>
      </c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</row>
    <row r="15" spans="1:212" s="79" customFormat="1" ht="15">
      <c r="A15" s="72"/>
      <c r="B15" s="72"/>
      <c r="C15" s="72"/>
      <c r="D15" s="72">
        <f>+_xlfn.IFERROR((VLOOKUP(D16,$GJ:$GK,2,FALSE)),0)</f>
        <v>0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2">
        <v>1</v>
      </c>
      <c r="M15" s="82">
        <v>1</v>
      </c>
      <c r="N15" s="82">
        <v>1</v>
      </c>
      <c r="O15" s="82">
        <v>1</v>
      </c>
      <c r="P15" s="82">
        <v>1</v>
      </c>
      <c r="Q15" s="82">
        <v>1</v>
      </c>
      <c r="R15" s="82">
        <v>1</v>
      </c>
      <c r="S15" s="82">
        <v>1</v>
      </c>
      <c r="T15" s="82">
        <v>1</v>
      </c>
      <c r="U15" s="82">
        <v>1</v>
      </c>
      <c r="V15" s="82">
        <v>1</v>
      </c>
      <c r="W15" s="82">
        <v>1</v>
      </c>
      <c r="X15" s="82">
        <v>1</v>
      </c>
      <c r="Y15" s="82">
        <v>1</v>
      </c>
      <c r="Z15" s="82">
        <v>1</v>
      </c>
      <c r="AA15" s="82">
        <v>1</v>
      </c>
      <c r="AB15" s="82">
        <v>1</v>
      </c>
      <c r="AC15" s="82">
        <v>1</v>
      </c>
      <c r="AD15" s="82">
        <v>1</v>
      </c>
      <c r="AE15" s="82">
        <v>1</v>
      </c>
      <c r="AF15" s="82">
        <v>1</v>
      </c>
      <c r="AG15" s="82">
        <v>1</v>
      </c>
      <c r="AH15" s="82">
        <v>1</v>
      </c>
      <c r="AI15" s="82">
        <v>1</v>
      </c>
      <c r="AJ15" s="82">
        <v>1</v>
      </c>
      <c r="AK15" s="82">
        <v>1</v>
      </c>
      <c r="AL15" s="82">
        <v>1</v>
      </c>
      <c r="AM15" s="82">
        <v>1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FY15" s="78" t="s">
        <v>104</v>
      </c>
      <c r="FZ15" s="80">
        <f t="shared" si="0"/>
        <v>14</v>
      </c>
      <c r="GA15" s="80"/>
      <c r="GB15" s="80"/>
      <c r="GC15" s="80"/>
      <c r="GD15" s="80"/>
      <c r="GE15" s="80"/>
      <c r="GF15" s="80"/>
      <c r="GG15" s="80"/>
      <c r="GH15" s="80"/>
      <c r="GI15" s="80"/>
      <c r="GJ15" s="80">
        <f t="shared" si="1"/>
        <v>14</v>
      </c>
      <c r="GK15" s="80">
        <f t="shared" si="2"/>
        <v>0</v>
      </c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</row>
    <row r="16" spans="1:212" s="79" customFormat="1" ht="15">
      <c r="A16" s="72"/>
      <c r="B16" s="72"/>
      <c r="C16" s="72" t="s">
        <v>89</v>
      </c>
      <c r="D16" s="72">
        <f>+IF(D17=$C$6,1,0)</f>
        <v>0</v>
      </c>
      <c r="E16" s="82">
        <f aca="true" t="shared" si="3" ref="E16:AM16">+IF(E17=$C$6,1,+IF(D16=0,0,D16+1))</f>
        <v>0</v>
      </c>
      <c r="F16" s="82">
        <f t="shared" si="3"/>
        <v>0</v>
      </c>
      <c r="G16" s="82">
        <f t="shared" si="3"/>
        <v>1</v>
      </c>
      <c r="H16" s="82">
        <f t="shared" si="3"/>
        <v>2</v>
      </c>
      <c r="I16" s="82">
        <f t="shared" si="3"/>
        <v>3</v>
      </c>
      <c r="J16" s="82">
        <f t="shared" si="3"/>
        <v>4</v>
      </c>
      <c r="K16" s="82">
        <f t="shared" si="3"/>
        <v>5</v>
      </c>
      <c r="L16" s="82">
        <f t="shared" si="3"/>
        <v>6</v>
      </c>
      <c r="M16" s="82">
        <f t="shared" si="3"/>
        <v>7</v>
      </c>
      <c r="N16" s="82">
        <f t="shared" si="3"/>
        <v>8</v>
      </c>
      <c r="O16" s="82">
        <f t="shared" si="3"/>
        <v>9</v>
      </c>
      <c r="P16" s="82">
        <f t="shared" si="3"/>
        <v>10</v>
      </c>
      <c r="Q16" s="82">
        <f t="shared" si="3"/>
        <v>11</v>
      </c>
      <c r="R16" s="82">
        <f t="shared" si="3"/>
        <v>12</v>
      </c>
      <c r="S16" s="82">
        <f t="shared" si="3"/>
        <v>13</v>
      </c>
      <c r="T16" s="82">
        <f t="shared" si="3"/>
        <v>14</v>
      </c>
      <c r="U16" s="82">
        <f t="shared" si="3"/>
        <v>15</v>
      </c>
      <c r="V16" s="82">
        <f t="shared" si="3"/>
        <v>16</v>
      </c>
      <c r="W16" s="82">
        <f t="shared" si="3"/>
        <v>17</v>
      </c>
      <c r="X16" s="82">
        <f t="shared" si="3"/>
        <v>18</v>
      </c>
      <c r="Y16" s="82">
        <f t="shared" si="3"/>
        <v>19</v>
      </c>
      <c r="Z16" s="82">
        <f t="shared" si="3"/>
        <v>20</v>
      </c>
      <c r="AA16" s="82">
        <f t="shared" si="3"/>
        <v>21</v>
      </c>
      <c r="AB16" s="82">
        <f t="shared" si="3"/>
        <v>22</v>
      </c>
      <c r="AC16" s="82">
        <f t="shared" si="3"/>
        <v>23</v>
      </c>
      <c r="AD16" s="82">
        <f t="shared" si="3"/>
        <v>24</v>
      </c>
      <c r="AE16" s="82">
        <f t="shared" si="3"/>
        <v>25</v>
      </c>
      <c r="AF16" s="82">
        <f t="shared" si="3"/>
        <v>26</v>
      </c>
      <c r="AG16" s="82">
        <f t="shared" si="3"/>
        <v>27</v>
      </c>
      <c r="AH16" s="82">
        <f t="shared" si="3"/>
        <v>28</v>
      </c>
      <c r="AI16" s="82">
        <f t="shared" si="3"/>
        <v>29</v>
      </c>
      <c r="AJ16" s="82">
        <f t="shared" si="3"/>
        <v>30</v>
      </c>
      <c r="AK16" s="82">
        <f t="shared" si="3"/>
        <v>31</v>
      </c>
      <c r="AL16" s="82">
        <f t="shared" si="3"/>
        <v>32</v>
      </c>
      <c r="AM16" s="82">
        <f t="shared" si="3"/>
        <v>33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FY16" s="78" t="s">
        <v>105</v>
      </c>
      <c r="FZ16" s="80">
        <f t="shared" si="0"/>
        <v>15</v>
      </c>
      <c r="GA16" s="80"/>
      <c r="GB16" s="80"/>
      <c r="GC16" s="80"/>
      <c r="GD16" s="80"/>
      <c r="GE16" s="80"/>
      <c r="GF16" s="80"/>
      <c r="GG16" s="80"/>
      <c r="GH16" s="80"/>
      <c r="GI16" s="80"/>
      <c r="GJ16" s="80">
        <f t="shared" si="1"/>
        <v>15</v>
      </c>
      <c r="GK16" s="80">
        <f t="shared" si="2"/>
        <v>0</v>
      </c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</row>
    <row r="17" spans="1:212" ht="15">
      <c r="A17" s="56"/>
      <c r="B17" s="73" t="s">
        <v>90</v>
      </c>
      <c r="C17" s="74"/>
      <c r="D17" s="74"/>
      <c r="E17" s="74" t="s">
        <v>91</v>
      </c>
      <c r="F17" s="74" t="s">
        <v>92</v>
      </c>
      <c r="G17" s="74" t="s">
        <v>93</v>
      </c>
      <c r="H17" s="74" t="s">
        <v>94</v>
      </c>
      <c r="I17" s="74" t="s">
        <v>95</v>
      </c>
      <c r="J17" s="74" t="s">
        <v>96</v>
      </c>
      <c r="K17" s="74" t="s">
        <v>97</v>
      </c>
      <c r="L17" s="74" t="s">
        <v>98</v>
      </c>
      <c r="M17" s="74" t="s">
        <v>99</v>
      </c>
      <c r="N17" s="74" t="s">
        <v>100</v>
      </c>
      <c r="O17" s="74" t="s">
        <v>101</v>
      </c>
      <c r="P17" s="74" t="s">
        <v>102</v>
      </c>
      <c r="Q17" s="74" t="s">
        <v>103</v>
      </c>
      <c r="R17" s="74" t="s">
        <v>104</v>
      </c>
      <c r="S17" s="74" t="s">
        <v>105</v>
      </c>
      <c r="T17" s="74" t="s">
        <v>106</v>
      </c>
      <c r="U17" s="74" t="s">
        <v>107</v>
      </c>
      <c r="V17" s="74" t="s">
        <v>108</v>
      </c>
      <c r="W17" s="74" t="s">
        <v>109</v>
      </c>
      <c r="X17" s="74" t="s">
        <v>110</v>
      </c>
      <c r="Y17" s="74" t="s">
        <v>111</v>
      </c>
      <c r="Z17" s="74" t="s">
        <v>112</v>
      </c>
      <c r="AA17" s="74" t="s">
        <v>113</v>
      </c>
      <c r="AB17" s="74" t="s">
        <v>114</v>
      </c>
      <c r="AC17" s="74" t="s">
        <v>115</v>
      </c>
      <c r="AD17" s="74" t="s">
        <v>116</v>
      </c>
      <c r="AE17" s="74" t="s">
        <v>117</v>
      </c>
      <c r="AF17" s="74" t="s">
        <v>118</v>
      </c>
      <c r="AG17" s="74" t="s">
        <v>119</v>
      </c>
      <c r="AH17" s="74" t="s">
        <v>120</v>
      </c>
      <c r="AI17" s="74" t="s">
        <v>121</v>
      </c>
      <c r="AJ17" s="74" t="s">
        <v>122</v>
      </c>
      <c r="AK17" s="74" t="s">
        <v>123</v>
      </c>
      <c r="AL17" s="74" t="s">
        <v>124</v>
      </c>
      <c r="AM17" s="74" t="s">
        <v>125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Y17" s="78" t="s">
        <v>106</v>
      </c>
      <c r="FZ17" s="77">
        <f t="shared" si="0"/>
        <v>16</v>
      </c>
      <c r="GA17" s="77"/>
      <c r="GB17" s="77"/>
      <c r="GC17" s="77"/>
      <c r="GD17" s="77"/>
      <c r="GE17" s="77"/>
      <c r="GF17" s="77"/>
      <c r="GG17" s="77"/>
      <c r="GH17" s="77"/>
      <c r="GI17" s="77"/>
      <c r="GJ17" s="77">
        <f t="shared" si="1"/>
        <v>16</v>
      </c>
      <c r="GK17" s="77">
        <f t="shared" si="2"/>
        <v>0</v>
      </c>
      <c r="GL17" s="77"/>
      <c r="GM17" s="77"/>
      <c r="GN17" s="77"/>
      <c r="GO17" s="77"/>
      <c r="GP17" s="77">
        <v>1</v>
      </c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</row>
    <row r="18" spans="1:212" ht="15">
      <c r="A18" s="56"/>
      <c r="B18" s="63" t="s">
        <v>126</v>
      </c>
      <c r="C18" s="71"/>
      <c r="D18" s="71">
        <f aca="true" t="shared" si="4" ref="D18:AM18">IF(D16&gt;=1,IF(D15=1,$D$14,0))*IF(C22&lt;1,0,1)</f>
        <v>0</v>
      </c>
      <c r="E18" s="71">
        <f t="shared" si="4"/>
        <v>0</v>
      </c>
      <c r="F18" s="71">
        <f t="shared" si="4"/>
        <v>0</v>
      </c>
      <c r="G18" s="71">
        <f t="shared" si="4"/>
        <v>7725.59780515499</v>
      </c>
      <c r="H18" s="71">
        <f t="shared" si="4"/>
        <v>7725.59780515499</v>
      </c>
      <c r="I18" s="71">
        <f t="shared" si="4"/>
        <v>7725.59780515499</v>
      </c>
      <c r="J18" s="71">
        <f t="shared" si="4"/>
        <v>7725.59780515499</v>
      </c>
      <c r="K18" s="71">
        <f t="shared" si="4"/>
        <v>7725.59780515499</v>
      </c>
      <c r="L18" s="71">
        <f t="shared" si="4"/>
        <v>7725.59780515499</v>
      </c>
      <c r="M18" s="71">
        <f t="shared" si="4"/>
        <v>7725.59780515499</v>
      </c>
      <c r="N18" s="71">
        <f t="shared" si="4"/>
        <v>0</v>
      </c>
      <c r="O18" s="71">
        <f t="shared" si="4"/>
        <v>0</v>
      </c>
      <c r="P18" s="71">
        <f t="shared" si="4"/>
        <v>0</v>
      </c>
      <c r="Q18" s="71">
        <f t="shared" si="4"/>
        <v>0</v>
      </c>
      <c r="R18" s="71">
        <f t="shared" si="4"/>
        <v>0</v>
      </c>
      <c r="S18" s="71">
        <f t="shared" si="4"/>
        <v>0</v>
      </c>
      <c r="T18" s="71">
        <f t="shared" si="4"/>
        <v>0</v>
      </c>
      <c r="U18" s="71">
        <f t="shared" si="4"/>
        <v>0</v>
      </c>
      <c r="V18" s="71">
        <f t="shared" si="4"/>
        <v>0</v>
      </c>
      <c r="W18" s="71">
        <f t="shared" si="4"/>
        <v>0</v>
      </c>
      <c r="X18" s="71">
        <f t="shared" si="4"/>
        <v>0</v>
      </c>
      <c r="Y18" s="71">
        <f t="shared" si="4"/>
        <v>0</v>
      </c>
      <c r="Z18" s="71">
        <f t="shared" si="4"/>
        <v>0</v>
      </c>
      <c r="AA18" s="71">
        <f t="shared" si="4"/>
        <v>0</v>
      </c>
      <c r="AB18" s="71">
        <f t="shared" si="4"/>
        <v>0</v>
      </c>
      <c r="AC18" s="71">
        <f t="shared" si="4"/>
        <v>0</v>
      </c>
      <c r="AD18" s="71">
        <f t="shared" si="4"/>
        <v>0</v>
      </c>
      <c r="AE18" s="71">
        <f t="shared" si="4"/>
        <v>0</v>
      </c>
      <c r="AF18" s="71">
        <f t="shared" si="4"/>
        <v>0</v>
      </c>
      <c r="AG18" s="71">
        <f t="shared" si="4"/>
        <v>0</v>
      </c>
      <c r="AH18" s="71">
        <f t="shared" si="4"/>
        <v>0</v>
      </c>
      <c r="AI18" s="71">
        <f t="shared" si="4"/>
        <v>0</v>
      </c>
      <c r="AJ18" s="71">
        <f t="shared" si="4"/>
        <v>0</v>
      </c>
      <c r="AK18" s="71">
        <f t="shared" si="4"/>
        <v>0</v>
      </c>
      <c r="AL18" s="71">
        <f t="shared" si="4"/>
        <v>0</v>
      </c>
      <c r="AM18" s="71">
        <f t="shared" si="4"/>
        <v>0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Y18" s="78" t="s">
        <v>107</v>
      </c>
      <c r="FZ18" s="77">
        <f t="shared" si="0"/>
        <v>17</v>
      </c>
      <c r="GA18" s="77"/>
      <c r="GB18" s="77"/>
      <c r="GC18" s="77"/>
      <c r="GD18" s="77"/>
      <c r="GE18" s="77"/>
      <c r="GF18" s="77"/>
      <c r="GG18" s="77"/>
      <c r="GH18" s="77"/>
      <c r="GI18" s="77"/>
      <c r="GJ18" s="77">
        <f t="shared" si="1"/>
        <v>17</v>
      </c>
      <c r="GK18" s="77">
        <f t="shared" si="2"/>
        <v>0</v>
      </c>
      <c r="GL18" s="77"/>
      <c r="GM18" s="77"/>
      <c r="GN18" s="77"/>
      <c r="GO18" s="77">
        <v>1</v>
      </c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</row>
    <row r="19" spans="1:212" ht="15">
      <c r="A19" s="56"/>
      <c r="B19" s="63" t="s">
        <v>127</v>
      </c>
      <c r="C19" s="71"/>
      <c r="D19" s="71">
        <f aca="true" t="shared" si="5" ref="D19:I19">D18-D21</f>
        <v>0</v>
      </c>
      <c r="E19" s="71">
        <f t="shared" si="5"/>
        <v>0</v>
      </c>
      <c r="F19" s="71">
        <f t="shared" si="5"/>
        <v>0</v>
      </c>
      <c r="G19" s="71">
        <f t="shared" si="5"/>
        <v>6725.597805154989</v>
      </c>
      <c r="H19" s="71">
        <f t="shared" si="5"/>
        <v>6860.109761258089</v>
      </c>
      <c r="I19" s="71">
        <f t="shared" si="5"/>
        <v>6997.311956483251</v>
      </c>
      <c r="J19" s="71">
        <f>J18-J21</f>
        <v>7137.258195612916</v>
      </c>
      <c r="K19" s="71">
        <f aca="true" t="shared" si="6" ref="K19:AM19">K18-K21</f>
        <v>7280.003359525174</v>
      </c>
      <c r="L19" s="71">
        <f t="shared" si="6"/>
        <v>7425.603426715678</v>
      </c>
      <c r="M19" s="71">
        <f t="shared" si="6"/>
        <v>7574.115495249992</v>
      </c>
      <c r="N19" s="71">
        <f t="shared" si="6"/>
        <v>0</v>
      </c>
      <c r="O19" s="71">
        <f t="shared" si="6"/>
        <v>0</v>
      </c>
      <c r="P19" s="71">
        <f t="shared" si="6"/>
        <v>0</v>
      </c>
      <c r="Q19" s="71">
        <f t="shared" si="6"/>
        <v>0</v>
      </c>
      <c r="R19" s="71">
        <f t="shared" si="6"/>
        <v>0</v>
      </c>
      <c r="S19" s="71">
        <f t="shared" si="6"/>
        <v>0</v>
      </c>
      <c r="T19" s="71">
        <f t="shared" si="6"/>
        <v>0</v>
      </c>
      <c r="U19" s="71">
        <f t="shared" si="6"/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  <c r="AE19" s="71">
        <f t="shared" si="6"/>
        <v>0</v>
      </c>
      <c r="AF19" s="71">
        <f t="shared" si="6"/>
        <v>0</v>
      </c>
      <c r="AG19" s="71">
        <f t="shared" si="6"/>
        <v>0</v>
      </c>
      <c r="AH19" s="71">
        <f t="shared" si="6"/>
        <v>0</v>
      </c>
      <c r="AI19" s="71">
        <f t="shared" si="6"/>
        <v>0</v>
      </c>
      <c r="AJ19" s="71">
        <f t="shared" si="6"/>
        <v>0</v>
      </c>
      <c r="AK19" s="71">
        <f t="shared" si="6"/>
        <v>0</v>
      </c>
      <c r="AL19" s="71">
        <f t="shared" si="6"/>
        <v>0</v>
      </c>
      <c r="AM19" s="71">
        <f t="shared" si="6"/>
        <v>0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Y19" s="78" t="s">
        <v>108</v>
      </c>
      <c r="FZ19" s="77">
        <f t="shared" si="0"/>
        <v>18</v>
      </c>
      <c r="GA19" s="77"/>
      <c r="GB19" s="77"/>
      <c r="GC19" s="77"/>
      <c r="GD19" s="77"/>
      <c r="GE19" s="77"/>
      <c r="GF19" s="77"/>
      <c r="GG19" s="77"/>
      <c r="GH19" s="77"/>
      <c r="GI19" s="77"/>
      <c r="GJ19" s="77">
        <f t="shared" si="1"/>
        <v>18</v>
      </c>
      <c r="GK19" s="77">
        <f t="shared" si="2"/>
        <v>0</v>
      </c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</row>
    <row r="20" spans="1:212" ht="15">
      <c r="A20" s="56"/>
      <c r="B20" s="63" t="s">
        <v>128</v>
      </c>
      <c r="C20" s="71"/>
      <c r="D20" s="71">
        <f aca="true" t="shared" si="7" ref="D20:AM20">D19+C20*(IF(C22&lt;1,0,1))</f>
        <v>0</v>
      </c>
      <c r="E20" s="71">
        <f t="shared" si="7"/>
        <v>0</v>
      </c>
      <c r="F20" s="71">
        <f t="shared" si="7"/>
        <v>0</v>
      </c>
      <c r="G20" s="71">
        <f t="shared" si="7"/>
        <v>6725.597805154989</v>
      </c>
      <c r="H20" s="71">
        <f t="shared" si="7"/>
        <v>13585.707566413079</v>
      </c>
      <c r="I20" s="71">
        <f t="shared" si="7"/>
        <v>20583.01952289633</v>
      </c>
      <c r="J20" s="71">
        <f t="shared" si="7"/>
        <v>27720.27771850925</v>
      </c>
      <c r="K20" s="71">
        <f t="shared" si="7"/>
        <v>35000.28107803442</v>
      </c>
      <c r="L20" s="71">
        <f t="shared" si="7"/>
        <v>42425.8845047501</v>
      </c>
      <c r="M20" s="71">
        <f t="shared" si="7"/>
        <v>50000.000000000095</v>
      </c>
      <c r="N20" s="71">
        <f t="shared" si="7"/>
        <v>0</v>
      </c>
      <c r="O20" s="71">
        <f t="shared" si="7"/>
        <v>0</v>
      </c>
      <c r="P20" s="71">
        <f t="shared" si="7"/>
        <v>0</v>
      </c>
      <c r="Q20" s="71">
        <f t="shared" si="7"/>
        <v>0</v>
      </c>
      <c r="R20" s="71">
        <f t="shared" si="7"/>
        <v>0</v>
      </c>
      <c r="S20" s="71">
        <f t="shared" si="7"/>
        <v>0</v>
      </c>
      <c r="T20" s="71">
        <f t="shared" si="7"/>
        <v>0</v>
      </c>
      <c r="U20" s="71">
        <f t="shared" si="7"/>
        <v>0</v>
      </c>
      <c r="V20" s="71">
        <f t="shared" si="7"/>
        <v>0</v>
      </c>
      <c r="W20" s="71">
        <f t="shared" si="7"/>
        <v>0</v>
      </c>
      <c r="X20" s="71">
        <f t="shared" si="7"/>
        <v>0</v>
      </c>
      <c r="Y20" s="71">
        <f t="shared" si="7"/>
        <v>0</v>
      </c>
      <c r="Z20" s="71">
        <f t="shared" si="7"/>
        <v>0</v>
      </c>
      <c r="AA20" s="71">
        <f t="shared" si="7"/>
        <v>0</v>
      </c>
      <c r="AB20" s="71">
        <f t="shared" si="7"/>
        <v>0</v>
      </c>
      <c r="AC20" s="71">
        <f t="shared" si="7"/>
        <v>0</v>
      </c>
      <c r="AD20" s="71">
        <f t="shared" si="7"/>
        <v>0</v>
      </c>
      <c r="AE20" s="71">
        <f t="shared" si="7"/>
        <v>0</v>
      </c>
      <c r="AF20" s="71">
        <f t="shared" si="7"/>
        <v>0</v>
      </c>
      <c r="AG20" s="71">
        <f t="shared" si="7"/>
        <v>0</v>
      </c>
      <c r="AH20" s="71">
        <f t="shared" si="7"/>
        <v>0</v>
      </c>
      <c r="AI20" s="71">
        <f t="shared" si="7"/>
        <v>0</v>
      </c>
      <c r="AJ20" s="71">
        <f t="shared" si="7"/>
        <v>0</v>
      </c>
      <c r="AK20" s="71">
        <f t="shared" si="7"/>
        <v>0</v>
      </c>
      <c r="AL20" s="71">
        <f t="shared" si="7"/>
        <v>0</v>
      </c>
      <c r="AM20" s="71">
        <f t="shared" si="7"/>
        <v>0</v>
      </c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Y20" s="78" t="s">
        <v>109</v>
      </c>
      <c r="FZ20" s="77">
        <f t="shared" si="0"/>
        <v>19</v>
      </c>
      <c r="GA20" s="77"/>
      <c r="GB20" s="77"/>
      <c r="GC20" s="77"/>
      <c r="GD20" s="77"/>
      <c r="GE20" s="77"/>
      <c r="GF20" s="77"/>
      <c r="GG20" s="77"/>
      <c r="GH20" s="77"/>
      <c r="GI20" s="77"/>
      <c r="GJ20" s="77">
        <f t="shared" si="1"/>
        <v>19</v>
      </c>
      <c r="GK20" s="77">
        <f t="shared" si="2"/>
        <v>0</v>
      </c>
      <c r="GL20" s="77"/>
      <c r="GM20" s="77"/>
      <c r="GN20" s="77">
        <v>1</v>
      </c>
      <c r="GO20" s="77"/>
      <c r="GP20" s="77">
        <v>1</v>
      </c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</row>
    <row r="21" spans="1:212" ht="15">
      <c r="A21" s="56"/>
      <c r="B21" s="63" t="s">
        <v>129</v>
      </c>
      <c r="C21" s="71">
        <f aca="true" t="shared" si="8" ref="C21:AM21">IF(C18&gt;0,B22*$D$12,0)</f>
        <v>0</v>
      </c>
      <c r="D21" s="71">
        <f t="shared" si="8"/>
        <v>0</v>
      </c>
      <c r="E21" s="71">
        <f t="shared" si="8"/>
        <v>0</v>
      </c>
      <c r="F21" s="71">
        <f t="shared" si="8"/>
        <v>0</v>
      </c>
      <c r="G21" s="71">
        <f t="shared" si="8"/>
        <v>1000.0000000000009</v>
      </c>
      <c r="H21" s="71">
        <f t="shared" si="8"/>
        <v>865.488043896901</v>
      </c>
      <c r="I21" s="71">
        <f t="shared" si="8"/>
        <v>728.285848671739</v>
      </c>
      <c r="J21" s="71">
        <f t="shared" si="8"/>
        <v>588.3396095420738</v>
      </c>
      <c r="K21" s="71">
        <f t="shared" si="8"/>
        <v>445.5944456298154</v>
      </c>
      <c r="L21" s="71">
        <f t="shared" si="8"/>
        <v>299.9943784393118</v>
      </c>
      <c r="M21" s="71">
        <f t="shared" si="8"/>
        <v>151.4823099049981</v>
      </c>
      <c r="N21" s="71">
        <f t="shared" si="8"/>
        <v>0</v>
      </c>
      <c r="O21" s="71">
        <f t="shared" si="8"/>
        <v>0</v>
      </c>
      <c r="P21" s="71">
        <f t="shared" si="8"/>
        <v>0</v>
      </c>
      <c r="Q21" s="71">
        <f t="shared" si="8"/>
        <v>0</v>
      </c>
      <c r="R21" s="71">
        <f t="shared" si="8"/>
        <v>0</v>
      </c>
      <c r="S21" s="71">
        <f t="shared" si="8"/>
        <v>0</v>
      </c>
      <c r="T21" s="71">
        <f t="shared" si="8"/>
        <v>0</v>
      </c>
      <c r="U21" s="71">
        <f t="shared" si="8"/>
        <v>0</v>
      </c>
      <c r="V21" s="71">
        <f t="shared" si="8"/>
        <v>0</v>
      </c>
      <c r="W21" s="71">
        <f t="shared" si="8"/>
        <v>0</v>
      </c>
      <c r="X21" s="71">
        <f t="shared" si="8"/>
        <v>0</v>
      </c>
      <c r="Y21" s="71">
        <f t="shared" si="8"/>
        <v>0</v>
      </c>
      <c r="Z21" s="71">
        <f t="shared" si="8"/>
        <v>0</v>
      </c>
      <c r="AA21" s="71">
        <f t="shared" si="8"/>
        <v>0</v>
      </c>
      <c r="AB21" s="71">
        <f t="shared" si="8"/>
        <v>0</v>
      </c>
      <c r="AC21" s="71">
        <f t="shared" si="8"/>
        <v>0</v>
      </c>
      <c r="AD21" s="71">
        <f t="shared" si="8"/>
        <v>0</v>
      </c>
      <c r="AE21" s="71">
        <f t="shared" si="8"/>
        <v>0</v>
      </c>
      <c r="AF21" s="71">
        <f t="shared" si="8"/>
        <v>0</v>
      </c>
      <c r="AG21" s="71">
        <f t="shared" si="8"/>
        <v>0</v>
      </c>
      <c r="AH21" s="71">
        <f t="shared" si="8"/>
        <v>0</v>
      </c>
      <c r="AI21" s="71">
        <f t="shared" si="8"/>
        <v>0</v>
      </c>
      <c r="AJ21" s="71">
        <f t="shared" si="8"/>
        <v>0</v>
      </c>
      <c r="AK21" s="71">
        <f t="shared" si="8"/>
        <v>0</v>
      </c>
      <c r="AL21" s="71">
        <f t="shared" si="8"/>
        <v>0</v>
      </c>
      <c r="AM21" s="71">
        <f t="shared" si="8"/>
        <v>0</v>
      </c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Y21" s="78" t="s">
        <v>110</v>
      </c>
      <c r="FZ21" s="77">
        <f t="shared" si="0"/>
        <v>20</v>
      </c>
      <c r="GA21" s="77"/>
      <c r="GB21" s="77"/>
      <c r="GC21" s="77"/>
      <c r="GD21" s="77"/>
      <c r="GE21" s="77"/>
      <c r="GF21" s="77"/>
      <c r="GG21" s="77"/>
      <c r="GH21" s="77"/>
      <c r="GI21" s="77"/>
      <c r="GJ21" s="77">
        <f t="shared" si="1"/>
        <v>20</v>
      </c>
      <c r="GK21" s="77">
        <f t="shared" si="2"/>
        <v>0</v>
      </c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</row>
    <row r="22" spans="1:212" ht="15">
      <c r="A22" s="56"/>
      <c r="B22" s="75" t="s">
        <v>130</v>
      </c>
      <c r="C22" s="71">
        <f>IF(D17=$C$4,$C$7,IF(C20=0,0,$C$7-C20))</f>
        <v>0</v>
      </c>
      <c r="D22" s="71">
        <f aca="true" t="shared" si="9" ref="D22:AM22">IF(E17=$C$4,$C$7,IF(D20=0,0,$C$7-D20))</f>
        <v>0</v>
      </c>
      <c r="E22" s="71">
        <f>+Input!D134</f>
        <v>50000</v>
      </c>
      <c r="F22" s="71">
        <f t="shared" si="9"/>
        <v>50000</v>
      </c>
      <c r="G22" s="71">
        <f t="shared" si="9"/>
        <v>43274.40219484501</v>
      </c>
      <c r="H22" s="71">
        <f t="shared" si="9"/>
        <v>36414.29243358692</v>
      </c>
      <c r="I22" s="71">
        <f t="shared" si="9"/>
        <v>29416.98047710367</v>
      </c>
      <c r="J22" s="71">
        <f t="shared" si="9"/>
        <v>22279.72228149075</v>
      </c>
      <c r="K22" s="71">
        <f t="shared" si="9"/>
        <v>14999.718921965577</v>
      </c>
      <c r="L22" s="71">
        <f t="shared" si="9"/>
        <v>7574.115495249898</v>
      </c>
      <c r="M22" s="71">
        <f t="shared" si="9"/>
        <v>-9.458744898438454E-11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0</v>
      </c>
      <c r="U22" s="71">
        <f t="shared" si="9"/>
        <v>0</v>
      </c>
      <c r="V22" s="71">
        <f t="shared" si="9"/>
        <v>0</v>
      </c>
      <c r="W22" s="71">
        <f t="shared" si="9"/>
        <v>0</v>
      </c>
      <c r="X22" s="71">
        <f t="shared" si="9"/>
        <v>0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0</v>
      </c>
      <c r="AH22" s="71">
        <f t="shared" si="9"/>
        <v>0</v>
      </c>
      <c r="AI22" s="71">
        <f t="shared" si="9"/>
        <v>0</v>
      </c>
      <c r="AJ22" s="71">
        <f t="shared" si="9"/>
        <v>0</v>
      </c>
      <c r="AK22" s="71">
        <f t="shared" si="9"/>
        <v>0</v>
      </c>
      <c r="AL22" s="71">
        <f t="shared" si="9"/>
        <v>0</v>
      </c>
      <c r="AM22" s="71">
        <f t="shared" si="9"/>
        <v>0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Y22" s="78" t="s">
        <v>111</v>
      </c>
      <c r="FZ22" s="77">
        <f t="shared" si="0"/>
        <v>21</v>
      </c>
      <c r="GA22" s="77"/>
      <c r="GB22" s="77"/>
      <c r="GC22" s="77"/>
      <c r="GD22" s="77"/>
      <c r="GE22" s="77"/>
      <c r="GF22" s="77"/>
      <c r="GG22" s="77"/>
      <c r="GH22" s="77"/>
      <c r="GI22" s="77"/>
      <c r="GJ22" s="77">
        <f t="shared" si="1"/>
        <v>21</v>
      </c>
      <c r="GK22" s="77">
        <f t="shared" si="2"/>
        <v>0</v>
      </c>
      <c r="GL22" s="77"/>
      <c r="GM22" s="77"/>
      <c r="GN22" s="77"/>
      <c r="GO22" s="77">
        <v>1</v>
      </c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</row>
    <row r="23" spans="1:212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FY23" s="78" t="s">
        <v>112</v>
      </c>
      <c r="FZ23" s="77">
        <f t="shared" si="0"/>
        <v>22</v>
      </c>
      <c r="GA23" s="77"/>
      <c r="GB23" s="77"/>
      <c r="GC23" s="77"/>
      <c r="GD23" s="77"/>
      <c r="GE23" s="77"/>
      <c r="GF23" s="77"/>
      <c r="GG23" s="77"/>
      <c r="GH23" s="77"/>
      <c r="GI23" s="77"/>
      <c r="GJ23" s="77">
        <f t="shared" si="1"/>
        <v>22</v>
      </c>
      <c r="GK23" s="77">
        <f t="shared" si="2"/>
        <v>0</v>
      </c>
      <c r="GL23" s="77"/>
      <c r="GM23" s="77"/>
      <c r="GN23" s="77"/>
      <c r="GO23" s="77"/>
      <c r="GP23" s="77">
        <v>1</v>
      </c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</row>
    <row r="24" spans="1:212" ht="15">
      <c r="A24" s="56"/>
      <c r="B24" s="56"/>
      <c r="C24" s="56"/>
      <c r="D24" s="56"/>
      <c r="E24" s="56"/>
      <c r="F24" s="83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FY24" s="78" t="s">
        <v>113</v>
      </c>
      <c r="FZ24" s="77">
        <f t="shared" si="0"/>
        <v>23</v>
      </c>
      <c r="GA24" s="77"/>
      <c r="GB24" s="77"/>
      <c r="GC24" s="77"/>
      <c r="GD24" s="77"/>
      <c r="GE24" s="77"/>
      <c r="GF24" s="77"/>
      <c r="GG24" s="77"/>
      <c r="GH24" s="77"/>
      <c r="GI24" s="77"/>
      <c r="GJ24" s="77">
        <f t="shared" si="1"/>
        <v>23</v>
      </c>
      <c r="GK24" s="77">
        <f t="shared" si="2"/>
        <v>0</v>
      </c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</row>
    <row r="25" spans="1:212" ht="15">
      <c r="A25" s="56"/>
      <c r="C25" s="56"/>
      <c r="D25" s="76">
        <f>+D17</f>
        <v>0</v>
      </c>
      <c r="E25" s="76" t="str">
        <f aca="true" t="shared" si="10" ref="E25:AM25">+E17</f>
        <v>A1</v>
      </c>
      <c r="F25" s="76" t="str">
        <f t="shared" si="10"/>
        <v>A2</v>
      </c>
      <c r="G25" s="76" t="str">
        <f t="shared" si="10"/>
        <v>A3</v>
      </c>
      <c r="H25" s="76" t="str">
        <f t="shared" si="10"/>
        <v>A4</v>
      </c>
      <c r="I25" s="76" t="str">
        <f t="shared" si="10"/>
        <v>A5</v>
      </c>
      <c r="J25" s="76" t="str">
        <f t="shared" si="10"/>
        <v>A6</v>
      </c>
      <c r="K25" s="76" t="str">
        <f t="shared" si="10"/>
        <v>A7</v>
      </c>
      <c r="L25" s="76" t="str">
        <f t="shared" si="10"/>
        <v>A8</v>
      </c>
      <c r="M25" s="76" t="str">
        <f t="shared" si="10"/>
        <v>A9</v>
      </c>
      <c r="N25" s="76" t="str">
        <f t="shared" si="10"/>
        <v>A10</v>
      </c>
      <c r="O25" s="76" t="str">
        <f t="shared" si="10"/>
        <v>A11</v>
      </c>
      <c r="P25" s="76" t="str">
        <f t="shared" si="10"/>
        <v>A12</v>
      </c>
      <c r="Q25" s="76" t="str">
        <f t="shared" si="10"/>
        <v>A13</v>
      </c>
      <c r="R25" s="76" t="str">
        <f t="shared" si="10"/>
        <v>A14</v>
      </c>
      <c r="S25" s="76" t="str">
        <f t="shared" si="10"/>
        <v>A15</v>
      </c>
      <c r="T25" s="76" t="str">
        <f t="shared" si="10"/>
        <v>A16</v>
      </c>
      <c r="U25" s="76" t="str">
        <f t="shared" si="10"/>
        <v>A17</v>
      </c>
      <c r="V25" s="76" t="str">
        <f t="shared" si="10"/>
        <v>A18</v>
      </c>
      <c r="W25" s="76" t="str">
        <f t="shared" si="10"/>
        <v>A19</v>
      </c>
      <c r="X25" s="76" t="str">
        <f t="shared" si="10"/>
        <v>A20</v>
      </c>
      <c r="Y25" s="76" t="str">
        <f t="shared" si="10"/>
        <v>A21</v>
      </c>
      <c r="Z25" s="76" t="str">
        <f t="shared" si="10"/>
        <v>A22</v>
      </c>
      <c r="AA25" s="76" t="str">
        <f t="shared" si="10"/>
        <v>A23</v>
      </c>
      <c r="AB25" s="76" t="str">
        <f t="shared" si="10"/>
        <v>A24</v>
      </c>
      <c r="AC25" s="76" t="str">
        <f t="shared" si="10"/>
        <v>A25</v>
      </c>
      <c r="AD25" s="76" t="str">
        <f t="shared" si="10"/>
        <v>A26</v>
      </c>
      <c r="AE25" s="76" t="str">
        <f t="shared" si="10"/>
        <v>A27</v>
      </c>
      <c r="AF25" s="76" t="str">
        <f t="shared" si="10"/>
        <v>A28</v>
      </c>
      <c r="AG25" s="76" t="str">
        <f t="shared" si="10"/>
        <v>A29</v>
      </c>
      <c r="AH25" s="76" t="str">
        <f t="shared" si="10"/>
        <v>A30</v>
      </c>
      <c r="AI25" s="76" t="str">
        <f t="shared" si="10"/>
        <v>A31</v>
      </c>
      <c r="AJ25" s="76" t="str">
        <f t="shared" si="10"/>
        <v>A32</v>
      </c>
      <c r="AK25" s="76" t="str">
        <f t="shared" si="10"/>
        <v>A33</v>
      </c>
      <c r="AL25" s="76" t="str">
        <f t="shared" si="10"/>
        <v>A34</v>
      </c>
      <c r="AM25" s="76" t="str">
        <f t="shared" si="10"/>
        <v>A35</v>
      </c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FY25" s="78" t="s">
        <v>114</v>
      </c>
      <c r="FZ25" s="77">
        <f t="shared" si="0"/>
        <v>24</v>
      </c>
      <c r="GA25" s="77"/>
      <c r="GB25" s="77"/>
      <c r="GC25" s="77"/>
      <c r="GD25" s="77"/>
      <c r="GE25" s="77"/>
      <c r="GF25" s="77"/>
      <c r="GG25" s="77"/>
      <c r="GH25" s="77"/>
      <c r="GI25" s="77"/>
      <c r="GJ25" s="77">
        <f t="shared" si="1"/>
        <v>24</v>
      </c>
      <c r="GK25" s="77">
        <f t="shared" si="2"/>
        <v>0</v>
      </c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</row>
    <row r="26" spans="1:212" ht="15">
      <c r="A26" s="56" t="s">
        <v>131</v>
      </c>
      <c r="B26" s="73" t="s">
        <v>132</v>
      </c>
      <c r="C26" s="56"/>
      <c r="D26" s="71">
        <f aca="true" t="shared" si="11" ref="D26:I26">+D22-D28</f>
        <v>0</v>
      </c>
      <c r="E26" s="71">
        <f t="shared" si="11"/>
        <v>50000</v>
      </c>
      <c r="F26" s="71">
        <f>+F22-F28</f>
        <v>50000</v>
      </c>
      <c r="G26" s="71">
        <f t="shared" si="11"/>
        <v>42274.40219484501</v>
      </c>
      <c r="H26" s="71">
        <f t="shared" si="11"/>
        <v>35548.80438969002</v>
      </c>
      <c r="I26" s="71">
        <f t="shared" si="11"/>
        <v>28688.69462843193</v>
      </c>
      <c r="J26" s="71">
        <f>+J22-SUM($I$28:J28)</f>
        <v>20963.096823276937</v>
      </c>
      <c r="K26" s="71">
        <f>+K22-SUM($I$28:K28)</f>
        <v>13237.49901812195</v>
      </c>
      <c r="L26" s="71">
        <f>+L22-SUM($I$28:L28)</f>
        <v>5511.901212966958</v>
      </c>
      <c r="M26" s="71">
        <f>+M22-SUM($I$28:M28)</f>
        <v>-2213.696592188033</v>
      </c>
      <c r="N26" s="71">
        <f>+N22-SUM($I$28:N28)</f>
        <v>-2213.696592187938</v>
      </c>
      <c r="O26" s="71">
        <f>+O22-SUM($I$28:O28)</f>
        <v>-2213.696592187938</v>
      </c>
      <c r="P26" s="71">
        <f>+P22-SUM($I$28:P28)</f>
        <v>-2213.696592187938</v>
      </c>
      <c r="Q26" s="71">
        <f>+Q22-SUM($I$28:Q28)</f>
        <v>-2213.696592187938</v>
      </c>
      <c r="R26" s="71">
        <f>+R22-SUM($I$28:R28)</f>
        <v>-2213.696592187938</v>
      </c>
      <c r="S26" s="71">
        <f>+S22-SUM($I$28:S28)</f>
        <v>-2213.696592187938</v>
      </c>
      <c r="T26" s="71">
        <f>+T22-SUM($I$28:T28)</f>
        <v>-2213.696592187938</v>
      </c>
      <c r="U26" s="71">
        <f>+U22-SUM($I$28:U28)</f>
        <v>-2213.696592187938</v>
      </c>
      <c r="V26" s="71">
        <f>+V22-SUM($I$28:V28)</f>
        <v>-2213.696592187938</v>
      </c>
      <c r="W26" s="71">
        <f>+W22-SUM($I$28:W28)</f>
        <v>-2213.696592187938</v>
      </c>
      <c r="X26" s="71">
        <f>+X22-SUM($I$28:X28)</f>
        <v>-2213.696592187938</v>
      </c>
      <c r="Y26" s="71">
        <f>+Y22-SUM($I$28:Y28)</f>
        <v>-2213.696592187938</v>
      </c>
      <c r="Z26" s="71">
        <f>+Z22-SUM($I$28:Z28)</f>
        <v>-2213.696592187938</v>
      </c>
      <c r="AA26" s="71">
        <f>+AA22-SUM($I$28:AA28)</f>
        <v>-2213.696592187938</v>
      </c>
      <c r="AB26" s="71">
        <f>+AB22-SUM($I$28:AB28)</f>
        <v>-2213.696592187938</v>
      </c>
      <c r="AC26" s="71">
        <f>+AC22-SUM($I$28:AC28)</f>
        <v>-2213.696592187938</v>
      </c>
      <c r="AD26" s="71">
        <f>+AD22-SUM($I$28:AD28)</f>
        <v>-2213.696592187938</v>
      </c>
      <c r="AE26" s="71">
        <f>+AE22-SUM($I$28:AE28)</f>
        <v>-2213.696592187938</v>
      </c>
      <c r="AF26" s="71">
        <f>+AF22-SUM($I$28:AF28)</f>
        <v>-2213.696592187938</v>
      </c>
      <c r="AG26" s="71">
        <f>+AG22-SUM($I$28:AG28)</f>
        <v>-2213.696592187938</v>
      </c>
      <c r="AH26" s="71">
        <f>+AH22-SUM($I$28:AH28)</f>
        <v>-2213.696592187938</v>
      </c>
      <c r="AI26" s="71">
        <f>+AI22-SUM($I$28:AI28)</f>
        <v>-2213.696592187938</v>
      </c>
      <c r="AJ26" s="71">
        <f>+AJ22-SUM($I$28:AJ28)</f>
        <v>-2213.696592187938</v>
      </c>
      <c r="AK26" s="71">
        <f>+AK22-SUM($I$28:AK28)</f>
        <v>-2213.696592187938</v>
      </c>
      <c r="AL26" s="71">
        <f>+AL22-SUM($I$28:AL28)</f>
        <v>-2213.696592187938</v>
      </c>
      <c r="AM26" s="71">
        <f>+AM22-SUM($I$28:AM28)</f>
        <v>-2213.696592187938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FY26" s="78" t="s">
        <v>115</v>
      </c>
      <c r="FZ26" s="77">
        <f t="shared" si="0"/>
        <v>25</v>
      </c>
      <c r="GA26" s="77"/>
      <c r="GB26" s="77"/>
      <c r="GC26" s="77"/>
      <c r="GD26" s="77"/>
      <c r="GE26" s="77"/>
      <c r="GF26" s="77"/>
      <c r="GG26" s="77"/>
      <c r="GH26" s="77"/>
      <c r="GI26" s="77"/>
      <c r="GJ26" s="77">
        <f t="shared" si="1"/>
        <v>25</v>
      </c>
      <c r="GK26" s="77">
        <f t="shared" si="2"/>
        <v>1</v>
      </c>
      <c r="GL26" s="77"/>
      <c r="GM26" s="77">
        <v>1</v>
      </c>
      <c r="GN26" s="77">
        <v>1</v>
      </c>
      <c r="GO26" s="77">
        <v>1</v>
      </c>
      <c r="GP26" s="77">
        <v>1</v>
      </c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</row>
    <row r="27" spans="1:2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FY27" s="78" t="s">
        <v>116</v>
      </c>
      <c r="FZ27" s="77">
        <f t="shared" si="0"/>
        <v>26</v>
      </c>
      <c r="GA27" s="77"/>
      <c r="GB27" s="77"/>
      <c r="GC27" s="77"/>
      <c r="GD27" s="77"/>
      <c r="GE27" s="77"/>
      <c r="GF27" s="77"/>
      <c r="GG27" s="77"/>
      <c r="GH27" s="77"/>
      <c r="GI27" s="77"/>
      <c r="GJ27" s="77">
        <f t="shared" si="1"/>
        <v>26</v>
      </c>
      <c r="GK27" s="77">
        <f t="shared" si="2"/>
        <v>0</v>
      </c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</row>
    <row r="28" spans="1:212" ht="15">
      <c r="A28" s="56" t="s">
        <v>133</v>
      </c>
      <c r="B28" s="73" t="s">
        <v>134</v>
      </c>
      <c r="C28" s="56"/>
      <c r="D28" s="71">
        <f>+D21</f>
        <v>0</v>
      </c>
      <c r="E28" s="71">
        <f aca="true" t="shared" si="12" ref="E28:AM28">+E21</f>
        <v>0</v>
      </c>
      <c r="F28" s="71">
        <f t="shared" si="12"/>
        <v>0</v>
      </c>
      <c r="G28" s="71">
        <f t="shared" si="12"/>
        <v>1000.0000000000009</v>
      </c>
      <c r="H28" s="71">
        <f t="shared" si="12"/>
        <v>865.488043896901</v>
      </c>
      <c r="I28" s="71">
        <f t="shared" si="12"/>
        <v>728.285848671739</v>
      </c>
      <c r="J28" s="71">
        <f t="shared" si="12"/>
        <v>588.3396095420738</v>
      </c>
      <c r="K28" s="71">
        <f t="shared" si="12"/>
        <v>445.5944456298154</v>
      </c>
      <c r="L28" s="71">
        <f t="shared" si="12"/>
        <v>299.9943784393118</v>
      </c>
      <c r="M28" s="71">
        <f t="shared" si="12"/>
        <v>151.4823099049981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0</v>
      </c>
      <c r="U28" s="71">
        <f t="shared" si="12"/>
        <v>0</v>
      </c>
      <c r="V28" s="71">
        <f t="shared" si="12"/>
        <v>0</v>
      </c>
      <c r="W28" s="71">
        <f t="shared" si="12"/>
        <v>0</v>
      </c>
      <c r="X28" s="71">
        <f t="shared" si="12"/>
        <v>0</v>
      </c>
      <c r="Y28" s="71">
        <f t="shared" si="12"/>
        <v>0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0</v>
      </c>
      <c r="AH28" s="71">
        <f t="shared" si="12"/>
        <v>0</v>
      </c>
      <c r="AI28" s="71">
        <f t="shared" si="12"/>
        <v>0</v>
      </c>
      <c r="AJ28" s="71">
        <f t="shared" si="12"/>
        <v>0</v>
      </c>
      <c r="AK28" s="71">
        <f t="shared" si="12"/>
        <v>0</v>
      </c>
      <c r="AL28" s="71">
        <f t="shared" si="12"/>
        <v>0</v>
      </c>
      <c r="AM28" s="71">
        <f t="shared" si="12"/>
        <v>0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FY28" s="78" t="s">
        <v>117</v>
      </c>
      <c r="FZ28" s="77">
        <f t="shared" si="0"/>
        <v>27</v>
      </c>
      <c r="GA28" s="77"/>
      <c r="GB28" s="77"/>
      <c r="GC28" s="77"/>
      <c r="GD28" s="77"/>
      <c r="GE28" s="77"/>
      <c r="GF28" s="77"/>
      <c r="GG28" s="77"/>
      <c r="GH28" s="77"/>
      <c r="GI28" s="77"/>
      <c r="GJ28" s="77">
        <f t="shared" si="1"/>
        <v>27</v>
      </c>
      <c r="GK28" s="77">
        <f t="shared" si="2"/>
        <v>0</v>
      </c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</row>
    <row r="29" spans="1:2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FY29" s="78" t="s">
        <v>118</v>
      </c>
      <c r="FZ29" s="77">
        <f t="shared" si="0"/>
        <v>28</v>
      </c>
      <c r="GA29" s="77"/>
      <c r="GB29" s="77"/>
      <c r="GC29" s="77"/>
      <c r="GD29" s="77"/>
      <c r="GE29" s="77"/>
      <c r="GF29" s="77"/>
      <c r="GG29" s="77"/>
      <c r="GH29" s="77"/>
      <c r="GI29" s="77"/>
      <c r="GJ29" s="77">
        <f t="shared" si="1"/>
        <v>28</v>
      </c>
      <c r="GK29" s="77">
        <f t="shared" si="2"/>
        <v>0</v>
      </c>
      <c r="GL29" s="77"/>
      <c r="GM29" s="77"/>
      <c r="GN29" s="77"/>
      <c r="GO29" s="77"/>
      <c r="GP29" s="77">
        <v>1</v>
      </c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</row>
    <row r="30" spans="1:212" ht="15">
      <c r="A30" s="56"/>
      <c r="B30" s="56"/>
      <c r="C30" s="56"/>
      <c r="D30" s="56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FY30" s="78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</row>
    <row r="31" spans="1:2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FY31" s="78" t="s">
        <v>120</v>
      </c>
      <c r="FZ31" s="77">
        <f t="shared" si="0"/>
        <v>1</v>
      </c>
      <c r="GA31" s="77"/>
      <c r="GB31" s="77"/>
      <c r="GC31" s="77"/>
      <c r="GD31" s="77"/>
      <c r="GE31" s="77"/>
      <c r="GF31" s="77"/>
      <c r="GG31" s="77"/>
      <c r="GH31" s="77"/>
      <c r="GI31" s="77"/>
      <c r="GJ31" s="77">
        <f t="shared" si="1"/>
        <v>1</v>
      </c>
      <c r="GK31" s="77">
        <f t="shared" si="2"/>
        <v>0</v>
      </c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</row>
    <row r="32" spans="1:2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FY32" s="78" t="s">
        <v>121</v>
      </c>
      <c r="FZ32" s="77">
        <f t="shared" si="0"/>
        <v>2</v>
      </c>
      <c r="GA32" s="77"/>
      <c r="GB32" s="77"/>
      <c r="GC32" s="77"/>
      <c r="GD32" s="77"/>
      <c r="GE32" s="77"/>
      <c r="GF32" s="77"/>
      <c r="GG32" s="77"/>
      <c r="GH32" s="77"/>
      <c r="GI32" s="77"/>
      <c r="GJ32" s="77">
        <f t="shared" si="1"/>
        <v>2</v>
      </c>
      <c r="GK32" s="77">
        <f t="shared" si="2"/>
        <v>0</v>
      </c>
      <c r="GL32" s="77"/>
      <c r="GM32" s="77"/>
      <c r="GN32" s="77">
        <v>1</v>
      </c>
      <c r="GO32" s="77"/>
      <c r="GP32" s="77">
        <v>1</v>
      </c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</row>
    <row r="33" spans="1:212" ht="15">
      <c r="A33" s="56"/>
      <c r="B33" s="56" t="s">
        <v>34</v>
      </c>
      <c r="C33" s="56"/>
      <c r="D33" s="56"/>
      <c r="E33" s="84">
        <f>+Input!D134</f>
        <v>50000</v>
      </c>
      <c r="F33" s="84"/>
      <c r="G33" s="84"/>
      <c r="H33" s="84"/>
      <c r="I33" s="84"/>
      <c r="J33" s="84"/>
      <c r="K33" s="84"/>
      <c r="L33" s="84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FY33" s="78" t="s">
        <v>122</v>
      </c>
      <c r="FZ33" s="77">
        <f t="shared" si="0"/>
        <v>3</v>
      </c>
      <c r="GA33" s="77"/>
      <c r="GB33" s="77"/>
      <c r="GC33" s="77"/>
      <c r="GD33" s="77"/>
      <c r="GE33" s="77"/>
      <c r="GF33" s="77"/>
      <c r="GG33" s="77"/>
      <c r="GH33" s="77"/>
      <c r="GI33" s="77"/>
      <c r="GJ33" s="77">
        <f t="shared" si="1"/>
        <v>3</v>
      </c>
      <c r="GK33" s="77">
        <f t="shared" si="2"/>
        <v>0</v>
      </c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</row>
    <row r="34" spans="1:212" ht="15">
      <c r="A34" s="56"/>
      <c r="B34" s="56" t="s">
        <v>37</v>
      </c>
      <c r="C34" s="56"/>
      <c r="D34" s="56"/>
      <c r="E34" s="84">
        <f>+IF(E22-E21-E19&lt;0,E22-E21-E19,0)</f>
        <v>0</v>
      </c>
      <c r="F34" s="84">
        <f>+IF(F22-F21-E22&lt;0,-(F22-F21-E22),0)</f>
        <v>0</v>
      </c>
      <c r="G34" s="84">
        <f aca="true" t="shared" si="13" ref="G34:L34">+IF(G22-G21-F22&lt;0,-(G22-G21-F22),0)</f>
        <v>7725.59780515499</v>
      </c>
      <c r="H34" s="84">
        <f t="shared" si="13"/>
        <v>7725.59780515499</v>
      </c>
      <c r="I34" s="84">
        <f t="shared" si="13"/>
        <v>7725.597805154986</v>
      </c>
      <c r="J34" s="84">
        <f t="shared" si="13"/>
        <v>7725.59780515499</v>
      </c>
      <c r="K34" s="84">
        <f t="shared" si="13"/>
        <v>7725.597805154988</v>
      </c>
      <c r="L34" s="84">
        <f t="shared" si="13"/>
        <v>7725.597805154991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FY34" s="78" t="s">
        <v>123</v>
      </c>
      <c r="FZ34" s="77">
        <f t="shared" si="0"/>
        <v>4</v>
      </c>
      <c r="GA34" s="77"/>
      <c r="GB34" s="77"/>
      <c r="GC34" s="77"/>
      <c r="GD34" s="77"/>
      <c r="GE34" s="77"/>
      <c r="GF34" s="77"/>
      <c r="GG34" s="77"/>
      <c r="GH34" s="77"/>
      <c r="GI34" s="77"/>
      <c r="GJ34" s="77">
        <f t="shared" si="1"/>
        <v>4</v>
      </c>
      <c r="GK34" s="77">
        <f t="shared" si="2"/>
        <v>0</v>
      </c>
      <c r="GL34" s="77"/>
      <c r="GM34" s="77"/>
      <c r="GN34" s="77"/>
      <c r="GO34" s="77">
        <v>1</v>
      </c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</row>
    <row r="35" spans="1:212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FY35" s="78" t="s">
        <v>124</v>
      </c>
      <c r="FZ35" s="77">
        <f t="shared" si="0"/>
        <v>5</v>
      </c>
      <c r="GA35" s="77"/>
      <c r="GB35" s="77"/>
      <c r="GC35" s="77"/>
      <c r="GD35" s="77"/>
      <c r="GE35" s="77"/>
      <c r="GF35" s="77"/>
      <c r="GG35" s="77"/>
      <c r="GH35" s="77"/>
      <c r="GI35" s="77"/>
      <c r="GJ35" s="77">
        <f t="shared" si="1"/>
        <v>5</v>
      </c>
      <c r="GK35" s="77">
        <f t="shared" si="2"/>
        <v>0</v>
      </c>
      <c r="GL35" s="77"/>
      <c r="GM35" s="77"/>
      <c r="GN35" s="77"/>
      <c r="GO35" s="77"/>
      <c r="GP35" s="77">
        <v>1</v>
      </c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</row>
    <row r="36" spans="1:212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FY36" s="78" t="s">
        <v>125</v>
      </c>
      <c r="FZ36" s="77">
        <f t="shared" si="0"/>
        <v>6</v>
      </c>
      <c r="GA36" s="77"/>
      <c r="GB36" s="77"/>
      <c r="GC36" s="77"/>
      <c r="GD36" s="77"/>
      <c r="GE36" s="77"/>
      <c r="GF36" s="77"/>
      <c r="GG36" s="77"/>
      <c r="GH36" s="77"/>
      <c r="GI36" s="77"/>
      <c r="GJ36" s="77">
        <f t="shared" si="1"/>
        <v>6</v>
      </c>
      <c r="GK36" s="77">
        <f t="shared" si="2"/>
        <v>0</v>
      </c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</row>
    <row r="37" spans="1:212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FY37" s="78" t="s">
        <v>138</v>
      </c>
      <c r="FZ37" s="77">
        <f t="shared" si="0"/>
        <v>7</v>
      </c>
      <c r="GA37" s="77"/>
      <c r="GB37" s="77"/>
      <c r="GC37" s="77"/>
      <c r="GD37" s="77"/>
      <c r="GE37" s="77"/>
      <c r="GF37" s="77"/>
      <c r="GG37" s="77"/>
      <c r="GH37" s="77"/>
      <c r="GI37" s="77"/>
      <c r="GJ37" s="77">
        <f t="shared" si="1"/>
        <v>7</v>
      </c>
      <c r="GK37" s="77">
        <f t="shared" si="2"/>
        <v>0</v>
      </c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</row>
    <row r="38" spans="1:212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FY38" s="78" t="s">
        <v>139</v>
      </c>
      <c r="FZ38" s="77">
        <f t="shared" si="0"/>
        <v>8</v>
      </c>
      <c r="GA38" s="77"/>
      <c r="GB38" s="77"/>
      <c r="GC38" s="77"/>
      <c r="GD38" s="77"/>
      <c r="GE38" s="77"/>
      <c r="GF38" s="77"/>
      <c r="GG38" s="77"/>
      <c r="GH38" s="77"/>
      <c r="GI38" s="77"/>
      <c r="GJ38" s="77">
        <f t="shared" si="1"/>
        <v>8</v>
      </c>
      <c r="GK38" s="77">
        <f t="shared" si="2"/>
        <v>1</v>
      </c>
      <c r="GL38" s="77"/>
      <c r="GM38" s="77">
        <v>1</v>
      </c>
      <c r="GN38" s="77">
        <v>1</v>
      </c>
      <c r="GO38" s="77">
        <v>1</v>
      </c>
      <c r="GP38" s="77">
        <v>1</v>
      </c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</row>
    <row r="39" spans="1:212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FY39" s="78" t="s">
        <v>140</v>
      </c>
      <c r="FZ39" s="77">
        <f t="shared" si="0"/>
        <v>9</v>
      </c>
      <c r="GA39" s="77"/>
      <c r="GB39" s="77"/>
      <c r="GC39" s="77"/>
      <c r="GD39" s="77"/>
      <c r="GE39" s="77"/>
      <c r="GF39" s="77"/>
      <c r="GG39" s="77"/>
      <c r="GH39" s="77"/>
      <c r="GI39" s="77"/>
      <c r="GJ39" s="77">
        <f t="shared" si="1"/>
        <v>9</v>
      </c>
      <c r="GK39" s="77">
        <f t="shared" si="2"/>
        <v>0</v>
      </c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</row>
    <row r="40" spans="1:212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FY40" s="78" t="s">
        <v>141</v>
      </c>
      <c r="FZ40" s="77">
        <f t="shared" si="0"/>
        <v>10</v>
      </c>
      <c r="GA40" s="77"/>
      <c r="GB40" s="77"/>
      <c r="GC40" s="77"/>
      <c r="GD40" s="77"/>
      <c r="GE40" s="77"/>
      <c r="GF40" s="77"/>
      <c r="GG40" s="77"/>
      <c r="GH40" s="77"/>
      <c r="GI40" s="77"/>
      <c r="GJ40" s="77">
        <f t="shared" si="1"/>
        <v>10</v>
      </c>
      <c r="GK40" s="77">
        <f t="shared" si="2"/>
        <v>0</v>
      </c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</row>
    <row r="41" spans="1:212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FY41" s="78" t="s">
        <v>142</v>
      </c>
      <c r="FZ41" s="77">
        <f t="shared" si="0"/>
        <v>11</v>
      </c>
      <c r="GA41" s="77"/>
      <c r="GB41" s="77"/>
      <c r="GC41" s="77"/>
      <c r="GD41" s="77"/>
      <c r="GE41" s="77"/>
      <c r="GF41" s="77"/>
      <c r="GG41" s="77"/>
      <c r="GH41" s="77"/>
      <c r="GI41" s="77"/>
      <c r="GJ41" s="77">
        <f t="shared" si="1"/>
        <v>11</v>
      </c>
      <c r="GK41" s="77">
        <f t="shared" si="2"/>
        <v>0</v>
      </c>
      <c r="GL41" s="77"/>
      <c r="GM41" s="77"/>
      <c r="GN41" s="77"/>
      <c r="GO41" s="77"/>
      <c r="GP41" s="77">
        <v>1</v>
      </c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</row>
    <row r="42" spans="1:212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FY42" s="78" t="s">
        <v>143</v>
      </c>
      <c r="FZ42" s="77">
        <f t="shared" si="0"/>
        <v>12</v>
      </c>
      <c r="GA42" s="77"/>
      <c r="GB42" s="77"/>
      <c r="GC42" s="77"/>
      <c r="GD42" s="77"/>
      <c r="GE42" s="77"/>
      <c r="GF42" s="77"/>
      <c r="GG42" s="77"/>
      <c r="GH42" s="77"/>
      <c r="GI42" s="77"/>
      <c r="GJ42" s="77">
        <f t="shared" si="1"/>
        <v>12</v>
      </c>
      <c r="GK42" s="77">
        <f t="shared" si="2"/>
        <v>0</v>
      </c>
      <c r="GL42" s="77"/>
      <c r="GM42" s="77"/>
      <c r="GN42" s="77"/>
      <c r="GO42" s="77">
        <v>1</v>
      </c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</row>
    <row r="43" spans="1:212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FY43" s="78" t="s">
        <v>144</v>
      </c>
      <c r="FZ43" s="77">
        <f t="shared" si="0"/>
        <v>13</v>
      </c>
      <c r="GA43" s="77"/>
      <c r="GB43" s="77"/>
      <c r="GC43" s="77"/>
      <c r="GD43" s="77"/>
      <c r="GE43" s="77"/>
      <c r="GF43" s="77"/>
      <c r="GG43" s="77"/>
      <c r="GH43" s="77"/>
      <c r="GI43" s="77"/>
      <c r="GJ43" s="77">
        <f t="shared" si="1"/>
        <v>13</v>
      </c>
      <c r="GK43" s="77">
        <f t="shared" si="2"/>
        <v>0</v>
      </c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</row>
    <row r="44" spans="1:212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FY44" s="78" t="s">
        <v>145</v>
      </c>
      <c r="FZ44" s="77">
        <f t="shared" si="0"/>
        <v>14</v>
      </c>
      <c r="GA44" s="77"/>
      <c r="GB44" s="77"/>
      <c r="GC44" s="77"/>
      <c r="GD44" s="77"/>
      <c r="GE44" s="77"/>
      <c r="GF44" s="77"/>
      <c r="GG44" s="77"/>
      <c r="GH44" s="77"/>
      <c r="GI44" s="77"/>
      <c r="GJ44" s="77">
        <f t="shared" si="1"/>
        <v>14</v>
      </c>
      <c r="GK44" s="77">
        <f t="shared" si="2"/>
        <v>0</v>
      </c>
      <c r="GL44" s="77"/>
      <c r="GM44" s="77"/>
      <c r="GN44" s="77">
        <v>1</v>
      </c>
      <c r="GO44" s="77"/>
      <c r="GP44" s="77">
        <v>1</v>
      </c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</row>
    <row r="45" spans="1:212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FY45" s="78" t="s">
        <v>146</v>
      </c>
      <c r="FZ45" s="77">
        <f t="shared" si="0"/>
        <v>15</v>
      </c>
      <c r="GA45" s="77"/>
      <c r="GB45" s="77"/>
      <c r="GC45" s="77"/>
      <c r="GD45" s="77"/>
      <c r="GE45" s="77"/>
      <c r="GF45" s="77"/>
      <c r="GG45" s="77"/>
      <c r="GH45" s="77"/>
      <c r="GI45" s="77"/>
      <c r="GJ45" s="77">
        <f t="shared" si="1"/>
        <v>15</v>
      </c>
      <c r="GK45" s="77">
        <f t="shared" si="2"/>
        <v>0</v>
      </c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</row>
    <row r="46" spans="1:212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FY46" s="78" t="s">
        <v>147</v>
      </c>
      <c r="FZ46" s="77">
        <f t="shared" si="0"/>
        <v>16</v>
      </c>
      <c r="GA46" s="77"/>
      <c r="GB46" s="77"/>
      <c r="GC46" s="77"/>
      <c r="GD46" s="77"/>
      <c r="GE46" s="77"/>
      <c r="GF46" s="77"/>
      <c r="GG46" s="77"/>
      <c r="GH46" s="77"/>
      <c r="GI46" s="77"/>
      <c r="GJ46" s="77">
        <f t="shared" si="1"/>
        <v>16</v>
      </c>
      <c r="GK46" s="77">
        <f t="shared" si="2"/>
        <v>0</v>
      </c>
      <c r="GL46" s="77"/>
      <c r="GM46" s="77"/>
      <c r="GN46" s="77"/>
      <c r="GO46" s="77">
        <v>1</v>
      </c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</row>
    <row r="47" spans="1:212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FY47" s="78" t="s">
        <v>148</v>
      </c>
      <c r="FZ47" s="77">
        <f t="shared" si="0"/>
        <v>17</v>
      </c>
      <c r="GA47" s="77"/>
      <c r="GB47" s="77"/>
      <c r="GC47" s="77"/>
      <c r="GD47" s="77"/>
      <c r="GE47" s="77"/>
      <c r="GF47" s="77"/>
      <c r="GG47" s="77"/>
      <c r="GH47" s="77"/>
      <c r="GI47" s="77"/>
      <c r="GJ47" s="77">
        <f t="shared" si="1"/>
        <v>17</v>
      </c>
      <c r="GK47" s="77">
        <f t="shared" si="2"/>
        <v>0</v>
      </c>
      <c r="GL47" s="77"/>
      <c r="GM47" s="77"/>
      <c r="GN47" s="77"/>
      <c r="GO47" s="77"/>
      <c r="GP47" s="77">
        <v>1</v>
      </c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</row>
    <row r="48" spans="1:212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FY48" s="78" t="s">
        <v>149</v>
      </c>
      <c r="FZ48" s="77">
        <f t="shared" si="0"/>
        <v>18</v>
      </c>
      <c r="GA48" s="77"/>
      <c r="GB48" s="77"/>
      <c r="GC48" s="77"/>
      <c r="GD48" s="77"/>
      <c r="GE48" s="77"/>
      <c r="GF48" s="77"/>
      <c r="GG48" s="77"/>
      <c r="GH48" s="77"/>
      <c r="GI48" s="77"/>
      <c r="GJ48" s="77">
        <f t="shared" si="1"/>
        <v>18</v>
      </c>
      <c r="GK48" s="77">
        <f t="shared" si="2"/>
        <v>0</v>
      </c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</row>
    <row r="49" spans="1:212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FY49" s="78" t="s">
        <v>150</v>
      </c>
      <c r="FZ49" s="77">
        <f t="shared" si="0"/>
        <v>19</v>
      </c>
      <c r="GA49" s="77"/>
      <c r="GB49" s="77"/>
      <c r="GC49" s="77"/>
      <c r="GD49" s="77"/>
      <c r="GE49" s="77"/>
      <c r="GF49" s="77"/>
      <c r="GG49" s="77"/>
      <c r="GH49" s="77"/>
      <c r="GI49" s="77"/>
      <c r="GJ49" s="77">
        <f t="shared" si="1"/>
        <v>19</v>
      </c>
      <c r="GK49" s="77">
        <f t="shared" si="2"/>
        <v>0</v>
      </c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</row>
    <row r="50" spans="1:212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FY50" s="78" t="s">
        <v>151</v>
      </c>
      <c r="FZ50" s="77">
        <f t="shared" si="0"/>
        <v>20</v>
      </c>
      <c r="GA50" s="77"/>
      <c r="GB50" s="77"/>
      <c r="GC50" s="77"/>
      <c r="GD50" s="77"/>
      <c r="GE50" s="77"/>
      <c r="GF50" s="77"/>
      <c r="GG50" s="77"/>
      <c r="GH50" s="77"/>
      <c r="GI50" s="77"/>
      <c r="GJ50" s="77">
        <f t="shared" si="1"/>
        <v>20</v>
      </c>
      <c r="GK50" s="77">
        <f t="shared" si="2"/>
        <v>1</v>
      </c>
      <c r="GL50" s="77"/>
      <c r="GM50" s="77">
        <v>1</v>
      </c>
      <c r="GN50" s="77">
        <v>1</v>
      </c>
      <c r="GO50" s="77">
        <v>1</v>
      </c>
      <c r="GP50" s="77">
        <v>1</v>
      </c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</row>
    <row r="51" spans="1:212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FY51" s="78" t="s">
        <v>152</v>
      </c>
      <c r="FZ51" s="77">
        <f t="shared" si="0"/>
        <v>21</v>
      </c>
      <c r="GA51" s="77"/>
      <c r="GB51" s="77"/>
      <c r="GC51" s="77"/>
      <c r="GD51" s="77"/>
      <c r="GE51" s="77"/>
      <c r="GF51" s="77"/>
      <c r="GG51" s="77"/>
      <c r="GH51" s="77"/>
      <c r="GI51" s="77"/>
      <c r="GJ51" s="77">
        <f t="shared" si="1"/>
        <v>21</v>
      </c>
      <c r="GK51" s="77">
        <f t="shared" si="2"/>
        <v>0</v>
      </c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</row>
    <row r="52" spans="1:212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FY52" s="78" t="s">
        <v>153</v>
      </c>
      <c r="FZ52" s="77">
        <f t="shared" si="0"/>
        <v>22</v>
      </c>
      <c r="GA52" s="77"/>
      <c r="GB52" s="77"/>
      <c r="GC52" s="77"/>
      <c r="GD52" s="77"/>
      <c r="GE52" s="77"/>
      <c r="GF52" s="77"/>
      <c r="GG52" s="77"/>
      <c r="GH52" s="77"/>
      <c r="GI52" s="77"/>
      <c r="GJ52" s="77">
        <f t="shared" si="1"/>
        <v>22</v>
      </c>
      <c r="GK52" s="77">
        <f t="shared" si="2"/>
        <v>0</v>
      </c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</row>
    <row r="53" spans="1:212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FY53" s="78" t="s">
        <v>154</v>
      </c>
      <c r="FZ53" s="77">
        <f t="shared" si="0"/>
        <v>23</v>
      </c>
      <c r="GA53" s="77"/>
      <c r="GB53" s="77"/>
      <c r="GC53" s="77"/>
      <c r="GD53" s="77"/>
      <c r="GE53" s="77"/>
      <c r="GF53" s="77"/>
      <c r="GG53" s="77"/>
      <c r="GH53" s="77"/>
      <c r="GI53" s="77"/>
      <c r="GJ53" s="77">
        <f t="shared" si="1"/>
        <v>23</v>
      </c>
      <c r="GK53" s="77">
        <f t="shared" si="2"/>
        <v>0</v>
      </c>
      <c r="GL53" s="77"/>
      <c r="GM53" s="77"/>
      <c r="GN53" s="77"/>
      <c r="GO53" s="77"/>
      <c r="GP53" s="77">
        <v>1</v>
      </c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</row>
    <row r="54" spans="1:212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FY54" s="78" t="s">
        <v>155</v>
      </c>
      <c r="FZ54" s="77">
        <f t="shared" si="0"/>
        <v>24</v>
      </c>
      <c r="GA54" s="77"/>
      <c r="GB54" s="77"/>
      <c r="GC54" s="77"/>
      <c r="GD54" s="77"/>
      <c r="GE54" s="77"/>
      <c r="GF54" s="77"/>
      <c r="GG54" s="77"/>
      <c r="GH54" s="77"/>
      <c r="GI54" s="77"/>
      <c r="GJ54" s="77">
        <f t="shared" si="1"/>
        <v>24</v>
      </c>
      <c r="GK54" s="77">
        <f t="shared" si="2"/>
        <v>0</v>
      </c>
      <c r="GL54" s="77"/>
      <c r="GM54" s="77"/>
      <c r="GN54" s="77"/>
      <c r="GO54" s="77">
        <v>1</v>
      </c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</row>
    <row r="55" spans="1:212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FY55" s="78" t="s">
        <v>156</v>
      </c>
      <c r="FZ55" s="77">
        <f t="shared" si="0"/>
        <v>25</v>
      </c>
      <c r="GA55" s="77"/>
      <c r="GB55" s="77"/>
      <c r="GC55" s="77"/>
      <c r="GD55" s="77"/>
      <c r="GE55" s="77"/>
      <c r="GF55" s="77"/>
      <c r="GG55" s="77"/>
      <c r="GH55" s="77"/>
      <c r="GI55" s="77"/>
      <c r="GJ55" s="77">
        <f t="shared" si="1"/>
        <v>25</v>
      </c>
      <c r="GK55" s="77">
        <f t="shared" si="2"/>
        <v>0</v>
      </c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</row>
    <row r="56" spans="1:212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FY56" s="78" t="s">
        <v>157</v>
      </c>
      <c r="FZ56" s="77">
        <f t="shared" si="0"/>
        <v>26</v>
      </c>
      <c r="GA56" s="77"/>
      <c r="GB56" s="77"/>
      <c r="GC56" s="77"/>
      <c r="GD56" s="77"/>
      <c r="GE56" s="77"/>
      <c r="GF56" s="77"/>
      <c r="GG56" s="77"/>
      <c r="GH56" s="77"/>
      <c r="GI56" s="77"/>
      <c r="GJ56" s="77">
        <f t="shared" si="1"/>
        <v>26</v>
      </c>
      <c r="GK56" s="77">
        <f t="shared" si="2"/>
        <v>0</v>
      </c>
      <c r="GL56" s="77"/>
      <c r="GM56" s="77"/>
      <c r="GN56" s="77">
        <v>1</v>
      </c>
      <c r="GO56" s="77"/>
      <c r="GP56" s="77">
        <v>1</v>
      </c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</row>
    <row r="57" spans="1:212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FY57" s="78" t="s">
        <v>158</v>
      </c>
      <c r="FZ57" s="77">
        <f t="shared" si="0"/>
        <v>27</v>
      </c>
      <c r="GA57" s="77"/>
      <c r="GB57" s="77"/>
      <c r="GC57" s="77"/>
      <c r="GD57" s="77"/>
      <c r="GE57" s="77"/>
      <c r="GF57" s="77"/>
      <c r="GG57" s="77"/>
      <c r="GH57" s="77"/>
      <c r="GI57" s="77"/>
      <c r="GJ57" s="77">
        <f t="shared" si="1"/>
        <v>27</v>
      </c>
      <c r="GK57" s="77">
        <f t="shared" si="2"/>
        <v>0</v>
      </c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</row>
    <row r="58" spans="1:212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FY58" s="78" t="s">
        <v>159</v>
      </c>
      <c r="FZ58" s="77">
        <f t="shared" si="0"/>
        <v>28</v>
      </c>
      <c r="GA58" s="77"/>
      <c r="GB58" s="77"/>
      <c r="GC58" s="77"/>
      <c r="GD58" s="77"/>
      <c r="GE58" s="77"/>
      <c r="GF58" s="77"/>
      <c r="GG58" s="77"/>
      <c r="GH58" s="77"/>
      <c r="GI58" s="77"/>
      <c r="GJ58" s="77">
        <f t="shared" si="1"/>
        <v>28</v>
      </c>
      <c r="GK58" s="77">
        <f t="shared" si="2"/>
        <v>0</v>
      </c>
      <c r="GL58" s="77"/>
      <c r="GM58" s="77"/>
      <c r="GN58" s="77"/>
      <c r="GO58" s="77">
        <v>1</v>
      </c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</row>
    <row r="59" spans="1:212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FY59" s="78" t="s">
        <v>160</v>
      </c>
      <c r="FZ59" s="77">
        <f t="shared" si="0"/>
        <v>29</v>
      </c>
      <c r="GA59" s="77"/>
      <c r="GB59" s="77"/>
      <c r="GC59" s="77"/>
      <c r="GD59" s="77"/>
      <c r="GE59" s="77"/>
      <c r="GF59" s="77"/>
      <c r="GG59" s="77"/>
      <c r="GH59" s="77"/>
      <c r="GI59" s="77"/>
      <c r="GJ59" s="77">
        <f t="shared" si="1"/>
        <v>29</v>
      </c>
      <c r="GK59" s="77">
        <f t="shared" si="2"/>
        <v>0</v>
      </c>
      <c r="GL59" s="77"/>
      <c r="GM59" s="77"/>
      <c r="GN59" s="77"/>
      <c r="GO59" s="77"/>
      <c r="GP59" s="77">
        <v>1</v>
      </c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</row>
    <row r="60" spans="1:212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FY60" s="78" t="s">
        <v>161</v>
      </c>
      <c r="FZ60" s="77">
        <f t="shared" si="0"/>
        <v>30</v>
      </c>
      <c r="GA60" s="77"/>
      <c r="GB60" s="77"/>
      <c r="GC60" s="77"/>
      <c r="GD60" s="77"/>
      <c r="GE60" s="77"/>
      <c r="GF60" s="77"/>
      <c r="GG60" s="77"/>
      <c r="GH60" s="77"/>
      <c r="GI60" s="77"/>
      <c r="GJ60" s="77">
        <f t="shared" si="1"/>
        <v>30</v>
      </c>
      <c r="GK60" s="77">
        <f t="shared" si="2"/>
        <v>0</v>
      </c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</row>
    <row r="61" spans="1:212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FY61" s="78" t="s">
        <v>162</v>
      </c>
      <c r="FZ61" s="77">
        <f t="shared" si="0"/>
        <v>31</v>
      </c>
      <c r="GA61" s="77"/>
      <c r="GB61" s="77"/>
      <c r="GC61" s="77"/>
      <c r="GD61" s="77"/>
      <c r="GE61" s="77"/>
      <c r="GF61" s="77"/>
      <c r="GG61" s="77"/>
      <c r="GH61" s="77"/>
      <c r="GI61" s="77"/>
      <c r="GJ61" s="77">
        <f t="shared" si="1"/>
        <v>31</v>
      </c>
      <c r="GK61" s="77">
        <f t="shared" si="2"/>
        <v>0</v>
      </c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</row>
    <row r="62" spans="1:212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FY62" s="78" t="s">
        <v>163</v>
      </c>
      <c r="FZ62" s="77">
        <f t="shared" si="0"/>
        <v>32</v>
      </c>
      <c r="GA62" s="77"/>
      <c r="GB62" s="77"/>
      <c r="GC62" s="77"/>
      <c r="GD62" s="77"/>
      <c r="GE62" s="77"/>
      <c r="GF62" s="77"/>
      <c r="GG62" s="77"/>
      <c r="GH62" s="77"/>
      <c r="GI62" s="77"/>
      <c r="GJ62" s="77">
        <f t="shared" si="1"/>
        <v>32</v>
      </c>
      <c r="GK62" s="77">
        <f t="shared" si="2"/>
        <v>1</v>
      </c>
      <c r="GL62" s="77"/>
      <c r="GM62" s="77">
        <v>1</v>
      </c>
      <c r="GN62" s="77">
        <v>1</v>
      </c>
      <c r="GO62" s="77">
        <v>1</v>
      </c>
      <c r="GP62" s="77">
        <v>1</v>
      </c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</row>
    <row r="63" spans="1:212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FY63" s="78" t="s">
        <v>164</v>
      </c>
      <c r="FZ63" s="77">
        <f t="shared" si="0"/>
        <v>33</v>
      </c>
      <c r="GA63" s="77"/>
      <c r="GB63" s="77"/>
      <c r="GC63" s="77"/>
      <c r="GD63" s="77"/>
      <c r="GE63" s="77"/>
      <c r="GF63" s="77"/>
      <c r="GG63" s="77"/>
      <c r="GH63" s="77"/>
      <c r="GI63" s="77"/>
      <c r="GJ63" s="77">
        <f t="shared" si="1"/>
        <v>33</v>
      </c>
      <c r="GK63" s="77">
        <f t="shared" si="2"/>
        <v>0</v>
      </c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</row>
    <row r="64" spans="1:212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FY64" s="78" t="s">
        <v>165</v>
      </c>
      <c r="FZ64" s="77">
        <f t="shared" si="0"/>
        <v>34</v>
      </c>
      <c r="GA64" s="77"/>
      <c r="GB64" s="77"/>
      <c r="GC64" s="77"/>
      <c r="GD64" s="77"/>
      <c r="GE64" s="77"/>
      <c r="GF64" s="77"/>
      <c r="GG64" s="77"/>
      <c r="GH64" s="77"/>
      <c r="GI64" s="77"/>
      <c r="GJ64" s="77">
        <f t="shared" si="1"/>
        <v>34</v>
      </c>
      <c r="GK64" s="77">
        <f t="shared" si="2"/>
        <v>0</v>
      </c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</row>
    <row r="65" spans="1:212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FY65" s="78" t="s">
        <v>166</v>
      </c>
      <c r="FZ65" s="77">
        <f t="shared" si="0"/>
        <v>35</v>
      </c>
      <c r="GA65" s="77"/>
      <c r="GB65" s="77"/>
      <c r="GC65" s="77"/>
      <c r="GD65" s="77"/>
      <c r="GE65" s="77"/>
      <c r="GF65" s="77"/>
      <c r="GG65" s="77"/>
      <c r="GH65" s="77"/>
      <c r="GI65" s="77"/>
      <c r="GJ65" s="77">
        <f t="shared" si="1"/>
        <v>35</v>
      </c>
      <c r="GK65" s="77">
        <f t="shared" si="2"/>
        <v>0</v>
      </c>
      <c r="GL65" s="77"/>
      <c r="GM65" s="77"/>
      <c r="GN65" s="77"/>
      <c r="GO65" s="77"/>
      <c r="GP65" s="77">
        <v>1</v>
      </c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</row>
    <row r="66" spans="1:212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FY66" s="78" t="s">
        <v>167</v>
      </c>
      <c r="FZ66" s="77">
        <f t="shared" si="0"/>
        <v>36</v>
      </c>
      <c r="GA66" s="77"/>
      <c r="GB66" s="77"/>
      <c r="GC66" s="77"/>
      <c r="GD66" s="77"/>
      <c r="GE66" s="77"/>
      <c r="GF66" s="77"/>
      <c r="GG66" s="77"/>
      <c r="GH66" s="77"/>
      <c r="GI66" s="77"/>
      <c r="GJ66" s="77">
        <f t="shared" si="1"/>
        <v>36</v>
      </c>
      <c r="GK66" s="77">
        <f t="shared" si="2"/>
        <v>0</v>
      </c>
      <c r="GL66" s="77"/>
      <c r="GM66" s="77"/>
      <c r="GN66" s="77"/>
      <c r="GO66" s="77">
        <v>1</v>
      </c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</row>
    <row r="67" spans="1:212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FY67" s="78" t="s">
        <v>168</v>
      </c>
      <c r="FZ67" s="77">
        <f t="shared" si="0"/>
        <v>37</v>
      </c>
      <c r="GA67" s="77"/>
      <c r="GB67" s="77"/>
      <c r="GC67" s="77"/>
      <c r="GD67" s="77"/>
      <c r="GE67" s="77"/>
      <c r="GF67" s="77"/>
      <c r="GG67" s="77"/>
      <c r="GH67" s="77"/>
      <c r="GI67" s="77"/>
      <c r="GJ67" s="77">
        <f t="shared" si="1"/>
        <v>37</v>
      </c>
      <c r="GK67" s="77">
        <f t="shared" si="2"/>
        <v>0</v>
      </c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</row>
    <row r="68" spans="1:212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FY68" s="78" t="s">
        <v>169</v>
      </c>
      <c r="FZ68" s="77">
        <f aca="true" t="shared" si="14" ref="FZ68:FZ121">1+FZ67</f>
        <v>38</v>
      </c>
      <c r="GA68" s="77"/>
      <c r="GB68" s="77"/>
      <c r="GC68" s="77"/>
      <c r="GD68" s="77"/>
      <c r="GE68" s="77"/>
      <c r="GF68" s="77"/>
      <c r="GG68" s="77"/>
      <c r="GH68" s="77"/>
      <c r="GI68" s="77"/>
      <c r="GJ68" s="77">
        <f aca="true" t="shared" si="15" ref="GJ68:GJ131">+GJ67+1</f>
        <v>38</v>
      </c>
      <c r="GK68" s="77">
        <f t="shared" si="2"/>
        <v>0</v>
      </c>
      <c r="GL68" s="77"/>
      <c r="GM68" s="77"/>
      <c r="GN68" s="77">
        <v>1</v>
      </c>
      <c r="GO68" s="77"/>
      <c r="GP68" s="77">
        <v>1</v>
      </c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</row>
    <row r="69" spans="1:212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FY69" s="78" t="s">
        <v>170</v>
      </c>
      <c r="FZ69" s="77">
        <f t="shared" si="14"/>
        <v>39</v>
      </c>
      <c r="GA69" s="77"/>
      <c r="GB69" s="77"/>
      <c r="GC69" s="77"/>
      <c r="GD69" s="77"/>
      <c r="GE69" s="77"/>
      <c r="GF69" s="77"/>
      <c r="GG69" s="77"/>
      <c r="GH69" s="77"/>
      <c r="GI69" s="77"/>
      <c r="GJ69" s="77">
        <f t="shared" si="15"/>
        <v>39</v>
      </c>
      <c r="GK69" s="77">
        <f aca="true" t="shared" si="16" ref="GK69:GK132">+IF($C$8=$GM$1,GM69,IF($C$8=$GN$1,GN69,IF($C$8=$GO$1,GO69,IF($C$8=$GP$1,GP69,0))))</f>
        <v>0</v>
      </c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</row>
    <row r="70" spans="1:212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FY70" s="78" t="s">
        <v>171</v>
      </c>
      <c r="FZ70" s="77">
        <f t="shared" si="14"/>
        <v>40</v>
      </c>
      <c r="GA70" s="77"/>
      <c r="GB70" s="77"/>
      <c r="GC70" s="77"/>
      <c r="GD70" s="77"/>
      <c r="GE70" s="77"/>
      <c r="GF70" s="77"/>
      <c r="GG70" s="77"/>
      <c r="GH70" s="77"/>
      <c r="GI70" s="77"/>
      <c r="GJ70" s="77">
        <f t="shared" si="15"/>
        <v>40</v>
      </c>
      <c r="GK70" s="77">
        <f t="shared" si="16"/>
        <v>0</v>
      </c>
      <c r="GL70" s="77"/>
      <c r="GM70" s="77"/>
      <c r="GN70" s="77"/>
      <c r="GO70" s="77">
        <v>1</v>
      </c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</row>
    <row r="71" spans="1:21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FY71" s="78" t="s">
        <v>172</v>
      </c>
      <c r="FZ71" s="77">
        <f t="shared" si="14"/>
        <v>41</v>
      </c>
      <c r="GA71" s="77"/>
      <c r="GB71" s="77"/>
      <c r="GC71" s="77"/>
      <c r="GD71" s="77"/>
      <c r="GE71" s="77"/>
      <c r="GF71" s="77"/>
      <c r="GG71" s="77"/>
      <c r="GH71" s="77"/>
      <c r="GI71" s="77"/>
      <c r="GJ71" s="77">
        <f t="shared" si="15"/>
        <v>41</v>
      </c>
      <c r="GK71" s="77">
        <f t="shared" si="16"/>
        <v>0</v>
      </c>
      <c r="GL71" s="77"/>
      <c r="GM71" s="77"/>
      <c r="GN71" s="77"/>
      <c r="GO71" s="77"/>
      <c r="GP71" s="77">
        <v>1</v>
      </c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</row>
    <row r="72" spans="1:21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FY72" s="78" t="s">
        <v>173</v>
      </c>
      <c r="FZ72" s="77">
        <f t="shared" si="14"/>
        <v>42</v>
      </c>
      <c r="GA72" s="77"/>
      <c r="GB72" s="77"/>
      <c r="GC72" s="77"/>
      <c r="GD72" s="77"/>
      <c r="GE72" s="77"/>
      <c r="GF72" s="77"/>
      <c r="GG72" s="77"/>
      <c r="GH72" s="77"/>
      <c r="GI72" s="77"/>
      <c r="GJ72" s="77">
        <f t="shared" si="15"/>
        <v>42</v>
      </c>
      <c r="GK72" s="77">
        <f t="shared" si="16"/>
        <v>0</v>
      </c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</row>
    <row r="73" spans="1:21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FY73" s="78" t="s">
        <v>174</v>
      </c>
      <c r="FZ73" s="77">
        <f t="shared" si="14"/>
        <v>43</v>
      </c>
      <c r="GA73" s="77"/>
      <c r="GB73" s="77"/>
      <c r="GC73" s="77"/>
      <c r="GD73" s="77"/>
      <c r="GE73" s="77"/>
      <c r="GF73" s="77"/>
      <c r="GG73" s="77"/>
      <c r="GH73" s="77"/>
      <c r="GI73" s="77"/>
      <c r="GJ73" s="77">
        <f t="shared" si="15"/>
        <v>43</v>
      </c>
      <c r="GK73" s="77">
        <f t="shared" si="16"/>
        <v>0</v>
      </c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</row>
    <row r="74" spans="1:21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FY74" s="78" t="s">
        <v>175</v>
      </c>
      <c r="FZ74" s="77">
        <f t="shared" si="14"/>
        <v>44</v>
      </c>
      <c r="GA74" s="77"/>
      <c r="GB74" s="77"/>
      <c r="GC74" s="77"/>
      <c r="GD74" s="77"/>
      <c r="GE74" s="77"/>
      <c r="GF74" s="77"/>
      <c r="GG74" s="77"/>
      <c r="GH74" s="77"/>
      <c r="GI74" s="77"/>
      <c r="GJ74" s="77">
        <f t="shared" si="15"/>
        <v>44</v>
      </c>
      <c r="GK74" s="77">
        <f t="shared" si="16"/>
        <v>1</v>
      </c>
      <c r="GL74" s="77"/>
      <c r="GM74" s="77">
        <v>1</v>
      </c>
      <c r="GN74" s="77">
        <v>1</v>
      </c>
      <c r="GO74" s="77">
        <v>1</v>
      </c>
      <c r="GP74" s="77">
        <v>1</v>
      </c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</row>
    <row r="75" spans="1:212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FY75" s="78" t="s">
        <v>176</v>
      </c>
      <c r="FZ75" s="77">
        <f t="shared" si="14"/>
        <v>45</v>
      </c>
      <c r="GA75" s="77"/>
      <c r="GB75" s="77"/>
      <c r="GC75" s="77"/>
      <c r="GD75" s="77"/>
      <c r="GE75" s="77"/>
      <c r="GF75" s="77"/>
      <c r="GG75" s="77"/>
      <c r="GH75" s="77"/>
      <c r="GI75" s="77"/>
      <c r="GJ75" s="77">
        <f t="shared" si="15"/>
        <v>45</v>
      </c>
      <c r="GK75" s="77">
        <f t="shared" si="16"/>
        <v>0</v>
      </c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</row>
    <row r="76" spans="1:212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FY76" s="78" t="s">
        <v>177</v>
      </c>
      <c r="FZ76" s="77">
        <f t="shared" si="14"/>
        <v>46</v>
      </c>
      <c r="GA76" s="77"/>
      <c r="GB76" s="77"/>
      <c r="GC76" s="77"/>
      <c r="GD76" s="77"/>
      <c r="GE76" s="77"/>
      <c r="GF76" s="77"/>
      <c r="GG76" s="77"/>
      <c r="GH76" s="77"/>
      <c r="GI76" s="77"/>
      <c r="GJ76" s="77">
        <f t="shared" si="15"/>
        <v>46</v>
      </c>
      <c r="GK76" s="77">
        <f t="shared" si="16"/>
        <v>0</v>
      </c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</row>
    <row r="77" spans="1:212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FY77" s="78" t="s">
        <v>178</v>
      </c>
      <c r="FZ77" s="77">
        <f t="shared" si="14"/>
        <v>47</v>
      </c>
      <c r="GA77" s="77"/>
      <c r="GB77" s="77"/>
      <c r="GC77" s="77"/>
      <c r="GD77" s="77"/>
      <c r="GE77" s="77"/>
      <c r="GF77" s="77"/>
      <c r="GG77" s="77"/>
      <c r="GH77" s="77"/>
      <c r="GI77" s="77"/>
      <c r="GJ77" s="77">
        <f t="shared" si="15"/>
        <v>47</v>
      </c>
      <c r="GK77" s="77">
        <f t="shared" si="16"/>
        <v>0</v>
      </c>
      <c r="GL77" s="77"/>
      <c r="GM77" s="77"/>
      <c r="GN77" s="77"/>
      <c r="GO77" s="77"/>
      <c r="GP77" s="77">
        <v>1</v>
      </c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</row>
    <row r="78" spans="1:212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FY78" s="78" t="s">
        <v>179</v>
      </c>
      <c r="FZ78" s="77">
        <f t="shared" si="14"/>
        <v>48</v>
      </c>
      <c r="GA78" s="77"/>
      <c r="GB78" s="77"/>
      <c r="GC78" s="77"/>
      <c r="GD78" s="77"/>
      <c r="GE78" s="77"/>
      <c r="GF78" s="77"/>
      <c r="GG78" s="77"/>
      <c r="GH78" s="77"/>
      <c r="GI78" s="77"/>
      <c r="GJ78" s="77">
        <f t="shared" si="15"/>
        <v>48</v>
      </c>
      <c r="GK78" s="77">
        <f t="shared" si="16"/>
        <v>0</v>
      </c>
      <c r="GL78" s="77"/>
      <c r="GM78" s="77"/>
      <c r="GN78" s="77"/>
      <c r="GO78" s="77">
        <v>1</v>
      </c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</row>
    <row r="79" spans="1:212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FY79" s="78" t="s">
        <v>180</v>
      </c>
      <c r="FZ79" s="77">
        <f t="shared" si="14"/>
        <v>49</v>
      </c>
      <c r="GA79" s="77"/>
      <c r="GB79" s="77"/>
      <c r="GC79" s="77"/>
      <c r="GD79" s="77"/>
      <c r="GE79" s="77"/>
      <c r="GF79" s="77"/>
      <c r="GG79" s="77"/>
      <c r="GH79" s="77"/>
      <c r="GI79" s="77"/>
      <c r="GJ79" s="77">
        <f t="shared" si="15"/>
        <v>49</v>
      </c>
      <c r="GK79" s="77">
        <f t="shared" si="16"/>
        <v>0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</row>
    <row r="80" spans="1:212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FY80" s="78" t="s">
        <v>181</v>
      </c>
      <c r="FZ80" s="77">
        <f t="shared" si="14"/>
        <v>50</v>
      </c>
      <c r="GA80" s="77"/>
      <c r="GB80" s="77"/>
      <c r="GC80" s="77"/>
      <c r="GD80" s="77"/>
      <c r="GE80" s="77"/>
      <c r="GF80" s="77"/>
      <c r="GG80" s="77"/>
      <c r="GH80" s="77"/>
      <c r="GI80" s="77"/>
      <c r="GJ80" s="77">
        <f t="shared" si="15"/>
        <v>50</v>
      </c>
      <c r="GK80" s="77">
        <f t="shared" si="16"/>
        <v>0</v>
      </c>
      <c r="GL80" s="77"/>
      <c r="GM80" s="77"/>
      <c r="GN80" s="77">
        <v>1</v>
      </c>
      <c r="GO80" s="77"/>
      <c r="GP80" s="77">
        <v>1</v>
      </c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</row>
    <row r="81" spans="1:212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FY81" s="78" t="s">
        <v>182</v>
      </c>
      <c r="FZ81" s="77">
        <f t="shared" si="14"/>
        <v>51</v>
      </c>
      <c r="GA81" s="77"/>
      <c r="GB81" s="77"/>
      <c r="GC81" s="77"/>
      <c r="GD81" s="77"/>
      <c r="GE81" s="77"/>
      <c r="GF81" s="77"/>
      <c r="GG81" s="77"/>
      <c r="GH81" s="77"/>
      <c r="GI81" s="77"/>
      <c r="GJ81" s="77">
        <f t="shared" si="15"/>
        <v>51</v>
      </c>
      <c r="GK81" s="77">
        <f t="shared" si="16"/>
        <v>0</v>
      </c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</row>
    <row r="82" spans="1:212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FY82" s="78" t="s">
        <v>183</v>
      </c>
      <c r="FZ82" s="77">
        <f t="shared" si="14"/>
        <v>52</v>
      </c>
      <c r="GA82" s="77"/>
      <c r="GB82" s="77"/>
      <c r="GC82" s="77"/>
      <c r="GD82" s="77"/>
      <c r="GE82" s="77"/>
      <c r="GF82" s="77"/>
      <c r="GG82" s="77"/>
      <c r="GH82" s="77"/>
      <c r="GI82" s="77"/>
      <c r="GJ82" s="77">
        <f t="shared" si="15"/>
        <v>52</v>
      </c>
      <c r="GK82" s="77">
        <f t="shared" si="16"/>
        <v>0</v>
      </c>
      <c r="GL82" s="77"/>
      <c r="GM82" s="77"/>
      <c r="GN82" s="77"/>
      <c r="GO82" s="77">
        <v>1</v>
      </c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</row>
    <row r="83" spans="1:212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FY83" s="78" t="s">
        <v>184</v>
      </c>
      <c r="FZ83" s="77">
        <f t="shared" si="14"/>
        <v>53</v>
      </c>
      <c r="GA83" s="77"/>
      <c r="GB83" s="77"/>
      <c r="GC83" s="77"/>
      <c r="GD83" s="77"/>
      <c r="GE83" s="77"/>
      <c r="GF83" s="77"/>
      <c r="GG83" s="77"/>
      <c r="GH83" s="77"/>
      <c r="GI83" s="77"/>
      <c r="GJ83" s="77">
        <f t="shared" si="15"/>
        <v>53</v>
      </c>
      <c r="GK83" s="77">
        <f t="shared" si="16"/>
        <v>0</v>
      </c>
      <c r="GL83" s="77"/>
      <c r="GM83" s="77"/>
      <c r="GN83" s="77"/>
      <c r="GO83" s="77"/>
      <c r="GP83" s="77">
        <v>1</v>
      </c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</row>
    <row r="84" spans="1:212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FY84" s="78" t="s">
        <v>185</v>
      </c>
      <c r="FZ84" s="77">
        <f t="shared" si="14"/>
        <v>54</v>
      </c>
      <c r="GA84" s="77"/>
      <c r="GB84" s="77"/>
      <c r="GC84" s="77"/>
      <c r="GD84" s="77"/>
      <c r="GE84" s="77"/>
      <c r="GF84" s="77"/>
      <c r="GG84" s="77"/>
      <c r="GH84" s="77"/>
      <c r="GI84" s="77"/>
      <c r="GJ84" s="77">
        <f t="shared" si="15"/>
        <v>54</v>
      </c>
      <c r="GK84" s="77">
        <f t="shared" si="16"/>
        <v>0</v>
      </c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</row>
    <row r="85" spans="1:212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FY85" s="78" t="s">
        <v>186</v>
      </c>
      <c r="FZ85" s="77">
        <f t="shared" si="14"/>
        <v>55</v>
      </c>
      <c r="GA85" s="77"/>
      <c r="GB85" s="77"/>
      <c r="GC85" s="77"/>
      <c r="GD85" s="77"/>
      <c r="GE85" s="77"/>
      <c r="GF85" s="77"/>
      <c r="GG85" s="77"/>
      <c r="GH85" s="77"/>
      <c r="GI85" s="77"/>
      <c r="GJ85" s="77">
        <f t="shared" si="15"/>
        <v>55</v>
      </c>
      <c r="GK85" s="77">
        <f t="shared" si="16"/>
        <v>0</v>
      </c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</row>
    <row r="86" spans="1:212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FY86" s="78" t="s">
        <v>187</v>
      </c>
      <c r="FZ86" s="77">
        <f t="shared" si="14"/>
        <v>56</v>
      </c>
      <c r="GA86" s="77"/>
      <c r="GB86" s="77"/>
      <c r="GC86" s="77"/>
      <c r="GD86" s="77"/>
      <c r="GE86" s="77"/>
      <c r="GF86" s="77"/>
      <c r="GG86" s="77"/>
      <c r="GH86" s="77"/>
      <c r="GI86" s="77"/>
      <c r="GJ86" s="77">
        <f t="shared" si="15"/>
        <v>56</v>
      </c>
      <c r="GK86" s="77">
        <f t="shared" si="16"/>
        <v>1</v>
      </c>
      <c r="GL86" s="77"/>
      <c r="GM86" s="77">
        <v>1</v>
      </c>
      <c r="GN86" s="77">
        <v>1</v>
      </c>
      <c r="GO86" s="77">
        <v>1</v>
      </c>
      <c r="GP86" s="77">
        <v>1</v>
      </c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</row>
    <row r="87" spans="1:212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FY87" s="78" t="s">
        <v>188</v>
      </c>
      <c r="FZ87" s="77">
        <f t="shared" si="14"/>
        <v>57</v>
      </c>
      <c r="GA87" s="77"/>
      <c r="GB87" s="77"/>
      <c r="GC87" s="77"/>
      <c r="GD87" s="77"/>
      <c r="GE87" s="77"/>
      <c r="GF87" s="77"/>
      <c r="GG87" s="77"/>
      <c r="GH87" s="77"/>
      <c r="GI87" s="77"/>
      <c r="GJ87" s="77">
        <f t="shared" si="15"/>
        <v>57</v>
      </c>
      <c r="GK87" s="77">
        <f t="shared" si="16"/>
        <v>0</v>
      </c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</row>
    <row r="88" spans="1:212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FY88" s="78" t="s">
        <v>189</v>
      </c>
      <c r="FZ88" s="77">
        <f t="shared" si="14"/>
        <v>58</v>
      </c>
      <c r="GA88" s="77"/>
      <c r="GB88" s="77"/>
      <c r="GC88" s="77"/>
      <c r="GD88" s="77"/>
      <c r="GE88" s="77"/>
      <c r="GF88" s="77"/>
      <c r="GG88" s="77"/>
      <c r="GH88" s="77"/>
      <c r="GI88" s="77"/>
      <c r="GJ88" s="77">
        <f t="shared" si="15"/>
        <v>58</v>
      </c>
      <c r="GK88" s="77">
        <f t="shared" si="16"/>
        <v>0</v>
      </c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</row>
    <row r="89" spans="1:212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FY89" s="78" t="s">
        <v>190</v>
      </c>
      <c r="FZ89" s="77">
        <f t="shared" si="14"/>
        <v>59</v>
      </c>
      <c r="GA89" s="77"/>
      <c r="GB89" s="77"/>
      <c r="GC89" s="77"/>
      <c r="GD89" s="77"/>
      <c r="GE89" s="77"/>
      <c r="GF89" s="77"/>
      <c r="GG89" s="77"/>
      <c r="GH89" s="77"/>
      <c r="GI89" s="77"/>
      <c r="GJ89" s="77">
        <f t="shared" si="15"/>
        <v>59</v>
      </c>
      <c r="GK89" s="77">
        <f t="shared" si="16"/>
        <v>0</v>
      </c>
      <c r="GL89" s="77"/>
      <c r="GM89" s="77"/>
      <c r="GN89" s="77"/>
      <c r="GO89" s="77"/>
      <c r="GP89" s="77">
        <v>1</v>
      </c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</row>
    <row r="90" spans="1:212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FY90" s="78" t="s">
        <v>191</v>
      </c>
      <c r="FZ90" s="77">
        <f t="shared" si="14"/>
        <v>60</v>
      </c>
      <c r="GA90" s="77"/>
      <c r="GB90" s="77"/>
      <c r="GC90" s="77"/>
      <c r="GD90" s="77"/>
      <c r="GE90" s="77"/>
      <c r="GF90" s="77"/>
      <c r="GG90" s="77"/>
      <c r="GH90" s="77"/>
      <c r="GI90" s="77"/>
      <c r="GJ90" s="77">
        <f t="shared" si="15"/>
        <v>60</v>
      </c>
      <c r="GK90" s="77">
        <f t="shared" si="16"/>
        <v>0</v>
      </c>
      <c r="GL90" s="77"/>
      <c r="GM90" s="77"/>
      <c r="GN90" s="77"/>
      <c r="GO90" s="77">
        <v>1</v>
      </c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</row>
    <row r="91" spans="1:212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FY91" s="78" t="s">
        <v>192</v>
      </c>
      <c r="FZ91" s="77">
        <f t="shared" si="14"/>
        <v>61</v>
      </c>
      <c r="GA91" s="77"/>
      <c r="GB91" s="77"/>
      <c r="GC91" s="77"/>
      <c r="GD91" s="77"/>
      <c r="GE91" s="77"/>
      <c r="GF91" s="77"/>
      <c r="GG91" s="77"/>
      <c r="GH91" s="77"/>
      <c r="GI91" s="77"/>
      <c r="GJ91" s="77">
        <f t="shared" si="15"/>
        <v>61</v>
      </c>
      <c r="GK91" s="77">
        <f t="shared" si="16"/>
        <v>0</v>
      </c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</row>
    <row r="92" spans="1:212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FY92" s="78" t="s">
        <v>193</v>
      </c>
      <c r="FZ92" s="77">
        <f t="shared" si="14"/>
        <v>62</v>
      </c>
      <c r="GA92" s="77"/>
      <c r="GB92" s="77"/>
      <c r="GC92" s="77"/>
      <c r="GD92" s="77"/>
      <c r="GE92" s="77"/>
      <c r="GF92" s="77"/>
      <c r="GG92" s="77"/>
      <c r="GH92" s="77"/>
      <c r="GI92" s="77"/>
      <c r="GJ92" s="77">
        <f t="shared" si="15"/>
        <v>62</v>
      </c>
      <c r="GK92" s="77">
        <f t="shared" si="16"/>
        <v>0</v>
      </c>
      <c r="GL92" s="77"/>
      <c r="GM92" s="77"/>
      <c r="GN92" s="77">
        <v>1</v>
      </c>
      <c r="GO92" s="77"/>
      <c r="GP92" s="77">
        <v>1</v>
      </c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</row>
    <row r="93" spans="1:212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FY93" s="78" t="s">
        <v>194</v>
      </c>
      <c r="FZ93" s="77">
        <f t="shared" si="14"/>
        <v>63</v>
      </c>
      <c r="GA93" s="77"/>
      <c r="GB93" s="77"/>
      <c r="GC93" s="77"/>
      <c r="GD93" s="77"/>
      <c r="GE93" s="77"/>
      <c r="GF93" s="77"/>
      <c r="GG93" s="77"/>
      <c r="GH93" s="77"/>
      <c r="GI93" s="77"/>
      <c r="GJ93" s="77">
        <f t="shared" si="15"/>
        <v>63</v>
      </c>
      <c r="GK93" s="77">
        <f t="shared" si="16"/>
        <v>0</v>
      </c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</row>
    <row r="94" spans="1:212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FY94" s="78" t="s">
        <v>195</v>
      </c>
      <c r="FZ94" s="77">
        <f t="shared" si="14"/>
        <v>64</v>
      </c>
      <c r="GA94" s="77"/>
      <c r="GB94" s="77"/>
      <c r="GC94" s="77"/>
      <c r="GD94" s="77"/>
      <c r="GE94" s="77"/>
      <c r="GF94" s="77"/>
      <c r="GG94" s="77"/>
      <c r="GH94" s="77"/>
      <c r="GI94" s="77"/>
      <c r="GJ94" s="77">
        <f t="shared" si="15"/>
        <v>64</v>
      </c>
      <c r="GK94" s="77">
        <f t="shared" si="16"/>
        <v>0</v>
      </c>
      <c r="GL94" s="77"/>
      <c r="GM94" s="77"/>
      <c r="GN94" s="77"/>
      <c r="GO94" s="77">
        <v>1</v>
      </c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</row>
    <row r="95" spans="1:212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FY95" s="78" t="s">
        <v>196</v>
      </c>
      <c r="FZ95" s="77">
        <f t="shared" si="14"/>
        <v>65</v>
      </c>
      <c r="GA95" s="77"/>
      <c r="GB95" s="77"/>
      <c r="GC95" s="77"/>
      <c r="GD95" s="77"/>
      <c r="GE95" s="77"/>
      <c r="GF95" s="77"/>
      <c r="GG95" s="77"/>
      <c r="GH95" s="77"/>
      <c r="GI95" s="77"/>
      <c r="GJ95" s="77">
        <f t="shared" si="15"/>
        <v>65</v>
      </c>
      <c r="GK95" s="77">
        <f t="shared" si="16"/>
        <v>0</v>
      </c>
      <c r="GL95" s="77"/>
      <c r="GM95" s="77"/>
      <c r="GN95" s="77"/>
      <c r="GO95" s="77"/>
      <c r="GP95" s="77">
        <v>1</v>
      </c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</row>
    <row r="96" spans="1:212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FY96" s="78" t="s">
        <v>197</v>
      </c>
      <c r="FZ96" s="77">
        <f t="shared" si="14"/>
        <v>66</v>
      </c>
      <c r="GA96" s="77"/>
      <c r="GB96" s="77"/>
      <c r="GC96" s="77"/>
      <c r="GD96" s="77"/>
      <c r="GE96" s="77"/>
      <c r="GF96" s="77"/>
      <c r="GG96" s="77"/>
      <c r="GH96" s="77"/>
      <c r="GI96" s="77"/>
      <c r="GJ96" s="77">
        <f t="shared" si="15"/>
        <v>66</v>
      </c>
      <c r="GK96" s="77">
        <f t="shared" si="16"/>
        <v>0</v>
      </c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</row>
    <row r="97" spans="1:212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FY97" s="78" t="s">
        <v>198</v>
      </c>
      <c r="FZ97" s="77">
        <f t="shared" si="14"/>
        <v>67</v>
      </c>
      <c r="GA97" s="77"/>
      <c r="GB97" s="77"/>
      <c r="GC97" s="77"/>
      <c r="GD97" s="77"/>
      <c r="GE97" s="77"/>
      <c r="GF97" s="77"/>
      <c r="GG97" s="77"/>
      <c r="GH97" s="77"/>
      <c r="GI97" s="77"/>
      <c r="GJ97" s="77">
        <f t="shared" si="15"/>
        <v>67</v>
      </c>
      <c r="GK97" s="77">
        <f t="shared" si="16"/>
        <v>0</v>
      </c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</row>
    <row r="98" spans="1:212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FY98" s="78" t="s">
        <v>199</v>
      </c>
      <c r="FZ98" s="77">
        <f t="shared" si="14"/>
        <v>68</v>
      </c>
      <c r="GA98" s="77"/>
      <c r="GB98" s="77"/>
      <c r="GC98" s="77"/>
      <c r="GD98" s="77"/>
      <c r="GE98" s="77"/>
      <c r="GF98" s="77"/>
      <c r="GG98" s="77"/>
      <c r="GH98" s="77"/>
      <c r="GI98" s="77"/>
      <c r="GJ98" s="77">
        <f t="shared" si="15"/>
        <v>68</v>
      </c>
      <c r="GK98" s="77">
        <f t="shared" si="16"/>
        <v>1</v>
      </c>
      <c r="GL98" s="77"/>
      <c r="GM98" s="77">
        <v>1</v>
      </c>
      <c r="GN98" s="77">
        <v>1</v>
      </c>
      <c r="GO98" s="77">
        <v>1</v>
      </c>
      <c r="GP98" s="77">
        <v>1</v>
      </c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</row>
    <row r="99" spans="1:212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FY99" s="78" t="s">
        <v>200</v>
      </c>
      <c r="FZ99" s="77">
        <f t="shared" si="14"/>
        <v>69</v>
      </c>
      <c r="GA99" s="77"/>
      <c r="GB99" s="77"/>
      <c r="GC99" s="77"/>
      <c r="GD99" s="77"/>
      <c r="GE99" s="77"/>
      <c r="GF99" s="77"/>
      <c r="GG99" s="77"/>
      <c r="GH99" s="77"/>
      <c r="GI99" s="77"/>
      <c r="GJ99" s="77">
        <f t="shared" si="15"/>
        <v>69</v>
      </c>
      <c r="GK99" s="77">
        <f t="shared" si="16"/>
        <v>0</v>
      </c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</row>
    <row r="100" spans="1:212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FY100" s="78" t="s">
        <v>201</v>
      </c>
      <c r="FZ100" s="77">
        <f t="shared" si="14"/>
        <v>70</v>
      </c>
      <c r="GA100" s="77"/>
      <c r="GB100" s="77"/>
      <c r="GC100" s="77"/>
      <c r="GD100" s="77"/>
      <c r="GE100" s="77"/>
      <c r="GF100" s="77"/>
      <c r="GG100" s="77"/>
      <c r="GH100" s="77"/>
      <c r="GI100" s="77"/>
      <c r="GJ100" s="77">
        <f t="shared" si="15"/>
        <v>70</v>
      </c>
      <c r="GK100" s="77">
        <f t="shared" si="16"/>
        <v>0</v>
      </c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</row>
    <row r="101" spans="1:212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FY101" s="78" t="s">
        <v>202</v>
      </c>
      <c r="FZ101" s="77">
        <f t="shared" si="14"/>
        <v>71</v>
      </c>
      <c r="GA101" s="77"/>
      <c r="GB101" s="77"/>
      <c r="GC101" s="77"/>
      <c r="GD101" s="77"/>
      <c r="GE101" s="77"/>
      <c r="GF101" s="77"/>
      <c r="GG101" s="77"/>
      <c r="GH101" s="77"/>
      <c r="GI101" s="77"/>
      <c r="GJ101" s="77">
        <f t="shared" si="15"/>
        <v>71</v>
      </c>
      <c r="GK101" s="77">
        <f t="shared" si="16"/>
        <v>0</v>
      </c>
      <c r="GL101" s="77"/>
      <c r="GM101" s="77"/>
      <c r="GN101" s="77"/>
      <c r="GO101" s="77"/>
      <c r="GP101" s="77">
        <v>1</v>
      </c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</row>
    <row r="102" spans="1:212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FY102" s="78" t="s">
        <v>203</v>
      </c>
      <c r="FZ102" s="77">
        <f t="shared" si="14"/>
        <v>72</v>
      </c>
      <c r="GA102" s="77"/>
      <c r="GB102" s="77"/>
      <c r="GC102" s="77"/>
      <c r="GD102" s="77"/>
      <c r="GE102" s="77"/>
      <c r="GF102" s="77"/>
      <c r="GG102" s="77"/>
      <c r="GH102" s="77"/>
      <c r="GI102" s="77"/>
      <c r="GJ102" s="77">
        <f t="shared" si="15"/>
        <v>72</v>
      </c>
      <c r="GK102" s="77">
        <f t="shared" si="16"/>
        <v>0</v>
      </c>
      <c r="GL102" s="77"/>
      <c r="GM102" s="77"/>
      <c r="GN102" s="77"/>
      <c r="GO102" s="77">
        <v>1</v>
      </c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</row>
    <row r="103" spans="1:212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FY103" s="78" t="s">
        <v>204</v>
      </c>
      <c r="FZ103" s="77">
        <f t="shared" si="14"/>
        <v>73</v>
      </c>
      <c r="GA103" s="77"/>
      <c r="GB103" s="77"/>
      <c r="GC103" s="77"/>
      <c r="GD103" s="77"/>
      <c r="GE103" s="77"/>
      <c r="GF103" s="77"/>
      <c r="GG103" s="77"/>
      <c r="GH103" s="77"/>
      <c r="GI103" s="77"/>
      <c r="GJ103" s="77">
        <f t="shared" si="15"/>
        <v>73</v>
      </c>
      <c r="GK103" s="77">
        <f t="shared" si="16"/>
        <v>0</v>
      </c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</row>
    <row r="104" spans="1:212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FY104" s="78" t="s">
        <v>205</v>
      </c>
      <c r="FZ104" s="77">
        <f t="shared" si="14"/>
        <v>74</v>
      </c>
      <c r="GA104" s="77"/>
      <c r="GB104" s="77"/>
      <c r="GC104" s="77"/>
      <c r="GD104" s="77"/>
      <c r="GE104" s="77"/>
      <c r="GF104" s="77"/>
      <c r="GG104" s="77"/>
      <c r="GH104" s="77"/>
      <c r="GI104" s="77"/>
      <c r="GJ104" s="77">
        <f t="shared" si="15"/>
        <v>74</v>
      </c>
      <c r="GK104" s="77">
        <f t="shared" si="16"/>
        <v>0</v>
      </c>
      <c r="GL104" s="77"/>
      <c r="GM104" s="77"/>
      <c r="GN104" s="77">
        <v>1</v>
      </c>
      <c r="GO104" s="77"/>
      <c r="GP104" s="77">
        <v>1</v>
      </c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</row>
    <row r="105" spans="1:212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FY105" s="78" t="s">
        <v>206</v>
      </c>
      <c r="FZ105" s="77">
        <f t="shared" si="14"/>
        <v>75</v>
      </c>
      <c r="GA105" s="77"/>
      <c r="GB105" s="77"/>
      <c r="GC105" s="77"/>
      <c r="GD105" s="77"/>
      <c r="GE105" s="77"/>
      <c r="GF105" s="77"/>
      <c r="GG105" s="77"/>
      <c r="GH105" s="77"/>
      <c r="GI105" s="77"/>
      <c r="GJ105" s="77">
        <f t="shared" si="15"/>
        <v>75</v>
      </c>
      <c r="GK105" s="77">
        <f t="shared" si="16"/>
        <v>0</v>
      </c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</row>
    <row r="106" spans="1:212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FY106" s="78" t="s">
        <v>207</v>
      </c>
      <c r="FZ106" s="77">
        <f t="shared" si="14"/>
        <v>76</v>
      </c>
      <c r="GA106" s="77"/>
      <c r="GB106" s="77"/>
      <c r="GC106" s="77"/>
      <c r="GD106" s="77"/>
      <c r="GE106" s="77"/>
      <c r="GF106" s="77"/>
      <c r="GG106" s="77"/>
      <c r="GH106" s="77"/>
      <c r="GI106" s="77"/>
      <c r="GJ106" s="77">
        <f t="shared" si="15"/>
        <v>76</v>
      </c>
      <c r="GK106" s="77">
        <f t="shared" si="16"/>
        <v>0</v>
      </c>
      <c r="GL106" s="77"/>
      <c r="GM106" s="77"/>
      <c r="GN106" s="77"/>
      <c r="GO106" s="77">
        <v>1</v>
      </c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</row>
    <row r="107" spans="1:212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FY107" s="78" t="s">
        <v>208</v>
      </c>
      <c r="FZ107" s="77">
        <f t="shared" si="14"/>
        <v>77</v>
      </c>
      <c r="GA107" s="77"/>
      <c r="GB107" s="77"/>
      <c r="GC107" s="77"/>
      <c r="GD107" s="77"/>
      <c r="GE107" s="77"/>
      <c r="GF107" s="77"/>
      <c r="GG107" s="77"/>
      <c r="GH107" s="77"/>
      <c r="GI107" s="77"/>
      <c r="GJ107" s="77">
        <f t="shared" si="15"/>
        <v>77</v>
      </c>
      <c r="GK107" s="77">
        <f t="shared" si="16"/>
        <v>0</v>
      </c>
      <c r="GL107" s="77"/>
      <c r="GM107" s="77"/>
      <c r="GN107" s="77"/>
      <c r="GO107" s="77"/>
      <c r="GP107" s="77">
        <v>1</v>
      </c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</row>
    <row r="108" spans="1:212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FY108" s="78" t="s">
        <v>209</v>
      </c>
      <c r="FZ108" s="77">
        <f t="shared" si="14"/>
        <v>78</v>
      </c>
      <c r="GA108" s="77"/>
      <c r="GB108" s="77"/>
      <c r="GC108" s="77"/>
      <c r="GD108" s="77"/>
      <c r="GE108" s="77"/>
      <c r="GF108" s="77"/>
      <c r="GG108" s="77"/>
      <c r="GH108" s="77"/>
      <c r="GI108" s="77"/>
      <c r="GJ108" s="77">
        <f t="shared" si="15"/>
        <v>78</v>
      </c>
      <c r="GK108" s="77">
        <f t="shared" si="16"/>
        <v>0</v>
      </c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</row>
    <row r="109" spans="1:212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FY109" s="78" t="s">
        <v>210</v>
      </c>
      <c r="FZ109" s="77">
        <f t="shared" si="14"/>
        <v>79</v>
      </c>
      <c r="GA109" s="77"/>
      <c r="GB109" s="77"/>
      <c r="GC109" s="77"/>
      <c r="GD109" s="77"/>
      <c r="GE109" s="77"/>
      <c r="GF109" s="77"/>
      <c r="GG109" s="77"/>
      <c r="GH109" s="77"/>
      <c r="GI109" s="77"/>
      <c r="GJ109" s="77">
        <f t="shared" si="15"/>
        <v>79</v>
      </c>
      <c r="GK109" s="77">
        <f t="shared" si="16"/>
        <v>0</v>
      </c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</row>
    <row r="110" spans="1:212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FY110" s="78" t="s">
        <v>211</v>
      </c>
      <c r="FZ110" s="77">
        <f t="shared" si="14"/>
        <v>80</v>
      </c>
      <c r="GA110" s="77"/>
      <c r="GB110" s="77"/>
      <c r="GC110" s="77"/>
      <c r="GD110" s="77"/>
      <c r="GE110" s="77"/>
      <c r="GF110" s="77"/>
      <c r="GG110" s="77"/>
      <c r="GH110" s="77"/>
      <c r="GI110" s="77"/>
      <c r="GJ110" s="77">
        <f t="shared" si="15"/>
        <v>80</v>
      </c>
      <c r="GK110" s="77">
        <f t="shared" si="16"/>
        <v>1</v>
      </c>
      <c r="GL110" s="77"/>
      <c r="GM110" s="77">
        <v>1</v>
      </c>
      <c r="GN110" s="77">
        <v>1</v>
      </c>
      <c r="GO110" s="77">
        <v>1</v>
      </c>
      <c r="GP110" s="77">
        <v>1</v>
      </c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</row>
    <row r="111" spans="1:212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FY111" s="78" t="s">
        <v>212</v>
      </c>
      <c r="FZ111" s="77">
        <f t="shared" si="14"/>
        <v>81</v>
      </c>
      <c r="GA111" s="77"/>
      <c r="GB111" s="77"/>
      <c r="GC111" s="77"/>
      <c r="GD111" s="77"/>
      <c r="GE111" s="77"/>
      <c r="GF111" s="77"/>
      <c r="GG111" s="77"/>
      <c r="GH111" s="77"/>
      <c r="GI111" s="77"/>
      <c r="GJ111" s="77">
        <f t="shared" si="15"/>
        <v>81</v>
      </c>
      <c r="GK111" s="77">
        <f t="shared" si="16"/>
        <v>0</v>
      </c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</row>
    <row r="112" spans="1:212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FY112" s="78" t="s">
        <v>213</v>
      </c>
      <c r="FZ112" s="77">
        <f t="shared" si="14"/>
        <v>82</v>
      </c>
      <c r="GA112" s="77"/>
      <c r="GB112" s="77"/>
      <c r="GC112" s="77"/>
      <c r="GD112" s="77"/>
      <c r="GE112" s="77"/>
      <c r="GF112" s="77"/>
      <c r="GG112" s="77"/>
      <c r="GH112" s="77"/>
      <c r="GI112" s="77"/>
      <c r="GJ112" s="77">
        <f t="shared" si="15"/>
        <v>82</v>
      </c>
      <c r="GK112" s="77">
        <f t="shared" si="16"/>
        <v>0</v>
      </c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</row>
    <row r="113" spans="1:212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FY113" s="78" t="s">
        <v>214</v>
      </c>
      <c r="FZ113" s="77">
        <f t="shared" si="14"/>
        <v>83</v>
      </c>
      <c r="GA113" s="77"/>
      <c r="GB113" s="77"/>
      <c r="GC113" s="77"/>
      <c r="GD113" s="77"/>
      <c r="GE113" s="77"/>
      <c r="GF113" s="77"/>
      <c r="GG113" s="77"/>
      <c r="GH113" s="77"/>
      <c r="GI113" s="77"/>
      <c r="GJ113" s="77">
        <f t="shared" si="15"/>
        <v>83</v>
      </c>
      <c r="GK113" s="77">
        <f t="shared" si="16"/>
        <v>0</v>
      </c>
      <c r="GL113" s="77"/>
      <c r="GM113" s="77"/>
      <c r="GN113" s="77"/>
      <c r="GO113" s="77"/>
      <c r="GP113" s="77">
        <v>1</v>
      </c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</row>
    <row r="114" spans="1:212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FY114" s="78" t="s">
        <v>215</v>
      </c>
      <c r="FZ114" s="77">
        <f t="shared" si="14"/>
        <v>84</v>
      </c>
      <c r="GA114" s="77"/>
      <c r="GB114" s="77"/>
      <c r="GC114" s="77"/>
      <c r="GD114" s="77"/>
      <c r="GE114" s="77"/>
      <c r="GF114" s="77"/>
      <c r="GG114" s="77"/>
      <c r="GH114" s="77"/>
      <c r="GI114" s="77"/>
      <c r="GJ114" s="77">
        <f t="shared" si="15"/>
        <v>84</v>
      </c>
      <c r="GK114" s="77">
        <f t="shared" si="16"/>
        <v>0</v>
      </c>
      <c r="GL114" s="77"/>
      <c r="GM114" s="77"/>
      <c r="GN114" s="77"/>
      <c r="GO114" s="77">
        <v>1</v>
      </c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</row>
    <row r="115" spans="1:212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FY115" s="78" t="s">
        <v>216</v>
      </c>
      <c r="FZ115" s="77">
        <f t="shared" si="14"/>
        <v>85</v>
      </c>
      <c r="GA115" s="77"/>
      <c r="GB115" s="77"/>
      <c r="GC115" s="77"/>
      <c r="GD115" s="77"/>
      <c r="GE115" s="77"/>
      <c r="GF115" s="77"/>
      <c r="GG115" s="77"/>
      <c r="GH115" s="77"/>
      <c r="GI115" s="77"/>
      <c r="GJ115" s="77">
        <f t="shared" si="15"/>
        <v>85</v>
      </c>
      <c r="GK115" s="77">
        <f t="shared" si="16"/>
        <v>0</v>
      </c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</row>
    <row r="116" spans="1:212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FY116" s="78" t="s">
        <v>217</v>
      </c>
      <c r="FZ116" s="77">
        <f t="shared" si="14"/>
        <v>86</v>
      </c>
      <c r="GA116" s="77"/>
      <c r="GB116" s="77"/>
      <c r="GC116" s="77"/>
      <c r="GD116" s="77"/>
      <c r="GE116" s="77"/>
      <c r="GF116" s="77"/>
      <c r="GG116" s="77"/>
      <c r="GH116" s="77"/>
      <c r="GI116" s="77"/>
      <c r="GJ116" s="77">
        <f t="shared" si="15"/>
        <v>86</v>
      </c>
      <c r="GK116" s="77">
        <f t="shared" si="16"/>
        <v>0</v>
      </c>
      <c r="GL116" s="77"/>
      <c r="GM116" s="77"/>
      <c r="GN116" s="77">
        <v>1</v>
      </c>
      <c r="GO116" s="77"/>
      <c r="GP116" s="77">
        <v>1</v>
      </c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</row>
    <row r="117" spans="1:212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FY117" s="78" t="s">
        <v>218</v>
      </c>
      <c r="FZ117" s="77">
        <f t="shared" si="14"/>
        <v>87</v>
      </c>
      <c r="GA117" s="77"/>
      <c r="GB117" s="77"/>
      <c r="GC117" s="77"/>
      <c r="GD117" s="77"/>
      <c r="GE117" s="77"/>
      <c r="GF117" s="77"/>
      <c r="GG117" s="77"/>
      <c r="GH117" s="77"/>
      <c r="GI117" s="77"/>
      <c r="GJ117" s="77">
        <f t="shared" si="15"/>
        <v>87</v>
      </c>
      <c r="GK117" s="77">
        <f t="shared" si="16"/>
        <v>0</v>
      </c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</row>
    <row r="118" spans="1:212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FY118" s="78" t="s">
        <v>219</v>
      </c>
      <c r="FZ118" s="77">
        <f t="shared" si="14"/>
        <v>88</v>
      </c>
      <c r="GA118" s="77"/>
      <c r="GB118" s="77"/>
      <c r="GC118" s="77"/>
      <c r="GD118" s="77"/>
      <c r="GE118" s="77"/>
      <c r="GF118" s="77"/>
      <c r="GG118" s="77"/>
      <c r="GH118" s="77"/>
      <c r="GI118" s="77"/>
      <c r="GJ118" s="77">
        <f t="shared" si="15"/>
        <v>88</v>
      </c>
      <c r="GK118" s="77">
        <f t="shared" si="16"/>
        <v>0</v>
      </c>
      <c r="GL118" s="77"/>
      <c r="GM118" s="77"/>
      <c r="GN118" s="77"/>
      <c r="GO118" s="77">
        <v>1</v>
      </c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</row>
    <row r="119" spans="1:212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FY119" s="78" t="s">
        <v>220</v>
      </c>
      <c r="FZ119" s="77">
        <f t="shared" si="14"/>
        <v>89</v>
      </c>
      <c r="GA119" s="77"/>
      <c r="GB119" s="77"/>
      <c r="GC119" s="77"/>
      <c r="GD119" s="77"/>
      <c r="GE119" s="77"/>
      <c r="GF119" s="77"/>
      <c r="GG119" s="77"/>
      <c r="GH119" s="77"/>
      <c r="GI119" s="77"/>
      <c r="GJ119" s="77">
        <f t="shared" si="15"/>
        <v>89</v>
      </c>
      <c r="GK119" s="77">
        <f t="shared" si="16"/>
        <v>0</v>
      </c>
      <c r="GL119" s="77"/>
      <c r="GM119" s="77"/>
      <c r="GN119" s="77"/>
      <c r="GO119" s="77"/>
      <c r="GP119" s="77">
        <v>1</v>
      </c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</row>
    <row r="120" spans="1:212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FY120" s="78" t="s">
        <v>221</v>
      </c>
      <c r="FZ120" s="77">
        <f t="shared" si="14"/>
        <v>90</v>
      </c>
      <c r="GA120" s="77"/>
      <c r="GB120" s="77"/>
      <c r="GC120" s="77"/>
      <c r="GD120" s="77"/>
      <c r="GE120" s="77"/>
      <c r="GF120" s="77"/>
      <c r="GG120" s="77"/>
      <c r="GH120" s="77"/>
      <c r="GI120" s="77"/>
      <c r="GJ120" s="77">
        <f t="shared" si="15"/>
        <v>90</v>
      </c>
      <c r="GK120" s="77">
        <f t="shared" si="16"/>
        <v>0</v>
      </c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</row>
    <row r="121" spans="1:212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FY121" s="78" t="s">
        <v>222</v>
      </c>
      <c r="FZ121" s="77">
        <f t="shared" si="14"/>
        <v>91</v>
      </c>
      <c r="GA121" s="77"/>
      <c r="GB121" s="77"/>
      <c r="GC121" s="77"/>
      <c r="GD121" s="77"/>
      <c r="GE121" s="77"/>
      <c r="GF121" s="77"/>
      <c r="GG121" s="77"/>
      <c r="GH121" s="77"/>
      <c r="GI121" s="77"/>
      <c r="GJ121" s="77">
        <f t="shared" si="15"/>
        <v>91</v>
      </c>
      <c r="GK121" s="77">
        <f t="shared" si="16"/>
        <v>0</v>
      </c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</row>
    <row r="122" spans="1:212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FY122" s="78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>
        <f t="shared" si="15"/>
        <v>92</v>
      </c>
      <c r="GK122" s="77">
        <f t="shared" si="16"/>
        <v>1</v>
      </c>
      <c r="GL122" s="77"/>
      <c r="GM122" s="77">
        <v>1</v>
      </c>
      <c r="GN122" s="77">
        <v>1</v>
      </c>
      <c r="GO122" s="77">
        <v>1</v>
      </c>
      <c r="GP122" s="77">
        <v>1</v>
      </c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</row>
    <row r="123" spans="1:212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FY123" s="78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>
        <f t="shared" si="15"/>
        <v>93</v>
      </c>
      <c r="GK123" s="77">
        <f t="shared" si="16"/>
        <v>0</v>
      </c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</row>
    <row r="124" spans="1:212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FY124" s="78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>
        <f t="shared" si="15"/>
        <v>94</v>
      </c>
      <c r="GK124" s="77">
        <f t="shared" si="16"/>
        <v>0</v>
      </c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</row>
    <row r="125" spans="1:212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FY125" s="78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>
        <f t="shared" si="15"/>
        <v>95</v>
      </c>
      <c r="GK125" s="77">
        <f t="shared" si="16"/>
        <v>0</v>
      </c>
      <c r="GL125" s="77"/>
      <c r="GM125" s="77"/>
      <c r="GN125" s="77"/>
      <c r="GO125" s="77"/>
      <c r="GP125" s="77">
        <v>1</v>
      </c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</row>
    <row r="126" spans="1:212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FY126" s="78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>
        <f t="shared" si="15"/>
        <v>96</v>
      </c>
      <c r="GK126" s="77">
        <f t="shared" si="16"/>
        <v>0</v>
      </c>
      <c r="GL126" s="77"/>
      <c r="GM126" s="77"/>
      <c r="GN126" s="77"/>
      <c r="GO126" s="77">
        <v>1</v>
      </c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</row>
    <row r="127" spans="1:212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FY127" s="78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>
        <f t="shared" si="15"/>
        <v>97</v>
      </c>
      <c r="GK127" s="77">
        <f t="shared" si="16"/>
        <v>0</v>
      </c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</row>
    <row r="128" spans="1:212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FY128" s="78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>
        <f t="shared" si="15"/>
        <v>98</v>
      </c>
      <c r="GK128" s="77">
        <f t="shared" si="16"/>
        <v>0</v>
      </c>
      <c r="GL128" s="77"/>
      <c r="GM128" s="77"/>
      <c r="GN128" s="77">
        <v>1</v>
      </c>
      <c r="GO128" s="77"/>
      <c r="GP128" s="77">
        <v>1</v>
      </c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</row>
    <row r="129" spans="1:212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FY129" s="78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>
        <f t="shared" si="15"/>
        <v>99</v>
      </c>
      <c r="GK129" s="77">
        <f t="shared" si="16"/>
        <v>0</v>
      </c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</row>
    <row r="130" spans="1:212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FY130" s="78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>
        <f t="shared" si="15"/>
        <v>100</v>
      </c>
      <c r="GK130" s="77">
        <f t="shared" si="16"/>
        <v>0</v>
      </c>
      <c r="GL130" s="77"/>
      <c r="GM130" s="77"/>
      <c r="GN130" s="77"/>
      <c r="GO130" s="77">
        <v>1</v>
      </c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</row>
    <row r="131" spans="1:212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FY131" s="78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>
        <f t="shared" si="15"/>
        <v>101</v>
      </c>
      <c r="GK131" s="77">
        <f t="shared" si="16"/>
        <v>0</v>
      </c>
      <c r="GL131" s="77"/>
      <c r="GM131" s="77"/>
      <c r="GN131" s="77"/>
      <c r="GO131" s="77"/>
      <c r="GP131" s="77">
        <v>1</v>
      </c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</row>
    <row r="132" spans="1:212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FY132" s="78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>
        <f aca="true" t="shared" si="17" ref="GJ132:GJ173">+GJ131+1</f>
        <v>102</v>
      </c>
      <c r="GK132" s="77">
        <f t="shared" si="16"/>
        <v>0</v>
      </c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</row>
    <row r="133" spans="1:212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FY133" s="78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>
        <f t="shared" si="17"/>
        <v>103</v>
      </c>
      <c r="GK133" s="77">
        <f aca="true" t="shared" si="18" ref="GK133:GK173">+IF($C$8=$GM$1,GM133,IF($C$8=$GN$1,GN133,IF($C$8=$GO$1,GO133,IF($C$8=$GP$1,GP133,0))))</f>
        <v>0</v>
      </c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</row>
    <row r="134" spans="1:212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FY134" s="78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>
        <f t="shared" si="17"/>
        <v>104</v>
      </c>
      <c r="GK134" s="77">
        <f t="shared" si="18"/>
        <v>1</v>
      </c>
      <c r="GL134" s="77"/>
      <c r="GM134" s="77">
        <v>1</v>
      </c>
      <c r="GN134" s="77">
        <v>1</v>
      </c>
      <c r="GO134" s="77">
        <v>1</v>
      </c>
      <c r="GP134" s="77">
        <v>1</v>
      </c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</row>
    <row r="135" spans="1:212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FY135" s="78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>
        <f t="shared" si="17"/>
        <v>105</v>
      </c>
      <c r="GK135" s="77">
        <f t="shared" si="18"/>
        <v>0</v>
      </c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</row>
    <row r="136" spans="1:212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FY136" s="78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>
        <f t="shared" si="17"/>
        <v>106</v>
      </c>
      <c r="GK136" s="77">
        <f t="shared" si="18"/>
        <v>0</v>
      </c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</row>
    <row r="137" spans="1:212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FY137" s="78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>
        <f t="shared" si="17"/>
        <v>107</v>
      </c>
      <c r="GK137" s="77">
        <f t="shared" si="18"/>
        <v>0</v>
      </c>
      <c r="GL137" s="77"/>
      <c r="GM137" s="77"/>
      <c r="GN137" s="77"/>
      <c r="GO137" s="77"/>
      <c r="GP137" s="77">
        <v>1</v>
      </c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</row>
    <row r="138" spans="1:212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FY138" s="78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>
        <f t="shared" si="17"/>
        <v>108</v>
      </c>
      <c r="GK138" s="77">
        <f t="shared" si="18"/>
        <v>0</v>
      </c>
      <c r="GL138" s="77"/>
      <c r="GM138" s="77"/>
      <c r="GN138" s="77"/>
      <c r="GO138" s="77">
        <v>1</v>
      </c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</row>
    <row r="139" spans="1:212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FY139" s="78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>
        <f t="shared" si="17"/>
        <v>109</v>
      </c>
      <c r="GK139" s="77">
        <f t="shared" si="18"/>
        <v>0</v>
      </c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</row>
    <row r="140" spans="1:212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FY140" s="78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>
        <f t="shared" si="17"/>
        <v>110</v>
      </c>
      <c r="GK140" s="77">
        <f t="shared" si="18"/>
        <v>0</v>
      </c>
      <c r="GL140" s="77"/>
      <c r="GM140" s="77"/>
      <c r="GN140" s="77">
        <v>1</v>
      </c>
      <c r="GO140" s="77"/>
      <c r="GP140" s="77">
        <v>1</v>
      </c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</row>
    <row r="141" spans="1:212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FY141" s="78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>
        <f t="shared" si="17"/>
        <v>111</v>
      </c>
      <c r="GK141" s="77">
        <f t="shared" si="18"/>
        <v>0</v>
      </c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</row>
    <row r="142" spans="1:212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FY142" s="78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>
        <f t="shared" si="17"/>
        <v>112</v>
      </c>
      <c r="GK142" s="77">
        <f t="shared" si="18"/>
        <v>0</v>
      </c>
      <c r="GL142" s="77"/>
      <c r="GM142" s="77"/>
      <c r="GN142" s="77"/>
      <c r="GO142" s="77">
        <v>1</v>
      </c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</row>
    <row r="143" spans="1:212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FY143" s="78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>
        <f t="shared" si="17"/>
        <v>113</v>
      </c>
      <c r="GK143" s="77">
        <f t="shared" si="18"/>
        <v>0</v>
      </c>
      <c r="GL143" s="77"/>
      <c r="GM143" s="77"/>
      <c r="GN143" s="77"/>
      <c r="GO143" s="77"/>
      <c r="GP143" s="77">
        <v>1</v>
      </c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</row>
    <row r="144" spans="1:212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FY144" s="78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>
        <f t="shared" si="17"/>
        <v>114</v>
      </c>
      <c r="GK144" s="77">
        <f t="shared" si="18"/>
        <v>0</v>
      </c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</row>
    <row r="145" spans="1:212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FY145" s="78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>
        <f t="shared" si="17"/>
        <v>115</v>
      </c>
      <c r="GK145" s="77">
        <f t="shared" si="18"/>
        <v>0</v>
      </c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</row>
    <row r="146" spans="1:212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FY146" s="78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>
        <f t="shared" si="17"/>
        <v>116</v>
      </c>
      <c r="GK146" s="77">
        <f t="shared" si="18"/>
        <v>1</v>
      </c>
      <c r="GL146" s="77"/>
      <c r="GM146" s="77">
        <v>1</v>
      </c>
      <c r="GN146" s="77">
        <v>1</v>
      </c>
      <c r="GO146" s="77">
        <v>1</v>
      </c>
      <c r="GP146" s="77">
        <v>1</v>
      </c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</row>
    <row r="147" spans="1:212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FY147" s="78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>
        <f t="shared" si="17"/>
        <v>117</v>
      </c>
      <c r="GK147" s="77">
        <f t="shared" si="18"/>
        <v>0</v>
      </c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</row>
    <row r="148" spans="1:212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FY148" s="78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>
        <f t="shared" si="17"/>
        <v>118</v>
      </c>
      <c r="GK148" s="77">
        <f t="shared" si="18"/>
        <v>0</v>
      </c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</row>
    <row r="149" spans="1:212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FY149" s="78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>
        <f t="shared" si="17"/>
        <v>119</v>
      </c>
      <c r="GK149" s="77">
        <f t="shared" si="18"/>
        <v>0</v>
      </c>
      <c r="GL149" s="77"/>
      <c r="GM149" s="77"/>
      <c r="GN149" s="77"/>
      <c r="GO149" s="77"/>
      <c r="GP149" s="77">
        <v>1</v>
      </c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</row>
    <row r="150" spans="1:212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FY150" s="78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>
        <f t="shared" si="17"/>
        <v>120</v>
      </c>
      <c r="GK150" s="77">
        <f t="shared" si="18"/>
        <v>0</v>
      </c>
      <c r="GL150" s="77"/>
      <c r="GM150" s="77"/>
      <c r="GN150" s="77"/>
      <c r="GO150" s="77">
        <v>1</v>
      </c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</row>
    <row r="151" spans="1:212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FY151" s="78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>
        <f t="shared" si="17"/>
        <v>121</v>
      </c>
      <c r="GK151" s="77">
        <f t="shared" si="18"/>
        <v>0</v>
      </c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</row>
    <row r="152" spans="1:212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FY152" s="78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>
        <f t="shared" si="17"/>
        <v>122</v>
      </c>
      <c r="GK152" s="77">
        <f t="shared" si="18"/>
        <v>0</v>
      </c>
      <c r="GL152" s="77"/>
      <c r="GM152" s="77"/>
      <c r="GN152" s="77">
        <v>1</v>
      </c>
      <c r="GO152" s="77"/>
      <c r="GP152" s="77">
        <v>1</v>
      </c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</row>
    <row r="153" spans="1:212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FY153" s="78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>
        <f t="shared" si="17"/>
        <v>123</v>
      </c>
      <c r="GK153" s="77">
        <f t="shared" si="18"/>
        <v>0</v>
      </c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</row>
    <row r="154" spans="1:212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FY154" s="78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>
        <f t="shared" si="17"/>
        <v>124</v>
      </c>
      <c r="GK154" s="77">
        <f t="shared" si="18"/>
        <v>0</v>
      </c>
      <c r="GL154" s="77"/>
      <c r="GM154" s="77"/>
      <c r="GN154" s="77"/>
      <c r="GO154" s="77">
        <v>1</v>
      </c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</row>
    <row r="155" spans="1:212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FY155" s="78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>
        <f t="shared" si="17"/>
        <v>125</v>
      </c>
      <c r="GK155" s="77">
        <f t="shared" si="18"/>
        <v>0</v>
      </c>
      <c r="GL155" s="77"/>
      <c r="GM155" s="77"/>
      <c r="GN155" s="77"/>
      <c r="GO155" s="77"/>
      <c r="GP155" s="77">
        <v>1</v>
      </c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</row>
    <row r="156" spans="1:212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FY156" s="78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>
        <f t="shared" si="17"/>
        <v>126</v>
      </c>
      <c r="GK156" s="77">
        <f t="shared" si="18"/>
        <v>0</v>
      </c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</row>
    <row r="157" spans="1:212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FY157" s="78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>
        <f t="shared" si="17"/>
        <v>127</v>
      </c>
      <c r="GK157" s="77">
        <f t="shared" si="18"/>
        <v>0</v>
      </c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</row>
    <row r="158" spans="1:212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FY158" s="78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>
        <f t="shared" si="17"/>
        <v>128</v>
      </c>
      <c r="GK158" s="77">
        <f t="shared" si="18"/>
        <v>1</v>
      </c>
      <c r="GL158" s="77"/>
      <c r="GM158" s="77">
        <v>1</v>
      </c>
      <c r="GN158" s="77">
        <v>1</v>
      </c>
      <c r="GO158" s="77">
        <v>1</v>
      </c>
      <c r="GP158" s="77">
        <v>1</v>
      </c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</row>
    <row r="159" spans="1:212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FY159" s="78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>
        <f t="shared" si="17"/>
        <v>129</v>
      </c>
      <c r="GK159" s="77">
        <f t="shared" si="18"/>
        <v>0</v>
      </c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</row>
    <row r="160" spans="1:212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FY160" s="78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>
        <f t="shared" si="17"/>
        <v>130</v>
      </c>
      <c r="GK160" s="77">
        <f t="shared" si="18"/>
        <v>0</v>
      </c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</row>
    <row r="161" spans="1:212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FY161" s="78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>
        <f t="shared" si="17"/>
        <v>131</v>
      </c>
      <c r="GK161" s="77">
        <f t="shared" si="18"/>
        <v>0</v>
      </c>
      <c r="GL161" s="77"/>
      <c r="GM161" s="77"/>
      <c r="GN161" s="77"/>
      <c r="GO161" s="77"/>
      <c r="GP161" s="77">
        <v>1</v>
      </c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</row>
    <row r="162" spans="1:212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FY162" s="78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>
        <f t="shared" si="17"/>
        <v>132</v>
      </c>
      <c r="GK162" s="77">
        <f t="shared" si="18"/>
        <v>0</v>
      </c>
      <c r="GL162" s="77"/>
      <c r="GM162" s="77"/>
      <c r="GN162" s="77"/>
      <c r="GO162" s="77">
        <v>1</v>
      </c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</row>
    <row r="163" spans="1:212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FY163" s="78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>
        <f t="shared" si="17"/>
        <v>133</v>
      </c>
      <c r="GK163" s="77">
        <f t="shared" si="18"/>
        <v>0</v>
      </c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</row>
    <row r="164" spans="1:212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FY164" s="78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>
        <f t="shared" si="17"/>
        <v>134</v>
      </c>
      <c r="GK164" s="77">
        <f t="shared" si="18"/>
        <v>0</v>
      </c>
      <c r="GL164" s="77"/>
      <c r="GM164" s="77"/>
      <c r="GN164" s="77">
        <v>1</v>
      </c>
      <c r="GO164" s="77"/>
      <c r="GP164" s="77">
        <v>1</v>
      </c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</row>
    <row r="165" spans="1:212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FY165" s="78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>
        <f t="shared" si="17"/>
        <v>135</v>
      </c>
      <c r="GK165" s="77">
        <f t="shared" si="18"/>
        <v>0</v>
      </c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</row>
    <row r="166" spans="1:212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FY166" s="78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>
        <f t="shared" si="17"/>
        <v>136</v>
      </c>
      <c r="GK166" s="77">
        <f t="shared" si="18"/>
        <v>0</v>
      </c>
      <c r="GL166" s="77"/>
      <c r="GM166" s="77"/>
      <c r="GN166" s="77"/>
      <c r="GO166" s="77">
        <v>1</v>
      </c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</row>
    <row r="167" spans="1:212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FY167" s="78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>
        <f t="shared" si="17"/>
        <v>137</v>
      </c>
      <c r="GK167" s="77">
        <f t="shared" si="18"/>
        <v>0</v>
      </c>
      <c r="GL167" s="77"/>
      <c r="GM167" s="77"/>
      <c r="GN167" s="77"/>
      <c r="GO167" s="77"/>
      <c r="GP167" s="77">
        <v>1</v>
      </c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</row>
    <row r="168" spans="1:212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FY168" s="78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>
        <f t="shared" si="17"/>
        <v>138</v>
      </c>
      <c r="GK168" s="77">
        <f t="shared" si="18"/>
        <v>0</v>
      </c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</row>
    <row r="169" spans="1:212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FY169" s="78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>
        <f t="shared" si="17"/>
        <v>139</v>
      </c>
      <c r="GK169" s="77">
        <f t="shared" si="18"/>
        <v>0</v>
      </c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</row>
    <row r="170" spans="1:212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FY170" s="78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>
        <f t="shared" si="17"/>
        <v>140</v>
      </c>
      <c r="GK170" s="77">
        <f t="shared" si="18"/>
        <v>1</v>
      </c>
      <c r="GL170" s="77"/>
      <c r="GM170" s="77">
        <v>1</v>
      </c>
      <c r="GN170" s="77">
        <v>1</v>
      </c>
      <c r="GO170" s="77">
        <v>1</v>
      </c>
      <c r="GP170" s="77">
        <v>1</v>
      </c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</row>
    <row r="171" spans="1:212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FY171" s="78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>
        <f t="shared" si="17"/>
        <v>141</v>
      </c>
      <c r="GK171" s="77">
        <f t="shared" si="18"/>
        <v>0</v>
      </c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</row>
    <row r="172" spans="1:212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FY172" s="78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>
        <f t="shared" si="17"/>
        <v>142</v>
      </c>
      <c r="GK172" s="77">
        <f t="shared" si="18"/>
        <v>0</v>
      </c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</row>
    <row r="173" spans="1:212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FY173" s="78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>
        <f t="shared" si="17"/>
        <v>143</v>
      </c>
      <c r="GK173" s="77">
        <f t="shared" si="18"/>
        <v>0</v>
      </c>
      <c r="GL173" s="77"/>
      <c r="GM173" s="77"/>
      <c r="GN173" s="77"/>
      <c r="GO173" s="77"/>
      <c r="GP173" s="77">
        <v>1</v>
      </c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</row>
    <row r="174" spans="1:212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FY174" s="78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>
        <v>1</v>
      </c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</row>
    <row r="175" spans="1:212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FY175" s="78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</row>
    <row r="176" spans="1:212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FY176" s="78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>
        <v>1</v>
      </c>
      <c r="GO176" s="77"/>
      <c r="GP176" s="77">
        <v>1</v>
      </c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</row>
    <row r="177" spans="1:212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FY177" s="78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</row>
    <row r="178" spans="1:212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FY178" s="78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>
        <v>1</v>
      </c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</row>
    <row r="179" spans="1:212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FY179" s="78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>
        <v>1</v>
      </c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</row>
    <row r="180" spans="1:212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FY180" s="78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</row>
    <row r="181" spans="1:212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FY181" s="78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</row>
    <row r="182" spans="1:212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FY182" s="78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>
        <v>1</v>
      </c>
      <c r="GN182" s="77">
        <v>1</v>
      </c>
      <c r="GO182" s="77">
        <v>1</v>
      </c>
      <c r="GP182" s="77">
        <v>1</v>
      </c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</row>
    <row r="183" spans="1:212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FY183" s="78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>
        <v>1</v>
      </c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</row>
    <row r="184" spans="1:212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FY184" s="78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>
        <v>1</v>
      </c>
      <c r="GN184" s="77">
        <v>1</v>
      </c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</row>
    <row r="185" spans="1:212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FY185" s="78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>
        <v>1</v>
      </c>
      <c r="GN185" s="77"/>
      <c r="GO185" s="77">
        <v>1</v>
      </c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</row>
    <row r="186" spans="1:212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FY186" s="78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>
        <v>1</v>
      </c>
      <c r="GN186" s="77">
        <v>1</v>
      </c>
      <c r="GO186" s="77"/>
      <c r="GP186" s="77">
        <v>1</v>
      </c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</row>
    <row r="187" spans="1:212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FY187" s="78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>
        <v>1</v>
      </c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</row>
    <row r="188" spans="1:212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FY188" s="78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>
        <v>1</v>
      </c>
      <c r="GN188" s="77">
        <v>1</v>
      </c>
      <c r="GO188" s="77">
        <v>1</v>
      </c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</row>
    <row r="189" spans="1:212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FY189" s="78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>
        <v>1</v>
      </c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</row>
    <row r="190" spans="1:212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FY190" s="78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>
        <v>1</v>
      </c>
      <c r="GN190" s="77">
        <v>1</v>
      </c>
      <c r="GO190" s="77"/>
      <c r="GP190" s="77">
        <v>1</v>
      </c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</row>
    <row r="191" spans="1:212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FY191" s="78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>
        <v>1</v>
      </c>
      <c r="GN191" s="77"/>
      <c r="GO191" s="77">
        <v>1</v>
      </c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</row>
    <row r="192" spans="1:212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FY192" s="78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>
        <v>1</v>
      </c>
      <c r="GN192" s="77">
        <v>1</v>
      </c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</row>
    <row r="193" spans="1:212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FY193" s="78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>
        <v>1</v>
      </c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</row>
    <row r="194" spans="1:212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FY194" s="78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>
        <v>1</v>
      </c>
      <c r="GN194" s="77">
        <v>1</v>
      </c>
      <c r="GO194" s="77">
        <v>1</v>
      </c>
      <c r="GP194" s="77">
        <v>1</v>
      </c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</row>
    <row r="195" spans="1:212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FY195" s="78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>
        <v>1</v>
      </c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</row>
    <row r="196" spans="1:212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FY196" s="78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>
        <v>1</v>
      </c>
      <c r="GN196" s="77">
        <v>1</v>
      </c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</row>
    <row r="197" spans="1:212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FY197" s="78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>
        <v>1</v>
      </c>
      <c r="GN197" s="77"/>
      <c r="GO197" s="77">
        <v>1</v>
      </c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</row>
    <row r="198" spans="1:212" ht="1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FY198" s="78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>
        <v>1</v>
      </c>
      <c r="GN198" s="77">
        <v>1</v>
      </c>
      <c r="GO198" s="77"/>
      <c r="GP198" s="77">
        <v>1</v>
      </c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</row>
    <row r="199" spans="1:212" ht="1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FY199" s="78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>
        <v>1</v>
      </c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</row>
    <row r="200" spans="1:212" ht="1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FY200" s="78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>
        <v>1</v>
      </c>
      <c r="GN200" s="77">
        <v>1</v>
      </c>
      <c r="GO200" s="77">
        <v>1</v>
      </c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</row>
    <row r="201" spans="1:212" ht="1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FY201" s="78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>
        <v>1</v>
      </c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</row>
    <row r="202" spans="1:212" ht="1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FY202" s="78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>
        <v>1</v>
      </c>
      <c r="GN202" s="77">
        <v>1</v>
      </c>
      <c r="GO202" s="77"/>
      <c r="GP202" s="77">
        <v>1</v>
      </c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</row>
    <row r="203" spans="1:212" ht="1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FY203" s="78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>
        <v>1</v>
      </c>
      <c r="GN203" s="77"/>
      <c r="GO203" s="77">
        <v>1</v>
      </c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</row>
    <row r="204" spans="1:212" ht="1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FY204" s="78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>
        <v>1</v>
      </c>
      <c r="GN204" s="77">
        <v>1</v>
      </c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</row>
    <row r="205" spans="1:212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FY205" s="78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>
        <v>1</v>
      </c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</row>
    <row r="206" spans="1:212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FY206" s="78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>
        <v>1</v>
      </c>
      <c r="GN206" s="77">
        <v>1</v>
      </c>
      <c r="GO206" s="77">
        <v>1</v>
      </c>
      <c r="GP206" s="77">
        <v>1</v>
      </c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</row>
    <row r="207" spans="1:212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FY207" s="78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>
        <v>1</v>
      </c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</row>
    <row r="208" spans="1:212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FY208" s="78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>
        <v>1</v>
      </c>
      <c r="GN208" s="77">
        <v>1</v>
      </c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</row>
    <row r="209" spans="1:212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FY209" s="78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>
        <v>1</v>
      </c>
      <c r="GN209" s="77"/>
      <c r="GO209" s="77">
        <v>1</v>
      </c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</row>
    <row r="210" spans="1:212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FY210" s="78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>
        <v>1</v>
      </c>
      <c r="GN210" s="77">
        <v>1</v>
      </c>
      <c r="GO210" s="77"/>
      <c r="GP210" s="77">
        <v>1</v>
      </c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</row>
    <row r="211" spans="1:212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FY211" s="78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>
        <v>1</v>
      </c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</row>
    <row r="212" spans="1:212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FY212" s="78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>
        <v>1</v>
      </c>
      <c r="GN212" s="77">
        <v>1</v>
      </c>
      <c r="GO212" s="77">
        <v>1</v>
      </c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</row>
    <row r="213" spans="1:212" ht="1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FY213" s="78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>
        <v>1</v>
      </c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</row>
    <row r="214" spans="1:212" ht="1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FY214" s="78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>
        <v>1</v>
      </c>
      <c r="GN214" s="77">
        <v>1</v>
      </c>
      <c r="GO214" s="77"/>
      <c r="GP214" s="77">
        <v>1</v>
      </c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</row>
    <row r="215" spans="1:212" ht="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FY215" s="78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>
        <v>1</v>
      </c>
      <c r="GN215" s="77"/>
      <c r="GO215" s="77">
        <v>1</v>
      </c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</row>
    <row r="216" spans="1:212" ht="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FY216" s="78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>
        <v>1</v>
      </c>
      <c r="GN216" s="77">
        <v>1</v>
      </c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</row>
    <row r="217" spans="1:212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FY217" s="78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>
        <v>1</v>
      </c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</row>
    <row r="218" spans="1:212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FY218" s="78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>
        <v>1</v>
      </c>
      <c r="GN218" s="77">
        <v>1</v>
      </c>
      <c r="GO218" s="77">
        <v>1</v>
      </c>
      <c r="GP218" s="77">
        <v>1</v>
      </c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</row>
    <row r="219" spans="1:212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FY219" s="78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>
        <v>1</v>
      </c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</row>
    <row r="220" spans="1:212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FY220" s="78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>
        <v>1</v>
      </c>
      <c r="GN220" s="77">
        <v>1</v>
      </c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</row>
    <row r="221" spans="1:212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FY221" s="78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>
        <v>1</v>
      </c>
      <c r="GN221" s="77"/>
      <c r="GO221" s="77">
        <v>1</v>
      </c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</row>
    <row r="222" spans="1:212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FY222" s="78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>
        <v>1</v>
      </c>
      <c r="GN222" s="77"/>
      <c r="GO222" s="77"/>
      <c r="GP222" s="77">
        <v>1</v>
      </c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</row>
    <row r="223" spans="1:212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FY223" s="78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>
        <v>1</v>
      </c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</row>
    <row r="224" spans="1:212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FY224" s="78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>
        <v>1</v>
      </c>
      <c r="GN224" s="77"/>
      <c r="GO224" s="77">
        <v>1</v>
      </c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</row>
    <row r="225" spans="1:212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FY225" s="78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>
        <v>1</v>
      </c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</row>
    <row r="226" spans="1:212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FY226" s="78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>
        <v>1</v>
      </c>
      <c r="GN226" s="77"/>
      <c r="GO226" s="77"/>
      <c r="GP226" s="77">
        <v>1</v>
      </c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</row>
    <row r="227" spans="1:212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FY227" s="78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>
        <v>1</v>
      </c>
      <c r="GN227" s="77"/>
      <c r="GO227" s="77">
        <v>1</v>
      </c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</row>
    <row r="228" spans="1:212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FY228" s="78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>
        <v>1</v>
      </c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</row>
    <row r="229" spans="1:212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FY229" s="78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>
        <v>1</v>
      </c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</row>
    <row r="230" spans="1:212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FY230" s="78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</row>
    <row r="231" spans="1:212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FY231" s="78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>
        <v>1</v>
      </c>
      <c r="GP231" s="77">
        <v>1</v>
      </c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</row>
    <row r="232" spans="1:212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FY232" s="78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</row>
    <row r="233" spans="1:212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FY233" s="78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</row>
    <row r="234" spans="1:212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FY234" s="78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</row>
    <row r="235" spans="1:212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FY235" s="78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</row>
    <row r="236" spans="1:212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FY236" s="78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</row>
    <row r="237" spans="1:212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FY237" s="78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</row>
    <row r="238" spans="1:212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FY238" s="78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</row>
    <row r="239" spans="1:212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FY239" s="78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</row>
    <row r="240" spans="1:212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FY240" s="78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</row>
    <row r="241" spans="1:212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FY241" s="78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</row>
    <row r="242" spans="1:212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FY242" s="78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</row>
    <row r="243" spans="1:212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FY243" s="78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</row>
    <row r="244" spans="1:212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FY244" s="78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</row>
    <row r="245" spans="1:212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FY245" s="78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</row>
    <row r="246" spans="1:212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FY246" s="78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</row>
    <row r="247" spans="1:212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FY247" s="78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</row>
    <row r="248" spans="1:212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FY248" s="78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</row>
    <row r="249" spans="1:212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FY249" s="78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</row>
    <row r="250" spans="1:212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FY250" s="78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</row>
    <row r="251" spans="1:212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FY251" s="78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</row>
    <row r="252" spans="1:212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FY252" s="78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</row>
    <row r="253" spans="1:212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FY253" s="78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</row>
    <row r="254" spans="1:212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FY254" s="78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</row>
    <row r="255" spans="1:212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FY255" s="78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</row>
    <row r="256" spans="1:212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FY256" s="78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</row>
    <row r="257" spans="1:212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FY257" s="78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</row>
    <row r="258" spans="1:212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FY258" s="78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</row>
    <row r="259" spans="1:212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FY259" s="78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</row>
    <row r="260" spans="1:212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FY260" s="78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</row>
    <row r="261" spans="1:212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FY261" s="78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</row>
    <row r="262" spans="1:212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FY262" s="78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</row>
    <row r="263" spans="1:212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FY263" s="78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</row>
    <row r="264" spans="1:212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FY264" s="78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</row>
    <row r="265" spans="1:212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FY265" s="78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</row>
    <row r="266" spans="1:212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FY266" s="78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</row>
    <row r="267" spans="1:212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FY267" s="78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</row>
    <row r="268" spans="1:212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FY268" s="78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</row>
    <row r="269" spans="1:212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FY269" s="78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</row>
    <row r="270" spans="1:212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FY270" s="78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</row>
    <row r="271" spans="1:212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FY271" s="78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</row>
    <row r="272" spans="1:212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FY272" s="78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</row>
    <row r="273" spans="1:212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FY273" s="78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</row>
    <row r="274" spans="1:212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FY274" s="78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</row>
    <row r="275" spans="1:212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FY275" s="78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</row>
    <row r="276" spans="1:212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FY276" s="78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</row>
    <row r="277" spans="1:212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FY277" s="78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</row>
    <row r="278" spans="1:212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FY278" s="78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</row>
    <row r="279" spans="1:212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FY279" s="78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</row>
    <row r="280" spans="1:212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FY280" s="78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</row>
    <row r="281" spans="1:212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FY281" s="78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</row>
    <row r="282" spans="1:212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FY282" s="78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</row>
    <row r="283" spans="1:212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FY283" s="78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</row>
    <row r="284" spans="1:212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FY284" s="78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</row>
    <row r="285" spans="1:212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FY285" s="78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</row>
    <row r="286" spans="1:212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FY286" s="78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</row>
    <row r="287" spans="1:212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FY287" s="78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</row>
    <row r="288" spans="1:212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FY288" s="78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</row>
    <row r="289" spans="1:212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FY289" s="78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</row>
    <row r="290" spans="1:212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FY290" s="78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</row>
    <row r="291" spans="1:212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FY291" s="78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</row>
    <row r="292" spans="1:212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FY292" s="78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</row>
    <row r="293" spans="1:212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FY293" s="78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</row>
    <row r="294" spans="1:212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FY294" s="78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</row>
    <row r="295" spans="1:212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FY295" s="78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</row>
    <row r="296" spans="1:212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FY296" s="78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</row>
    <row r="297" spans="1:212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FY297" s="78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</row>
    <row r="298" spans="1:212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FY298" s="78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</row>
    <row r="299" spans="1:212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FY299" s="78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</row>
    <row r="300" spans="1:212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FY300" s="78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</row>
    <row r="301" spans="1:212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FY301" s="78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</row>
    <row r="302" spans="1:212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FY302" s="78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</row>
    <row r="303" spans="1:212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FY303" s="78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</row>
    <row r="304" spans="1:212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FY304" s="78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</row>
    <row r="305" spans="1:212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FY305" s="78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</row>
    <row r="306" spans="1:212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FY306" s="78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</row>
    <row r="307" spans="1:212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FY307" s="78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</row>
    <row r="308" spans="1:212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FY308" s="78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</row>
    <row r="309" spans="1:212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FY309" s="78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</row>
    <row r="310" spans="1:212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FY310" s="78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</row>
    <row r="311" spans="1:212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FY311" s="78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</row>
    <row r="312" spans="1:212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FY312" s="78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</row>
    <row r="313" spans="1:212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FY313" s="78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</row>
    <row r="314" spans="1:212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FY314" s="78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</row>
    <row r="315" spans="1:212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FY315" s="78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</row>
    <row r="316" spans="1:212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FY316" s="78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</row>
    <row r="317" spans="1:212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FY317" s="78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</row>
    <row r="318" spans="1:212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FY318" s="78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</row>
    <row r="319" spans="1:212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FY319" s="78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</row>
    <row r="320" spans="1:212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FY320" s="78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</row>
    <row r="321" spans="1:212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FY321" s="78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</row>
    <row r="322" spans="1:212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FY322" s="78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</row>
    <row r="323" spans="1:212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FY323" s="78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</row>
    <row r="324" spans="1:212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FY324" s="78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</row>
    <row r="325" spans="1:212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FY325" s="78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</row>
    <row r="326" spans="1:212" ht="1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FY326" s="78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</row>
    <row r="327" spans="1:212" ht="1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FY327" s="78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</row>
    <row r="328" spans="1:212" ht="1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FY328" s="78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</row>
    <row r="329" spans="1:212" ht="1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FY329" s="78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</row>
    <row r="330" spans="1:212" ht="1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FY330" s="78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</row>
    <row r="331" spans="1:212" ht="1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FY331" s="78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</row>
    <row r="332" spans="1:212" ht="1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FY332" s="78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</row>
    <row r="333" spans="1:212" ht="1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FY333" s="78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</row>
    <row r="334" spans="1:212" ht="1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FY334" s="78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</row>
    <row r="335" spans="1:212" ht="1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FY335" s="78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</row>
    <row r="336" spans="1:212" ht="1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FY336" s="78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</row>
    <row r="337" spans="1:212" ht="1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FY337" s="78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</row>
    <row r="338" spans="1:212" ht="1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FY338" s="78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</row>
    <row r="339" spans="1:212" ht="1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FY339" s="78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</row>
    <row r="340" spans="1:212" ht="1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FY340" s="78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</row>
    <row r="341" spans="1:212" ht="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FY341" s="78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</row>
    <row r="342" spans="1:212" ht="1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FY342" s="78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</row>
    <row r="343" spans="1:212" ht="1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FY343" s="78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</row>
    <row r="344" spans="1:212" ht="1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FY344" s="78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</row>
    <row r="345" spans="1:212" ht="1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FY345" s="78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</row>
    <row r="346" spans="1:212" ht="1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FY346" s="78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</row>
    <row r="347" spans="1:212" ht="1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FY347" s="78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</row>
    <row r="348" spans="1:212" ht="1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FY348" s="78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</row>
    <row r="349" spans="1:212" ht="1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FY349" s="78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</row>
    <row r="350" spans="1:212" ht="1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FY350" s="78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</row>
    <row r="351" spans="1:212" ht="1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FY351" s="78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</row>
    <row r="352" spans="1:212" ht="1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FY352" s="78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</row>
    <row r="353" spans="1:212" ht="1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FY353" s="78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</row>
    <row r="354" spans="1:212" ht="1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FY354" s="78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</row>
    <row r="355" spans="1:212" ht="1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FY355" s="78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</row>
    <row r="356" spans="1:212" ht="1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FY356" s="78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</row>
    <row r="357" spans="1:212" ht="1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FY357" s="78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</row>
    <row r="358" spans="1:212" ht="1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FY358" s="78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</row>
    <row r="359" spans="1:212" ht="1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FY359" s="78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</row>
    <row r="360" spans="1:212" ht="1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FY360" s="78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</row>
    <row r="361" spans="1:212" ht="1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FY361" s="78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</row>
    <row r="362" spans="1:212" ht="1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FY362" s="78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</row>
    <row r="363" spans="1:212" ht="1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FY363" s="78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</row>
    <row r="364" spans="1:212" ht="1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FY364" s="78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</row>
    <row r="365" spans="1:212" ht="1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FY365" s="78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</row>
    <row r="366" spans="1:212" ht="1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FY366" s="78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</row>
    <row r="367" spans="1:212" ht="1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FY367" s="78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</row>
    <row r="368" spans="1:212" ht="1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FY368" s="78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</row>
    <row r="369" spans="1:212" ht="1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FY369" s="78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</row>
    <row r="370" spans="1:212" ht="1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FY370" s="78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</row>
    <row r="371" spans="1:212" ht="1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FY371" s="78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</row>
    <row r="372" spans="1:212" ht="1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FY372" s="78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</row>
    <row r="373" spans="181:212" ht="15"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</row>
    <row r="374" spans="181:212" ht="15"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</row>
    <row r="375" spans="181:212" ht="15"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</row>
    <row r="376" spans="181:212" ht="15"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</row>
    <row r="377" spans="181:212" ht="15"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</row>
    <row r="378" spans="181:212" ht="15"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</row>
    <row r="379" spans="181:212" ht="15"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</row>
    <row r="380" spans="181:212" ht="15"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</row>
    <row r="381" spans="181:212" ht="15"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6"/>
      <c r="B1" s="57" t="s">
        <v>81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>
        <v>1</v>
      </c>
      <c r="GN1" s="77">
        <v>2</v>
      </c>
      <c r="GO1" s="77">
        <v>3</v>
      </c>
      <c r="GP1" s="77">
        <v>4</v>
      </c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</row>
    <row r="2" spans="1:212" ht="15">
      <c r="A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FY2" s="78" t="s">
        <v>91</v>
      </c>
      <c r="FZ2" s="77">
        <v>1</v>
      </c>
      <c r="GA2" s="77"/>
      <c r="GB2" s="77"/>
      <c r="GC2" s="77" t="s">
        <v>135</v>
      </c>
      <c r="GD2" s="77">
        <f>VLOOKUP(C4,$FY$2:$FZ$38,2,FALSE)</f>
        <v>3</v>
      </c>
      <c r="GE2" s="77" t="s">
        <v>136</v>
      </c>
      <c r="GF2" s="77"/>
      <c r="GG2" s="77"/>
      <c r="GH2" s="77"/>
      <c r="GI2" s="77"/>
      <c r="GJ2" s="77">
        <v>1</v>
      </c>
      <c r="GK2" s="77">
        <f>+IF($C$8=$GM$1,GM2,IF($C$8=$GN$1,GN2,IF($C$8=$GO$1,GO2,IF($C$8=$GP$1,GP2,0))))</f>
        <v>1</v>
      </c>
      <c r="GL2" s="77"/>
      <c r="GM2" s="77">
        <v>1</v>
      </c>
      <c r="GN2" s="77">
        <v>1</v>
      </c>
      <c r="GO2" s="77">
        <v>1</v>
      </c>
      <c r="GP2" s="77">
        <v>1</v>
      </c>
      <c r="GQ2" s="77"/>
      <c r="GR2" s="77"/>
      <c r="GS2" s="77"/>
      <c r="GT2" s="77">
        <v>1</v>
      </c>
      <c r="GU2" s="77"/>
      <c r="GV2" s="77">
        <v>1</v>
      </c>
      <c r="GW2" s="77"/>
      <c r="GX2" s="77"/>
      <c r="GY2" s="77"/>
      <c r="GZ2" s="77"/>
      <c r="HA2" s="77"/>
      <c r="HB2" s="77"/>
      <c r="HC2" s="77"/>
      <c r="HD2" s="77"/>
    </row>
    <row r="3" spans="1:212" ht="15.75">
      <c r="A3" s="56"/>
      <c r="B3" s="57" t="s">
        <v>82</v>
      </c>
      <c r="C3" s="58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FY3" s="78" t="s">
        <v>92</v>
      </c>
      <c r="FZ3" s="77">
        <f>1+FZ2</f>
        <v>2</v>
      </c>
      <c r="GA3" s="77"/>
      <c r="GB3" s="77"/>
      <c r="GC3" s="77"/>
      <c r="GD3" s="77">
        <f>VLOOKUP(C6,$FY$2:$FZ$38,2,FALSE)</f>
        <v>3</v>
      </c>
      <c r="GE3" s="77" t="s">
        <v>137</v>
      </c>
      <c r="GF3" s="77"/>
      <c r="GG3" s="77"/>
      <c r="GH3" s="77"/>
      <c r="GI3" s="77"/>
      <c r="GJ3" s="77">
        <f>+GJ2+1</f>
        <v>2</v>
      </c>
      <c r="GK3" s="77">
        <f>+IF($C$8=$GM$1,GM3,IF($C$8=$GN$1,GN3,IF($C$8=$GO$1,GO3,IF($C$8=$GP$1,GP3,0))))</f>
        <v>0</v>
      </c>
      <c r="GL3" s="77"/>
      <c r="GM3" s="77"/>
      <c r="GN3" s="77"/>
      <c r="GO3" s="77"/>
      <c r="GP3" s="77"/>
      <c r="GQ3" s="77"/>
      <c r="GR3" s="77"/>
      <c r="GS3" s="77"/>
      <c r="GT3" s="77">
        <v>2</v>
      </c>
      <c r="GU3" s="77"/>
      <c r="GV3" s="77">
        <v>2</v>
      </c>
      <c r="GW3" s="77"/>
      <c r="GX3" s="77"/>
      <c r="GY3" s="77"/>
      <c r="GZ3" s="77"/>
      <c r="HA3" s="77"/>
      <c r="HB3" s="77"/>
      <c r="HC3" s="77"/>
      <c r="HD3" s="77"/>
    </row>
    <row r="4" spans="2:212" ht="15">
      <c r="B4" s="59" t="s">
        <v>77</v>
      </c>
      <c r="C4" s="60" t="str">
        <f>+Input!E82</f>
        <v>A3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FY4" s="78" t="s">
        <v>93</v>
      </c>
      <c r="FZ4" s="77">
        <f aca="true" t="shared" si="0" ref="FZ4:FZ67">1+FZ3</f>
        <v>3</v>
      </c>
      <c r="GA4" s="77"/>
      <c r="GB4" s="77"/>
      <c r="GC4" s="77"/>
      <c r="GD4" s="77"/>
      <c r="GE4" s="77"/>
      <c r="GF4" s="77"/>
      <c r="GG4" s="77"/>
      <c r="GH4" s="77"/>
      <c r="GI4" s="77"/>
      <c r="GJ4" s="77">
        <f aca="true" t="shared" si="1" ref="GJ4:GJ67">+GJ3+1</f>
        <v>3</v>
      </c>
      <c r="GK4" s="77">
        <f aca="true" t="shared" si="2" ref="GK4:GK68">+IF($C$8=$GM$1,GM4,IF($C$8=$GN$1,GN4,IF($C$8=$GO$1,GO4,IF($C$8=$GP$1,GP4,0))))</f>
        <v>0</v>
      </c>
      <c r="GL4" s="77"/>
      <c r="GM4" s="77"/>
      <c r="GN4" s="77"/>
      <c r="GO4" s="77"/>
      <c r="GP4" s="77"/>
      <c r="GQ4" s="77"/>
      <c r="GR4" s="77"/>
      <c r="GS4" s="77"/>
      <c r="GT4" s="77">
        <v>3</v>
      </c>
      <c r="GU4" s="77"/>
      <c r="GV4" s="77">
        <v>3</v>
      </c>
      <c r="GW4" s="77"/>
      <c r="GX4" s="77"/>
      <c r="GY4" s="77"/>
      <c r="GZ4" s="77"/>
      <c r="HA4" s="77"/>
      <c r="HB4" s="77"/>
      <c r="HC4" s="77"/>
      <c r="HD4" s="77"/>
    </row>
    <row r="5" spans="1:212" ht="15">
      <c r="A5" s="56" t="s">
        <v>83</v>
      </c>
      <c r="B5" s="59" t="s">
        <v>78</v>
      </c>
      <c r="C5" s="61">
        <f>+Input!E83</f>
        <v>0.01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FY5" s="78" t="s">
        <v>94</v>
      </c>
      <c r="FZ5" s="77">
        <f t="shared" si="0"/>
        <v>4</v>
      </c>
      <c r="GA5" s="77"/>
      <c r="GB5" s="77"/>
      <c r="GC5" s="77"/>
      <c r="GD5" s="77"/>
      <c r="GE5" s="77"/>
      <c r="GF5" s="77"/>
      <c r="GG5" s="77"/>
      <c r="GH5" s="77"/>
      <c r="GI5" s="77"/>
      <c r="GJ5" s="77">
        <f t="shared" si="1"/>
        <v>4</v>
      </c>
      <c r="GK5" s="77">
        <f t="shared" si="2"/>
        <v>0</v>
      </c>
      <c r="GL5" s="77"/>
      <c r="GM5" s="77"/>
      <c r="GN5" s="77"/>
      <c r="GO5" s="77"/>
      <c r="GP5" s="77">
        <v>1</v>
      </c>
      <c r="GQ5" s="77"/>
      <c r="GR5" s="77"/>
      <c r="GS5" s="77"/>
      <c r="GT5" s="77">
        <v>4</v>
      </c>
      <c r="GU5" s="77"/>
      <c r="GV5" s="77">
        <v>4</v>
      </c>
      <c r="GW5" s="77"/>
      <c r="GX5" s="77"/>
      <c r="GY5" s="77"/>
      <c r="GZ5" s="77"/>
      <c r="HA5" s="77"/>
      <c r="HB5" s="77"/>
      <c r="HC5" s="77"/>
      <c r="HD5" s="77"/>
    </row>
    <row r="6" spans="1:212" ht="15">
      <c r="A6" s="56"/>
      <c r="B6" s="59" t="s">
        <v>84</v>
      </c>
      <c r="C6" s="62" t="str">
        <f>+C4</f>
        <v>A3</v>
      </c>
      <c r="D6" s="56">
        <f>+IF(GD3&lt;GD2,"non puoi inserire una data antecedente a quella di stipule del finanziamento","")</f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FY6" s="78" t="s">
        <v>95</v>
      </c>
      <c r="FZ6" s="77">
        <f t="shared" si="0"/>
        <v>5</v>
      </c>
      <c r="GA6" s="77"/>
      <c r="GB6" s="77"/>
      <c r="GC6" s="77"/>
      <c r="GD6" s="77"/>
      <c r="GE6" s="77"/>
      <c r="GF6" s="77"/>
      <c r="GG6" s="77"/>
      <c r="GH6" s="77"/>
      <c r="GI6" s="77"/>
      <c r="GJ6" s="77">
        <f t="shared" si="1"/>
        <v>5</v>
      </c>
      <c r="GK6" s="77">
        <f t="shared" si="2"/>
        <v>0</v>
      </c>
      <c r="GL6" s="77"/>
      <c r="GM6" s="77"/>
      <c r="GN6" s="77"/>
      <c r="GO6" s="77">
        <v>1</v>
      </c>
      <c r="GP6" s="77"/>
      <c r="GQ6" s="77"/>
      <c r="GR6" s="77"/>
      <c r="GS6" s="77"/>
      <c r="GT6" s="77"/>
      <c r="GU6" s="77"/>
      <c r="GV6" s="77">
        <v>5</v>
      </c>
      <c r="GW6" s="77"/>
      <c r="GX6" s="77"/>
      <c r="GY6" s="77"/>
      <c r="GZ6" s="77"/>
      <c r="HA6" s="77"/>
      <c r="HB6" s="77"/>
      <c r="HC6" s="77"/>
      <c r="HD6" s="77"/>
    </row>
    <row r="7" spans="1:212" ht="15">
      <c r="A7" s="56"/>
      <c r="B7" s="63" t="s">
        <v>79</v>
      </c>
      <c r="C7" s="64">
        <f>+Input!E85</f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FY7" s="78" t="s">
        <v>96</v>
      </c>
      <c r="FZ7" s="77">
        <f t="shared" si="0"/>
        <v>6</v>
      </c>
      <c r="GA7" s="77"/>
      <c r="GB7" s="77"/>
      <c r="GC7" s="77"/>
      <c r="GD7" s="77"/>
      <c r="GE7" s="77"/>
      <c r="GF7" s="77"/>
      <c r="GG7" s="77"/>
      <c r="GH7" s="77"/>
      <c r="GI7" s="77"/>
      <c r="GJ7" s="77">
        <f t="shared" si="1"/>
        <v>6</v>
      </c>
      <c r="GK7" s="77">
        <f t="shared" si="2"/>
        <v>0</v>
      </c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>
        <v>6</v>
      </c>
      <c r="GW7" s="77"/>
      <c r="GX7" s="77"/>
      <c r="GY7" s="77"/>
      <c r="GZ7" s="77"/>
      <c r="HA7" s="77"/>
      <c r="HB7" s="77"/>
      <c r="HC7" s="77"/>
      <c r="HD7" s="77"/>
    </row>
    <row r="8" spans="1:212" ht="15">
      <c r="A8" s="56"/>
      <c r="B8" s="63" t="s">
        <v>85</v>
      </c>
      <c r="C8" s="65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FY8" s="78" t="s">
        <v>97</v>
      </c>
      <c r="FZ8" s="77">
        <f t="shared" si="0"/>
        <v>7</v>
      </c>
      <c r="GA8" s="77"/>
      <c r="GB8" s="77"/>
      <c r="GC8" s="77"/>
      <c r="GD8" s="77"/>
      <c r="GE8" s="77"/>
      <c r="GF8" s="77"/>
      <c r="GG8" s="77"/>
      <c r="GH8" s="77"/>
      <c r="GI8" s="77"/>
      <c r="GJ8" s="77">
        <f t="shared" si="1"/>
        <v>7</v>
      </c>
      <c r="GK8" s="77">
        <f t="shared" si="2"/>
        <v>0</v>
      </c>
      <c r="GL8" s="77"/>
      <c r="GM8" s="77"/>
      <c r="GN8" s="77">
        <v>1</v>
      </c>
      <c r="GO8" s="77"/>
      <c r="GP8" s="77">
        <v>1</v>
      </c>
      <c r="GQ8" s="77"/>
      <c r="GR8" s="77"/>
      <c r="GS8" s="77"/>
      <c r="GT8" s="77"/>
      <c r="GU8" s="77"/>
      <c r="GV8" s="77">
        <v>7</v>
      </c>
      <c r="GW8" s="77"/>
      <c r="GX8" s="77"/>
      <c r="GY8" s="77"/>
      <c r="GZ8" s="77"/>
      <c r="HA8" s="77"/>
      <c r="HB8" s="77"/>
      <c r="HC8" s="77"/>
      <c r="HD8" s="77"/>
    </row>
    <row r="9" spans="1:212" ht="15">
      <c r="A9" s="56"/>
      <c r="B9" s="63" t="s">
        <v>80</v>
      </c>
      <c r="C9" s="65">
        <v>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FY9" s="78" t="s">
        <v>98</v>
      </c>
      <c r="FZ9" s="77">
        <f t="shared" si="0"/>
        <v>8</v>
      </c>
      <c r="GA9" s="77"/>
      <c r="GB9" s="77"/>
      <c r="GC9" s="77"/>
      <c r="GD9" s="77"/>
      <c r="GE9" s="77"/>
      <c r="GF9" s="77"/>
      <c r="GG9" s="77"/>
      <c r="GH9" s="77"/>
      <c r="GI9" s="77"/>
      <c r="GJ9" s="77">
        <f t="shared" si="1"/>
        <v>8</v>
      </c>
      <c r="GK9" s="77">
        <f t="shared" si="2"/>
        <v>0</v>
      </c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>
        <v>8</v>
      </c>
      <c r="GW9" s="77"/>
      <c r="GX9" s="77"/>
      <c r="GY9" s="77"/>
      <c r="GZ9" s="77"/>
      <c r="HA9" s="77"/>
      <c r="HB9" s="77"/>
      <c r="HC9" s="77"/>
      <c r="HD9" s="77"/>
    </row>
    <row r="10" spans="1:212" ht="15">
      <c r="A10" s="56"/>
      <c r="B10" s="66" t="s">
        <v>86</v>
      </c>
      <c r="C10" s="67">
        <f>+Input!E86</f>
        <v>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FY10" s="78" t="s">
        <v>99</v>
      </c>
      <c r="FZ10" s="77">
        <f t="shared" si="0"/>
        <v>9</v>
      </c>
      <c r="GA10" s="77"/>
      <c r="GB10" s="77"/>
      <c r="GC10" s="77"/>
      <c r="GD10" s="77"/>
      <c r="GE10" s="77"/>
      <c r="GF10" s="77"/>
      <c r="GG10" s="77"/>
      <c r="GH10" s="77"/>
      <c r="GI10" s="77"/>
      <c r="GJ10" s="77">
        <f t="shared" si="1"/>
        <v>9</v>
      </c>
      <c r="GK10" s="77">
        <f t="shared" si="2"/>
        <v>0</v>
      </c>
      <c r="GL10" s="77"/>
      <c r="GM10" s="77"/>
      <c r="GN10" s="77"/>
      <c r="GO10" s="77">
        <v>1</v>
      </c>
      <c r="GP10" s="77"/>
      <c r="GQ10" s="77"/>
      <c r="GR10" s="77"/>
      <c r="GS10" s="77"/>
      <c r="GT10" s="77"/>
      <c r="GU10" s="77"/>
      <c r="GV10" s="77">
        <v>9</v>
      </c>
      <c r="GW10" s="77"/>
      <c r="GX10" s="77"/>
      <c r="GY10" s="77"/>
      <c r="GZ10" s="77"/>
      <c r="HA10" s="77"/>
      <c r="HB10" s="77"/>
      <c r="HC10" s="77"/>
      <c r="HD10" s="77"/>
    </row>
    <row r="11" spans="1:212" ht="15">
      <c r="A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FY11" s="78" t="s">
        <v>100</v>
      </c>
      <c r="FZ11" s="77">
        <f t="shared" si="0"/>
        <v>10</v>
      </c>
      <c r="GA11" s="77"/>
      <c r="GB11" s="77"/>
      <c r="GC11" s="77"/>
      <c r="GD11" s="77"/>
      <c r="GE11" s="77"/>
      <c r="GF11" s="77"/>
      <c r="GG11" s="77"/>
      <c r="GH11" s="77"/>
      <c r="GI11" s="77"/>
      <c r="GJ11" s="77">
        <f t="shared" si="1"/>
        <v>10</v>
      </c>
      <c r="GK11" s="77">
        <f t="shared" si="2"/>
        <v>0</v>
      </c>
      <c r="GL11" s="77"/>
      <c r="GM11" s="77"/>
      <c r="GN11" s="77"/>
      <c r="GO11" s="77"/>
      <c r="GP11" s="77">
        <v>1</v>
      </c>
      <c r="GQ11" s="77"/>
      <c r="GR11" s="77"/>
      <c r="GS11" s="77"/>
      <c r="GT11" s="77"/>
      <c r="GU11" s="77"/>
      <c r="GV11" s="77">
        <v>10</v>
      </c>
      <c r="GW11" s="77"/>
      <c r="GX11" s="77"/>
      <c r="GY11" s="77"/>
      <c r="GZ11" s="77"/>
      <c r="HA11" s="77"/>
      <c r="HB11" s="77"/>
      <c r="HC11" s="77"/>
      <c r="HD11" s="77"/>
    </row>
    <row r="12" spans="1:212" ht="15">
      <c r="A12" s="56"/>
      <c r="B12" s="68" t="s">
        <v>87</v>
      </c>
      <c r="C12" s="69" t="str">
        <f>IF(C8=1,"annuale",IF(C8=2,"semestrale",IF(C8=3,"quadrimestrale",IF(C8=4,"trimestrale"))))</f>
        <v>annuale</v>
      </c>
      <c r="D12" s="70">
        <f>((1+C5)^(1/C8))-1</f>
        <v>0.010000000000000009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FY12" s="78" t="s">
        <v>101</v>
      </c>
      <c r="FZ12" s="77">
        <f t="shared" si="0"/>
        <v>11</v>
      </c>
      <c r="GA12" s="77"/>
      <c r="GB12" s="77"/>
      <c r="GC12" s="77"/>
      <c r="GD12" s="77"/>
      <c r="GE12" s="77"/>
      <c r="GF12" s="77"/>
      <c r="GG12" s="77"/>
      <c r="GH12" s="77"/>
      <c r="GI12" s="77"/>
      <c r="GJ12" s="77">
        <f t="shared" si="1"/>
        <v>11</v>
      </c>
      <c r="GK12" s="77">
        <f t="shared" si="2"/>
        <v>0</v>
      </c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</row>
    <row r="13" spans="1:212" ht="15">
      <c r="A13" s="56"/>
      <c r="C13" s="56"/>
      <c r="D13" s="56"/>
      <c r="E13" s="56"/>
      <c r="F13" s="56"/>
      <c r="G13" s="56"/>
      <c r="H13" s="56"/>
      <c r="I13" s="56"/>
      <c r="J13" s="56"/>
      <c r="K13" s="56"/>
      <c r="L13" s="56">
        <v>1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FY13" s="78" t="s">
        <v>102</v>
      </c>
      <c r="FZ13" s="77">
        <f t="shared" si="0"/>
        <v>12</v>
      </c>
      <c r="GA13" s="77"/>
      <c r="GB13" s="77"/>
      <c r="GC13" s="77"/>
      <c r="GD13" s="77"/>
      <c r="GE13" s="77"/>
      <c r="GF13" s="77"/>
      <c r="GG13" s="77"/>
      <c r="GH13" s="77"/>
      <c r="GI13" s="77"/>
      <c r="GJ13" s="77">
        <f t="shared" si="1"/>
        <v>12</v>
      </c>
      <c r="GK13" s="77">
        <f t="shared" si="2"/>
        <v>0</v>
      </c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</row>
    <row r="14" spans="1:212" ht="15">
      <c r="A14" s="56"/>
      <c r="B14" s="68" t="s">
        <v>88</v>
      </c>
      <c r="C14" s="69" t="str">
        <f>C12</f>
        <v>annuale</v>
      </c>
      <c r="D14" s="71">
        <f>C7/((1-(1+D12)^(-C10))/D12)</f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FY14" s="78" t="s">
        <v>103</v>
      </c>
      <c r="FZ14" s="77">
        <f t="shared" si="0"/>
        <v>13</v>
      </c>
      <c r="GA14" s="77"/>
      <c r="GB14" s="77"/>
      <c r="GC14" s="77"/>
      <c r="GD14" s="77"/>
      <c r="GE14" s="77"/>
      <c r="GF14" s="77"/>
      <c r="GG14" s="77"/>
      <c r="GH14" s="77"/>
      <c r="GI14" s="77"/>
      <c r="GJ14" s="77">
        <f t="shared" si="1"/>
        <v>13</v>
      </c>
      <c r="GK14" s="77">
        <f t="shared" si="2"/>
        <v>1</v>
      </c>
      <c r="GL14" s="77"/>
      <c r="GM14" s="77">
        <v>1</v>
      </c>
      <c r="GN14" s="77">
        <v>1</v>
      </c>
      <c r="GO14" s="77">
        <v>1</v>
      </c>
      <c r="GP14" s="77">
        <v>1</v>
      </c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</row>
    <row r="15" spans="1:212" s="79" customFormat="1" ht="15">
      <c r="A15" s="72"/>
      <c r="B15" s="72"/>
      <c r="C15" s="72"/>
      <c r="D15" s="72">
        <f>+_xlfn.IFERROR((VLOOKUP(D16,$GJ:$GK,2,FALSE)),0)</f>
        <v>0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2">
        <v>1</v>
      </c>
      <c r="M15" s="82">
        <v>1</v>
      </c>
      <c r="N15" s="82">
        <v>1</v>
      </c>
      <c r="O15" s="82">
        <v>1</v>
      </c>
      <c r="P15" s="82">
        <v>1</v>
      </c>
      <c r="Q15" s="82">
        <v>1</v>
      </c>
      <c r="R15" s="82">
        <v>1</v>
      </c>
      <c r="S15" s="82">
        <v>1</v>
      </c>
      <c r="T15" s="82">
        <v>1</v>
      </c>
      <c r="U15" s="82">
        <v>1</v>
      </c>
      <c r="V15" s="82">
        <v>1</v>
      </c>
      <c r="W15" s="82">
        <v>1</v>
      </c>
      <c r="X15" s="82">
        <v>1</v>
      </c>
      <c r="Y15" s="82">
        <v>1</v>
      </c>
      <c r="Z15" s="82">
        <v>1</v>
      </c>
      <c r="AA15" s="82">
        <v>1</v>
      </c>
      <c r="AB15" s="82">
        <v>1</v>
      </c>
      <c r="AC15" s="82">
        <v>1</v>
      </c>
      <c r="AD15" s="82">
        <v>1</v>
      </c>
      <c r="AE15" s="82">
        <v>1</v>
      </c>
      <c r="AF15" s="82">
        <v>1</v>
      </c>
      <c r="AG15" s="82">
        <v>1</v>
      </c>
      <c r="AH15" s="82">
        <v>1</v>
      </c>
      <c r="AI15" s="82">
        <v>1</v>
      </c>
      <c r="AJ15" s="82">
        <v>1</v>
      </c>
      <c r="AK15" s="82">
        <v>1</v>
      </c>
      <c r="AL15" s="82">
        <v>1</v>
      </c>
      <c r="AM15" s="82">
        <v>1</v>
      </c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FY15" s="78" t="s">
        <v>104</v>
      </c>
      <c r="FZ15" s="80">
        <f t="shared" si="0"/>
        <v>14</v>
      </c>
      <c r="GA15" s="80"/>
      <c r="GB15" s="80"/>
      <c r="GC15" s="80"/>
      <c r="GD15" s="80"/>
      <c r="GE15" s="80"/>
      <c r="GF15" s="80"/>
      <c r="GG15" s="80"/>
      <c r="GH15" s="80"/>
      <c r="GI15" s="80"/>
      <c r="GJ15" s="80">
        <f t="shared" si="1"/>
        <v>14</v>
      </c>
      <c r="GK15" s="80">
        <f t="shared" si="2"/>
        <v>0</v>
      </c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</row>
    <row r="16" spans="1:212" s="79" customFormat="1" ht="15">
      <c r="A16" s="72"/>
      <c r="B16" s="72"/>
      <c r="C16" s="72" t="s">
        <v>89</v>
      </c>
      <c r="D16" s="72">
        <f>+IF(D17=$C$6,1,0)</f>
        <v>0</v>
      </c>
      <c r="E16" s="82">
        <f aca="true" t="shared" si="3" ref="E16:AM16">+IF(E17=$C$6,1,+IF(D16=0,0,D16+1))</f>
        <v>0</v>
      </c>
      <c r="F16" s="82">
        <f t="shared" si="3"/>
        <v>0</v>
      </c>
      <c r="G16" s="82">
        <f t="shared" si="3"/>
        <v>1</v>
      </c>
      <c r="H16" s="82">
        <f t="shared" si="3"/>
        <v>2</v>
      </c>
      <c r="I16" s="82">
        <f t="shared" si="3"/>
        <v>3</v>
      </c>
      <c r="J16" s="82">
        <f t="shared" si="3"/>
        <v>4</v>
      </c>
      <c r="K16" s="82">
        <f t="shared" si="3"/>
        <v>5</v>
      </c>
      <c r="L16" s="82">
        <f t="shared" si="3"/>
        <v>6</v>
      </c>
      <c r="M16" s="82">
        <f t="shared" si="3"/>
        <v>7</v>
      </c>
      <c r="N16" s="82">
        <f t="shared" si="3"/>
        <v>8</v>
      </c>
      <c r="O16" s="82">
        <f t="shared" si="3"/>
        <v>9</v>
      </c>
      <c r="P16" s="82">
        <f t="shared" si="3"/>
        <v>10</v>
      </c>
      <c r="Q16" s="82">
        <f t="shared" si="3"/>
        <v>11</v>
      </c>
      <c r="R16" s="82">
        <f t="shared" si="3"/>
        <v>12</v>
      </c>
      <c r="S16" s="82">
        <f t="shared" si="3"/>
        <v>13</v>
      </c>
      <c r="T16" s="82">
        <f t="shared" si="3"/>
        <v>14</v>
      </c>
      <c r="U16" s="82">
        <f t="shared" si="3"/>
        <v>15</v>
      </c>
      <c r="V16" s="82">
        <f t="shared" si="3"/>
        <v>16</v>
      </c>
      <c r="W16" s="82">
        <f t="shared" si="3"/>
        <v>17</v>
      </c>
      <c r="X16" s="82">
        <f t="shared" si="3"/>
        <v>18</v>
      </c>
      <c r="Y16" s="82">
        <f t="shared" si="3"/>
        <v>19</v>
      </c>
      <c r="Z16" s="82">
        <f t="shared" si="3"/>
        <v>20</v>
      </c>
      <c r="AA16" s="82">
        <f t="shared" si="3"/>
        <v>21</v>
      </c>
      <c r="AB16" s="82">
        <f t="shared" si="3"/>
        <v>22</v>
      </c>
      <c r="AC16" s="82">
        <f t="shared" si="3"/>
        <v>23</v>
      </c>
      <c r="AD16" s="82">
        <f t="shared" si="3"/>
        <v>24</v>
      </c>
      <c r="AE16" s="82">
        <f t="shared" si="3"/>
        <v>25</v>
      </c>
      <c r="AF16" s="82">
        <f t="shared" si="3"/>
        <v>26</v>
      </c>
      <c r="AG16" s="82">
        <f t="shared" si="3"/>
        <v>27</v>
      </c>
      <c r="AH16" s="82">
        <f t="shared" si="3"/>
        <v>28</v>
      </c>
      <c r="AI16" s="82">
        <f t="shared" si="3"/>
        <v>29</v>
      </c>
      <c r="AJ16" s="82">
        <f t="shared" si="3"/>
        <v>30</v>
      </c>
      <c r="AK16" s="82">
        <f t="shared" si="3"/>
        <v>31</v>
      </c>
      <c r="AL16" s="82">
        <f t="shared" si="3"/>
        <v>32</v>
      </c>
      <c r="AM16" s="82">
        <f t="shared" si="3"/>
        <v>33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FY16" s="78" t="s">
        <v>105</v>
      </c>
      <c r="FZ16" s="80">
        <f t="shared" si="0"/>
        <v>15</v>
      </c>
      <c r="GA16" s="80"/>
      <c r="GB16" s="80"/>
      <c r="GC16" s="80"/>
      <c r="GD16" s="80"/>
      <c r="GE16" s="80"/>
      <c r="GF16" s="80"/>
      <c r="GG16" s="80"/>
      <c r="GH16" s="80"/>
      <c r="GI16" s="80"/>
      <c r="GJ16" s="80">
        <f t="shared" si="1"/>
        <v>15</v>
      </c>
      <c r="GK16" s="80">
        <f t="shared" si="2"/>
        <v>0</v>
      </c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</row>
    <row r="17" spans="1:212" ht="15">
      <c r="A17" s="56"/>
      <c r="B17" s="73" t="s">
        <v>90</v>
      </c>
      <c r="C17" s="74"/>
      <c r="D17" s="74"/>
      <c r="E17" s="74" t="s">
        <v>91</v>
      </c>
      <c r="F17" s="74" t="s">
        <v>92</v>
      </c>
      <c r="G17" s="74" t="s">
        <v>93</v>
      </c>
      <c r="H17" s="74" t="s">
        <v>94</v>
      </c>
      <c r="I17" s="74" t="s">
        <v>95</v>
      </c>
      <c r="J17" s="74" t="s">
        <v>96</v>
      </c>
      <c r="K17" s="74" t="s">
        <v>97</v>
      </c>
      <c r="L17" s="74" t="s">
        <v>98</v>
      </c>
      <c r="M17" s="74" t="s">
        <v>99</v>
      </c>
      <c r="N17" s="74" t="s">
        <v>100</v>
      </c>
      <c r="O17" s="74" t="s">
        <v>101</v>
      </c>
      <c r="P17" s="74" t="s">
        <v>102</v>
      </c>
      <c r="Q17" s="74" t="s">
        <v>103</v>
      </c>
      <c r="R17" s="74" t="s">
        <v>104</v>
      </c>
      <c r="S17" s="74" t="s">
        <v>105</v>
      </c>
      <c r="T17" s="74" t="s">
        <v>106</v>
      </c>
      <c r="U17" s="74" t="s">
        <v>107</v>
      </c>
      <c r="V17" s="74" t="s">
        <v>108</v>
      </c>
      <c r="W17" s="74" t="s">
        <v>109</v>
      </c>
      <c r="X17" s="74" t="s">
        <v>110</v>
      </c>
      <c r="Y17" s="74" t="s">
        <v>111</v>
      </c>
      <c r="Z17" s="74" t="s">
        <v>112</v>
      </c>
      <c r="AA17" s="74" t="s">
        <v>113</v>
      </c>
      <c r="AB17" s="74" t="s">
        <v>114</v>
      </c>
      <c r="AC17" s="74" t="s">
        <v>115</v>
      </c>
      <c r="AD17" s="74" t="s">
        <v>116</v>
      </c>
      <c r="AE17" s="74" t="s">
        <v>117</v>
      </c>
      <c r="AF17" s="74" t="s">
        <v>118</v>
      </c>
      <c r="AG17" s="74" t="s">
        <v>119</v>
      </c>
      <c r="AH17" s="74" t="s">
        <v>120</v>
      </c>
      <c r="AI17" s="74" t="s">
        <v>121</v>
      </c>
      <c r="AJ17" s="74" t="s">
        <v>122</v>
      </c>
      <c r="AK17" s="74" t="s">
        <v>123</v>
      </c>
      <c r="AL17" s="74" t="s">
        <v>124</v>
      </c>
      <c r="AM17" s="74" t="s">
        <v>125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Y17" s="78" t="s">
        <v>106</v>
      </c>
      <c r="FZ17" s="77">
        <f t="shared" si="0"/>
        <v>16</v>
      </c>
      <c r="GA17" s="77"/>
      <c r="GB17" s="77"/>
      <c r="GC17" s="77"/>
      <c r="GD17" s="77"/>
      <c r="GE17" s="77"/>
      <c r="GF17" s="77"/>
      <c r="GG17" s="77"/>
      <c r="GH17" s="77"/>
      <c r="GI17" s="77"/>
      <c r="GJ17" s="77">
        <f t="shared" si="1"/>
        <v>16</v>
      </c>
      <c r="GK17" s="77">
        <f t="shared" si="2"/>
        <v>0</v>
      </c>
      <c r="GL17" s="77"/>
      <c r="GM17" s="77"/>
      <c r="GN17" s="77"/>
      <c r="GO17" s="77"/>
      <c r="GP17" s="77">
        <v>1</v>
      </c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</row>
    <row r="18" spans="1:212" ht="15">
      <c r="A18" s="56"/>
      <c r="B18" s="63" t="s">
        <v>126</v>
      </c>
      <c r="C18" s="71"/>
      <c r="D18" s="71">
        <f aca="true" t="shared" si="4" ref="D18:AM18">IF(D16&gt;=1,IF(D15=1,$D$14,0))*IF(C22&lt;1,0,1)</f>
        <v>0</v>
      </c>
      <c r="E18" s="71">
        <f t="shared" si="4"/>
        <v>0</v>
      </c>
      <c r="F18" s="71">
        <f t="shared" si="4"/>
        <v>0</v>
      </c>
      <c r="G18" s="71">
        <f t="shared" si="4"/>
        <v>0</v>
      </c>
      <c r="H18" s="71">
        <f t="shared" si="4"/>
        <v>0</v>
      </c>
      <c r="I18" s="71">
        <f t="shared" si="4"/>
        <v>0</v>
      </c>
      <c r="J18" s="71">
        <f t="shared" si="4"/>
        <v>0</v>
      </c>
      <c r="K18" s="71">
        <f t="shared" si="4"/>
        <v>0</v>
      </c>
      <c r="L18" s="71">
        <f t="shared" si="4"/>
        <v>0</v>
      </c>
      <c r="M18" s="71">
        <f t="shared" si="4"/>
        <v>0</v>
      </c>
      <c r="N18" s="71">
        <f t="shared" si="4"/>
        <v>0</v>
      </c>
      <c r="O18" s="71">
        <f t="shared" si="4"/>
        <v>0</v>
      </c>
      <c r="P18" s="71">
        <f t="shared" si="4"/>
        <v>0</v>
      </c>
      <c r="Q18" s="71">
        <f t="shared" si="4"/>
        <v>0</v>
      </c>
      <c r="R18" s="71">
        <f t="shared" si="4"/>
        <v>0</v>
      </c>
      <c r="S18" s="71">
        <f t="shared" si="4"/>
        <v>0</v>
      </c>
      <c r="T18" s="71">
        <f t="shared" si="4"/>
        <v>0</v>
      </c>
      <c r="U18" s="71">
        <f t="shared" si="4"/>
        <v>0</v>
      </c>
      <c r="V18" s="71">
        <f t="shared" si="4"/>
        <v>0</v>
      </c>
      <c r="W18" s="71">
        <f t="shared" si="4"/>
        <v>0</v>
      </c>
      <c r="X18" s="71">
        <f t="shared" si="4"/>
        <v>0</v>
      </c>
      <c r="Y18" s="71">
        <f t="shared" si="4"/>
        <v>0</v>
      </c>
      <c r="Z18" s="71">
        <f t="shared" si="4"/>
        <v>0</v>
      </c>
      <c r="AA18" s="71">
        <f t="shared" si="4"/>
        <v>0</v>
      </c>
      <c r="AB18" s="71">
        <f t="shared" si="4"/>
        <v>0</v>
      </c>
      <c r="AC18" s="71">
        <f t="shared" si="4"/>
        <v>0</v>
      </c>
      <c r="AD18" s="71">
        <f t="shared" si="4"/>
        <v>0</v>
      </c>
      <c r="AE18" s="71">
        <f t="shared" si="4"/>
        <v>0</v>
      </c>
      <c r="AF18" s="71">
        <f t="shared" si="4"/>
        <v>0</v>
      </c>
      <c r="AG18" s="71">
        <f t="shared" si="4"/>
        <v>0</v>
      </c>
      <c r="AH18" s="71">
        <f t="shared" si="4"/>
        <v>0</v>
      </c>
      <c r="AI18" s="71">
        <f t="shared" si="4"/>
        <v>0</v>
      </c>
      <c r="AJ18" s="71">
        <f t="shared" si="4"/>
        <v>0</v>
      </c>
      <c r="AK18" s="71">
        <f t="shared" si="4"/>
        <v>0</v>
      </c>
      <c r="AL18" s="71">
        <f t="shared" si="4"/>
        <v>0</v>
      </c>
      <c r="AM18" s="71">
        <f t="shared" si="4"/>
        <v>0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Y18" s="78" t="s">
        <v>107</v>
      </c>
      <c r="FZ18" s="77">
        <f t="shared" si="0"/>
        <v>17</v>
      </c>
      <c r="GA18" s="77"/>
      <c r="GB18" s="77"/>
      <c r="GC18" s="77"/>
      <c r="GD18" s="77"/>
      <c r="GE18" s="77"/>
      <c r="GF18" s="77"/>
      <c r="GG18" s="77"/>
      <c r="GH18" s="77"/>
      <c r="GI18" s="77"/>
      <c r="GJ18" s="77">
        <f t="shared" si="1"/>
        <v>17</v>
      </c>
      <c r="GK18" s="77">
        <f t="shared" si="2"/>
        <v>0</v>
      </c>
      <c r="GL18" s="77"/>
      <c r="GM18" s="77"/>
      <c r="GN18" s="77"/>
      <c r="GO18" s="77">
        <v>1</v>
      </c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</row>
    <row r="19" spans="1:212" ht="15">
      <c r="A19" s="56"/>
      <c r="B19" s="63" t="s">
        <v>127</v>
      </c>
      <c r="C19" s="71"/>
      <c r="D19" s="71">
        <f aca="true" t="shared" si="5" ref="D19:I19">D18-D21</f>
        <v>0</v>
      </c>
      <c r="E19" s="71">
        <f t="shared" si="5"/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0</v>
      </c>
      <c r="J19" s="71">
        <f>J18-J21</f>
        <v>0</v>
      </c>
      <c r="K19" s="71">
        <f aca="true" t="shared" si="6" ref="K19:AM19">K18-K21</f>
        <v>0</v>
      </c>
      <c r="L19" s="71">
        <f t="shared" si="6"/>
        <v>0</v>
      </c>
      <c r="M19" s="71">
        <f t="shared" si="6"/>
        <v>0</v>
      </c>
      <c r="N19" s="71">
        <f t="shared" si="6"/>
        <v>0</v>
      </c>
      <c r="O19" s="71">
        <f t="shared" si="6"/>
        <v>0</v>
      </c>
      <c r="P19" s="71">
        <f t="shared" si="6"/>
        <v>0</v>
      </c>
      <c r="Q19" s="71">
        <f t="shared" si="6"/>
        <v>0</v>
      </c>
      <c r="R19" s="71">
        <f t="shared" si="6"/>
        <v>0</v>
      </c>
      <c r="S19" s="71">
        <f t="shared" si="6"/>
        <v>0</v>
      </c>
      <c r="T19" s="71">
        <f t="shared" si="6"/>
        <v>0</v>
      </c>
      <c r="U19" s="71">
        <f t="shared" si="6"/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  <c r="AE19" s="71">
        <f t="shared" si="6"/>
        <v>0</v>
      </c>
      <c r="AF19" s="71">
        <f t="shared" si="6"/>
        <v>0</v>
      </c>
      <c r="AG19" s="71">
        <f t="shared" si="6"/>
        <v>0</v>
      </c>
      <c r="AH19" s="71">
        <f t="shared" si="6"/>
        <v>0</v>
      </c>
      <c r="AI19" s="71">
        <f t="shared" si="6"/>
        <v>0</v>
      </c>
      <c r="AJ19" s="71">
        <f t="shared" si="6"/>
        <v>0</v>
      </c>
      <c r="AK19" s="71">
        <f t="shared" si="6"/>
        <v>0</v>
      </c>
      <c r="AL19" s="71">
        <f t="shared" si="6"/>
        <v>0</v>
      </c>
      <c r="AM19" s="71">
        <f t="shared" si="6"/>
        <v>0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Y19" s="78" t="s">
        <v>108</v>
      </c>
      <c r="FZ19" s="77">
        <f t="shared" si="0"/>
        <v>18</v>
      </c>
      <c r="GA19" s="77"/>
      <c r="GB19" s="77"/>
      <c r="GC19" s="77"/>
      <c r="GD19" s="77"/>
      <c r="GE19" s="77"/>
      <c r="GF19" s="77"/>
      <c r="GG19" s="77"/>
      <c r="GH19" s="77"/>
      <c r="GI19" s="77"/>
      <c r="GJ19" s="77">
        <f t="shared" si="1"/>
        <v>18</v>
      </c>
      <c r="GK19" s="77">
        <f t="shared" si="2"/>
        <v>0</v>
      </c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</row>
    <row r="20" spans="1:212" ht="15">
      <c r="A20" s="56"/>
      <c r="B20" s="63" t="s">
        <v>128</v>
      </c>
      <c r="C20" s="71"/>
      <c r="D20" s="71">
        <f aca="true" t="shared" si="7" ref="D20:AM20">D19+C20*(IF(C22&lt;1,0,1))</f>
        <v>0</v>
      </c>
      <c r="E20" s="71">
        <f t="shared" si="7"/>
        <v>0</v>
      </c>
      <c r="F20" s="71">
        <f t="shared" si="7"/>
        <v>0</v>
      </c>
      <c r="G20" s="71">
        <f t="shared" si="7"/>
        <v>0</v>
      </c>
      <c r="H20" s="71">
        <f t="shared" si="7"/>
        <v>0</v>
      </c>
      <c r="I20" s="71">
        <f t="shared" si="7"/>
        <v>0</v>
      </c>
      <c r="J20" s="71">
        <f t="shared" si="7"/>
        <v>0</v>
      </c>
      <c r="K20" s="71">
        <f t="shared" si="7"/>
        <v>0</v>
      </c>
      <c r="L20" s="71">
        <f t="shared" si="7"/>
        <v>0</v>
      </c>
      <c r="M20" s="71">
        <f t="shared" si="7"/>
        <v>0</v>
      </c>
      <c r="N20" s="71">
        <f t="shared" si="7"/>
        <v>0</v>
      </c>
      <c r="O20" s="71">
        <f t="shared" si="7"/>
        <v>0</v>
      </c>
      <c r="P20" s="71">
        <f t="shared" si="7"/>
        <v>0</v>
      </c>
      <c r="Q20" s="71">
        <f t="shared" si="7"/>
        <v>0</v>
      </c>
      <c r="R20" s="71">
        <f t="shared" si="7"/>
        <v>0</v>
      </c>
      <c r="S20" s="71">
        <f t="shared" si="7"/>
        <v>0</v>
      </c>
      <c r="T20" s="71">
        <f t="shared" si="7"/>
        <v>0</v>
      </c>
      <c r="U20" s="71">
        <f t="shared" si="7"/>
        <v>0</v>
      </c>
      <c r="V20" s="71">
        <f t="shared" si="7"/>
        <v>0</v>
      </c>
      <c r="W20" s="71">
        <f t="shared" si="7"/>
        <v>0</v>
      </c>
      <c r="X20" s="71">
        <f t="shared" si="7"/>
        <v>0</v>
      </c>
      <c r="Y20" s="71">
        <f t="shared" si="7"/>
        <v>0</v>
      </c>
      <c r="Z20" s="71">
        <f t="shared" si="7"/>
        <v>0</v>
      </c>
      <c r="AA20" s="71">
        <f t="shared" si="7"/>
        <v>0</v>
      </c>
      <c r="AB20" s="71">
        <f t="shared" si="7"/>
        <v>0</v>
      </c>
      <c r="AC20" s="71">
        <f t="shared" si="7"/>
        <v>0</v>
      </c>
      <c r="AD20" s="71">
        <f t="shared" si="7"/>
        <v>0</v>
      </c>
      <c r="AE20" s="71">
        <f t="shared" si="7"/>
        <v>0</v>
      </c>
      <c r="AF20" s="71">
        <f t="shared" si="7"/>
        <v>0</v>
      </c>
      <c r="AG20" s="71">
        <f t="shared" si="7"/>
        <v>0</v>
      </c>
      <c r="AH20" s="71">
        <f t="shared" si="7"/>
        <v>0</v>
      </c>
      <c r="AI20" s="71">
        <f t="shared" si="7"/>
        <v>0</v>
      </c>
      <c r="AJ20" s="71">
        <f t="shared" si="7"/>
        <v>0</v>
      </c>
      <c r="AK20" s="71">
        <f t="shared" si="7"/>
        <v>0</v>
      </c>
      <c r="AL20" s="71">
        <f t="shared" si="7"/>
        <v>0</v>
      </c>
      <c r="AM20" s="71">
        <f t="shared" si="7"/>
        <v>0</v>
      </c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Y20" s="78" t="s">
        <v>109</v>
      </c>
      <c r="FZ20" s="77">
        <f t="shared" si="0"/>
        <v>19</v>
      </c>
      <c r="GA20" s="77"/>
      <c r="GB20" s="77"/>
      <c r="GC20" s="77"/>
      <c r="GD20" s="77"/>
      <c r="GE20" s="77"/>
      <c r="GF20" s="77"/>
      <c r="GG20" s="77"/>
      <c r="GH20" s="77"/>
      <c r="GI20" s="77"/>
      <c r="GJ20" s="77">
        <f t="shared" si="1"/>
        <v>19</v>
      </c>
      <c r="GK20" s="77">
        <f t="shared" si="2"/>
        <v>0</v>
      </c>
      <c r="GL20" s="77"/>
      <c r="GM20" s="77"/>
      <c r="GN20" s="77">
        <v>1</v>
      </c>
      <c r="GO20" s="77"/>
      <c r="GP20" s="77">
        <v>1</v>
      </c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</row>
    <row r="21" spans="1:212" ht="15">
      <c r="A21" s="56"/>
      <c r="B21" s="63" t="s">
        <v>129</v>
      </c>
      <c r="C21" s="71">
        <f aca="true" t="shared" si="8" ref="C21:AM21">IF(C18&gt;0,B22*$D$12,0)</f>
        <v>0</v>
      </c>
      <c r="D21" s="71">
        <f t="shared" si="8"/>
        <v>0</v>
      </c>
      <c r="E21" s="71">
        <f t="shared" si="8"/>
        <v>0</v>
      </c>
      <c r="F21" s="71">
        <f t="shared" si="8"/>
        <v>0</v>
      </c>
      <c r="G21" s="71">
        <f t="shared" si="8"/>
        <v>0</v>
      </c>
      <c r="H21" s="71">
        <f t="shared" si="8"/>
        <v>0</v>
      </c>
      <c r="I21" s="71">
        <f t="shared" si="8"/>
        <v>0</v>
      </c>
      <c r="J21" s="71">
        <f t="shared" si="8"/>
        <v>0</v>
      </c>
      <c r="K21" s="71">
        <f t="shared" si="8"/>
        <v>0</v>
      </c>
      <c r="L21" s="71">
        <f t="shared" si="8"/>
        <v>0</v>
      </c>
      <c r="M21" s="71">
        <f t="shared" si="8"/>
        <v>0</v>
      </c>
      <c r="N21" s="71">
        <f t="shared" si="8"/>
        <v>0</v>
      </c>
      <c r="O21" s="71">
        <f t="shared" si="8"/>
        <v>0</v>
      </c>
      <c r="P21" s="71">
        <f t="shared" si="8"/>
        <v>0</v>
      </c>
      <c r="Q21" s="71">
        <f t="shared" si="8"/>
        <v>0</v>
      </c>
      <c r="R21" s="71">
        <f t="shared" si="8"/>
        <v>0</v>
      </c>
      <c r="S21" s="71">
        <f t="shared" si="8"/>
        <v>0</v>
      </c>
      <c r="T21" s="71">
        <f t="shared" si="8"/>
        <v>0</v>
      </c>
      <c r="U21" s="71">
        <f t="shared" si="8"/>
        <v>0</v>
      </c>
      <c r="V21" s="71">
        <f t="shared" si="8"/>
        <v>0</v>
      </c>
      <c r="W21" s="71">
        <f t="shared" si="8"/>
        <v>0</v>
      </c>
      <c r="X21" s="71">
        <f t="shared" si="8"/>
        <v>0</v>
      </c>
      <c r="Y21" s="71">
        <f t="shared" si="8"/>
        <v>0</v>
      </c>
      <c r="Z21" s="71">
        <f t="shared" si="8"/>
        <v>0</v>
      </c>
      <c r="AA21" s="71">
        <f t="shared" si="8"/>
        <v>0</v>
      </c>
      <c r="AB21" s="71">
        <f t="shared" si="8"/>
        <v>0</v>
      </c>
      <c r="AC21" s="71">
        <f t="shared" si="8"/>
        <v>0</v>
      </c>
      <c r="AD21" s="71">
        <f t="shared" si="8"/>
        <v>0</v>
      </c>
      <c r="AE21" s="71">
        <f t="shared" si="8"/>
        <v>0</v>
      </c>
      <c r="AF21" s="71">
        <f t="shared" si="8"/>
        <v>0</v>
      </c>
      <c r="AG21" s="71">
        <f t="shared" si="8"/>
        <v>0</v>
      </c>
      <c r="AH21" s="71">
        <f t="shared" si="8"/>
        <v>0</v>
      </c>
      <c r="AI21" s="71">
        <f t="shared" si="8"/>
        <v>0</v>
      </c>
      <c r="AJ21" s="71">
        <f t="shared" si="8"/>
        <v>0</v>
      </c>
      <c r="AK21" s="71">
        <f t="shared" si="8"/>
        <v>0</v>
      </c>
      <c r="AL21" s="71">
        <f t="shared" si="8"/>
        <v>0</v>
      </c>
      <c r="AM21" s="71">
        <f t="shared" si="8"/>
        <v>0</v>
      </c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Y21" s="78" t="s">
        <v>110</v>
      </c>
      <c r="FZ21" s="77">
        <f t="shared" si="0"/>
        <v>20</v>
      </c>
      <c r="GA21" s="77"/>
      <c r="GB21" s="77"/>
      <c r="GC21" s="77"/>
      <c r="GD21" s="77"/>
      <c r="GE21" s="77"/>
      <c r="GF21" s="77"/>
      <c r="GG21" s="77"/>
      <c r="GH21" s="77"/>
      <c r="GI21" s="77"/>
      <c r="GJ21" s="77">
        <f t="shared" si="1"/>
        <v>20</v>
      </c>
      <c r="GK21" s="77">
        <f t="shared" si="2"/>
        <v>0</v>
      </c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</row>
    <row r="22" spans="1:212" ht="15">
      <c r="A22" s="56"/>
      <c r="B22" s="75" t="s">
        <v>130</v>
      </c>
      <c r="C22" s="71">
        <f>IF(D17=$C$4,$C$7,IF(C20=0,0,$C$7-C20))</f>
        <v>0</v>
      </c>
      <c r="D22" s="71">
        <f aca="true" t="shared" si="9" ref="D22:AM22">IF(E17=$C$4,$C$7,IF(D20=0,0,$C$7-D20))</f>
        <v>0</v>
      </c>
      <c r="E22" s="71">
        <f t="shared" si="9"/>
        <v>0</v>
      </c>
      <c r="F22" s="71">
        <f t="shared" si="9"/>
        <v>0</v>
      </c>
      <c r="G22" s="71">
        <f t="shared" si="9"/>
        <v>0</v>
      </c>
      <c r="H22" s="71">
        <f t="shared" si="9"/>
        <v>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0</v>
      </c>
      <c r="U22" s="71">
        <f t="shared" si="9"/>
        <v>0</v>
      </c>
      <c r="V22" s="71">
        <f t="shared" si="9"/>
        <v>0</v>
      </c>
      <c r="W22" s="71">
        <f t="shared" si="9"/>
        <v>0</v>
      </c>
      <c r="X22" s="71">
        <f t="shared" si="9"/>
        <v>0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0</v>
      </c>
      <c r="AH22" s="71">
        <f t="shared" si="9"/>
        <v>0</v>
      </c>
      <c r="AI22" s="71">
        <f t="shared" si="9"/>
        <v>0</v>
      </c>
      <c r="AJ22" s="71">
        <f t="shared" si="9"/>
        <v>0</v>
      </c>
      <c r="AK22" s="71">
        <f t="shared" si="9"/>
        <v>0</v>
      </c>
      <c r="AL22" s="71">
        <f t="shared" si="9"/>
        <v>0</v>
      </c>
      <c r="AM22" s="71">
        <f t="shared" si="9"/>
        <v>0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Y22" s="78" t="s">
        <v>111</v>
      </c>
      <c r="FZ22" s="77">
        <f t="shared" si="0"/>
        <v>21</v>
      </c>
      <c r="GA22" s="77"/>
      <c r="GB22" s="77"/>
      <c r="GC22" s="77"/>
      <c r="GD22" s="77"/>
      <c r="GE22" s="77"/>
      <c r="GF22" s="77"/>
      <c r="GG22" s="77"/>
      <c r="GH22" s="77"/>
      <c r="GI22" s="77"/>
      <c r="GJ22" s="77">
        <f t="shared" si="1"/>
        <v>21</v>
      </c>
      <c r="GK22" s="77">
        <f t="shared" si="2"/>
        <v>0</v>
      </c>
      <c r="GL22" s="77"/>
      <c r="GM22" s="77"/>
      <c r="GN22" s="77"/>
      <c r="GO22" s="77">
        <v>1</v>
      </c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</row>
    <row r="23" spans="1:212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FY23" s="78" t="s">
        <v>112</v>
      </c>
      <c r="FZ23" s="77">
        <f t="shared" si="0"/>
        <v>22</v>
      </c>
      <c r="GA23" s="77"/>
      <c r="GB23" s="77"/>
      <c r="GC23" s="77"/>
      <c r="GD23" s="77"/>
      <c r="GE23" s="77"/>
      <c r="GF23" s="77"/>
      <c r="GG23" s="77"/>
      <c r="GH23" s="77"/>
      <c r="GI23" s="77"/>
      <c r="GJ23" s="77">
        <f t="shared" si="1"/>
        <v>22</v>
      </c>
      <c r="GK23" s="77">
        <f t="shared" si="2"/>
        <v>0</v>
      </c>
      <c r="GL23" s="77"/>
      <c r="GM23" s="77"/>
      <c r="GN23" s="77"/>
      <c r="GO23" s="77"/>
      <c r="GP23" s="77">
        <v>1</v>
      </c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</row>
    <row r="24" spans="1:212" ht="15">
      <c r="A24" s="56"/>
      <c r="B24" s="56"/>
      <c r="C24" s="56"/>
      <c r="D24" s="56"/>
      <c r="E24" s="56"/>
      <c r="F24" s="83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FY24" s="78" t="s">
        <v>113</v>
      </c>
      <c r="FZ24" s="77">
        <f t="shared" si="0"/>
        <v>23</v>
      </c>
      <c r="GA24" s="77"/>
      <c r="GB24" s="77"/>
      <c r="GC24" s="77"/>
      <c r="GD24" s="77"/>
      <c r="GE24" s="77"/>
      <c r="GF24" s="77"/>
      <c r="GG24" s="77"/>
      <c r="GH24" s="77"/>
      <c r="GI24" s="77"/>
      <c r="GJ24" s="77">
        <f t="shared" si="1"/>
        <v>23</v>
      </c>
      <c r="GK24" s="77">
        <f t="shared" si="2"/>
        <v>0</v>
      </c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</row>
    <row r="25" spans="1:212" ht="15">
      <c r="A25" s="56"/>
      <c r="C25" s="56"/>
      <c r="D25" s="76">
        <f>+D17</f>
        <v>0</v>
      </c>
      <c r="E25" s="76" t="str">
        <f aca="true" t="shared" si="10" ref="E25:AM25">+E17</f>
        <v>A1</v>
      </c>
      <c r="F25" s="76" t="str">
        <f t="shared" si="10"/>
        <v>A2</v>
      </c>
      <c r="G25" s="76" t="str">
        <f t="shared" si="10"/>
        <v>A3</v>
      </c>
      <c r="H25" s="76" t="str">
        <f t="shared" si="10"/>
        <v>A4</v>
      </c>
      <c r="I25" s="76" t="str">
        <f t="shared" si="10"/>
        <v>A5</v>
      </c>
      <c r="J25" s="76" t="str">
        <f t="shared" si="10"/>
        <v>A6</v>
      </c>
      <c r="K25" s="76" t="str">
        <f t="shared" si="10"/>
        <v>A7</v>
      </c>
      <c r="L25" s="76" t="str">
        <f t="shared" si="10"/>
        <v>A8</v>
      </c>
      <c r="M25" s="76" t="str">
        <f t="shared" si="10"/>
        <v>A9</v>
      </c>
      <c r="N25" s="76" t="str">
        <f t="shared" si="10"/>
        <v>A10</v>
      </c>
      <c r="O25" s="76" t="str">
        <f t="shared" si="10"/>
        <v>A11</v>
      </c>
      <c r="P25" s="76" t="str">
        <f t="shared" si="10"/>
        <v>A12</v>
      </c>
      <c r="Q25" s="76" t="str">
        <f t="shared" si="10"/>
        <v>A13</v>
      </c>
      <c r="R25" s="76" t="str">
        <f t="shared" si="10"/>
        <v>A14</v>
      </c>
      <c r="S25" s="76" t="str">
        <f t="shared" si="10"/>
        <v>A15</v>
      </c>
      <c r="T25" s="76" t="str">
        <f t="shared" si="10"/>
        <v>A16</v>
      </c>
      <c r="U25" s="76" t="str">
        <f t="shared" si="10"/>
        <v>A17</v>
      </c>
      <c r="V25" s="76" t="str">
        <f t="shared" si="10"/>
        <v>A18</v>
      </c>
      <c r="W25" s="76" t="str">
        <f t="shared" si="10"/>
        <v>A19</v>
      </c>
      <c r="X25" s="76" t="str">
        <f t="shared" si="10"/>
        <v>A20</v>
      </c>
      <c r="Y25" s="76" t="str">
        <f t="shared" si="10"/>
        <v>A21</v>
      </c>
      <c r="Z25" s="76" t="str">
        <f t="shared" si="10"/>
        <v>A22</v>
      </c>
      <c r="AA25" s="76" t="str">
        <f t="shared" si="10"/>
        <v>A23</v>
      </c>
      <c r="AB25" s="76" t="str">
        <f t="shared" si="10"/>
        <v>A24</v>
      </c>
      <c r="AC25" s="76" t="str">
        <f t="shared" si="10"/>
        <v>A25</v>
      </c>
      <c r="AD25" s="76" t="str">
        <f t="shared" si="10"/>
        <v>A26</v>
      </c>
      <c r="AE25" s="76" t="str">
        <f t="shared" si="10"/>
        <v>A27</v>
      </c>
      <c r="AF25" s="76" t="str">
        <f t="shared" si="10"/>
        <v>A28</v>
      </c>
      <c r="AG25" s="76" t="str">
        <f t="shared" si="10"/>
        <v>A29</v>
      </c>
      <c r="AH25" s="76" t="str">
        <f t="shared" si="10"/>
        <v>A30</v>
      </c>
      <c r="AI25" s="76" t="str">
        <f t="shared" si="10"/>
        <v>A31</v>
      </c>
      <c r="AJ25" s="76" t="str">
        <f t="shared" si="10"/>
        <v>A32</v>
      </c>
      <c r="AK25" s="76" t="str">
        <f t="shared" si="10"/>
        <v>A33</v>
      </c>
      <c r="AL25" s="76" t="str">
        <f t="shared" si="10"/>
        <v>A34</v>
      </c>
      <c r="AM25" s="76" t="str">
        <f t="shared" si="10"/>
        <v>A35</v>
      </c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FY25" s="78" t="s">
        <v>114</v>
      </c>
      <c r="FZ25" s="77">
        <f t="shared" si="0"/>
        <v>24</v>
      </c>
      <c r="GA25" s="77"/>
      <c r="GB25" s="77"/>
      <c r="GC25" s="77"/>
      <c r="GD25" s="77"/>
      <c r="GE25" s="77"/>
      <c r="GF25" s="77"/>
      <c r="GG25" s="77"/>
      <c r="GH25" s="77"/>
      <c r="GI25" s="77"/>
      <c r="GJ25" s="77">
        <f t="shared" si="1"/>
        <v>24</v>
      </c>
      <c r="GK25" s="77">
        <f t="shared" si="2"/>
        <v>0</v>
      </c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</row>
    <row r="26" spans="1:212" ht="15">
      <c r="A26" s="56" t="s">
        <v>131</v>
      </c>
      <c r="B26" s="73" t="s">
        <v>132</v>
      </c>
      <c r="C26" s="56"/>
      <c r="D26" s="71">
        <f aca="true" t="shared" si="11" ref="D26:I26">+D22-D28</f>
        <v>0</v>
      </c>
      <c r="E26" s="71">
        <f t="shared" si="11"/>
        <v>0</v>
      </c>
      <c r="F26" s="71">
        <f>+F22-F28</f>
        <v>0</v>
      </c>
      <c r="G26" s="71">
        <f t="shared" si="11"/>
        <v>0</v>
      </c>
      <c r="H26" s="71">
        <f t="shared" si="11"/>
        <v>0</v>
      </c>
      <c r="I26" s="71">
        <f t="shared" si="11"/>
        <v>0</v>
      </c>
      <c r="J26" s="71">
        <f>+J22-SUM($I$28:J28)</f>
        <v>0</v>
      </c>
      <c r="K26" s="71">
        <f>+K22-SUM($I$28:K28)</f>
        <v>0</v>
      </c>
      <c r="L26" s="71">
        <f>+L22-SUM($I$28:L28)</f>
        <v>0</v>
      </c>
      <c r="M26" s="71">
        <f>+M22-SUM($I$28:M28)</f>
        <v>0</v>
      </c>
      <c r="N26" s="71">
        <f>+N22-SUM($I$28:N28)</f>
        <v>0</v>
      </c>
      <c r="O26" s="71">
        <f>+O22-SUM($I$28:O28)</f>
        <v>0</v>
      </c>
      <c r="P26" s="71">
        <f>+P22-SUM($I$28:P28)</f>
        <v>0</v>
      </c>
      <c r="Q26" s="71">
        <f>+Q22-SUM($I$28:Q28)</f>
        <v>0</v>
      </c>
      <c r="R26" s="71">
        <f>+R22-SUM($I$28:R28)</f>
        <v>0</v>
      </c>
      <c r="S26" s="71">
        <f>+S22-SUM($I$28:S28)</f>
        <v>0</v>
      </c>
      <c r="T26" s="71">
        <f>+T22-SUM($I$28:T28)</f>
        <v>0</v>
      </c>
      <c r="U26" s="71">
        <f>+U22-SUM($I$28:U28)</f>
        <v>0</v>
      </c>
      <c r="V26" s="71">
        <f>+V22-SUM($I$28:V28)</f>
        <v>0</v>
      </c>
      <c r="W26" s="71">
        <f>+W22-SUM($I$28:W28)</f>
        <v>0</v>
      </c>
      <c r="X26" s="71">
        <f>+X22-SUM($I$28:X28)</f>
        <v>0</v>
      </c>
      <c r="Y26" s="71">
        <f>+Y22-SUM($I$28:Y28)</f>
        <v>0</v>
      </c>
      <c r="Z26" s="71">
        <f>+Z22-SUM($I$28:Z28)</f>
        <v>0</v>
      </c>
      <c r="AA26" s="71">
        <f>+AA22-SUM($I$28:AA28)</f>
        <v>0</v>
      </c>
      <c r="AB26" s="71">
        <f>+AB22-SUM($I$28:AB28)</f>
        <v>0</v>
      </c>
      <c r="AC26" s="71">
        <f>+AC22-SUM($I$28:AC28)</f>
        <v>0</v>
      </c>
      <c r="AD26" s="71">
        <f>+AD22-SUM($I$28:AD28)</f>
        <v>0</v>
      </c>
      <c r="AE26" s="71">
        <f>+AE22-SUM($I$28:AE28)</f>
        <v>0</v>
      </c>
      <c r="AF26" s="71">
        <f>+AF22-SUM($I$28:AF28)</f>
        <v>0</v>
      </c>
      <c r="AG26" s="71">
        <f>+AG22-SUM($I$28:AG28)</f>
        <v>0</v>
      </c>
      <c r="AH26" s="71">
        <f>+AH22-SUM($I$28:AH28)</f>
        <v>0</v>
      </c>
      <c r="AI26" s="71">
        <f>+AI22-SUM($I$28:AI28)</f>
        <v>0</v>
      </c>
      <c r="AJ26" s="71">
        <f>+AJ22-SUM($I$28:AJ28)</f>
        <v>0</v>
      </c>
      <c r="AK26" s="71">
        <f>+AK22-SUM($I$28:AK28)</f>
        <v>0</v>
      </c>
      <c r="AL26" s="71">
        <f>+AL22-SUM($I$28:AL28)</f>
        <v>0</v>
      </c>
      <c r="AM26" s="71">
        <f>+AM22-SUM($I$28:AM28)</f>
        <v>0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FY26" s="78" t="s">
        <v>115</v>
      </c>
      <c r="FZ26" s="77">
        <f t="shared" si="0"/>
        <v>25</v>
      </c>
      <c r="GA26" s="77"/>
      <c r="GB26" s="77"/>
      <c r="GC26" s="77"/>
      <c r="GD26" s="77"/>
      <c r="GE26" s="77"/>
      <c r="GF26" s="77"/>
      <c r="GG26" s="77"/>
      <c r="GH26" s="77"/>
      <c r="GI26" s="77"/>
      <c r="GJ26" s="77">
        <f t="shared" si="1"/>
        <v>25</v>
      </c>
      <c r="GK26" s="77">
        <f t="shared" si="2"/>
        <v>1</v>
      </c>
      <c r="GL26" s="77"/>
      <c r="GM26" s="77">
        <v>1</v>
      </c>
      <c r="GN26" s="77">
        <v>1</v>
      </c>
      <c r="GO26" s="77">
        <v>1</v>
      </c>
      <c r="GP26" s="77">
        <v>1</v>
      </c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</row>
    <row r="27" spans="1:2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FY27" s="78" t="s">
        <v>116</v>
      </c>
      <c r="FZ27" s="77">
        <f t="shared" si="0"/>
        <v>26</v>
      </c>
      <c r="GA27" s="77"/>
      <c r="GB27" s="77"/>
      <c r="GC27" s="77"/>
      <c r="GD27" s="77"/>
      <c r="GE27" s="77"/>
      <c r="GF27" s="77"/>
      <c r="GG27" s="77"/>
      <c r="GH27" s="77"/>
      <c r="GI27" s="77"/>
      <c r="GJ27" s="77">
        <f t="shared" si="1"/>
        <v>26</v>
      </c>
      <c r="GK27" s="77">
        <f t="shared" si="2"/>
        <v>0</v>
      </c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</row>
    <row r="28" spans="1:212" ht="15">
      <c r="A28" s="56" t="s">
        <v>133</v>
      </c>
      <c r="B28" s="73" t="s">
        <v>134</v>
      </c>
      <c r="C28" s="56"/>
      <c r="D28" s="71">
        <f>+D21</f>
        <v>0</v>
      </c>
      <c r="E28" s="71">
        <f aca="true" t="shared" si="12" ref="E28:AM28">+E21</f>
        <v>0</v>
      </c>
      <c r="F28" s="71">
        <f t="shared" si="12"/>
        <v>0</v>
      </c>
      <c r="G28" s="71">
        <f t="shared" si="12"/>
        <v>0</v>
      </c>
      <c r="H28" s="71">
        <f t="shared" si="12"/>
        <v>0</v>
      </c>
      <c r="I28" s="71">
        <f t="shared" si="12"/>
        <v>0</v>
      </c>
      <c r="J28" s="71">
        <f t="shared" si="12"/>
        <v>0</v>
      </c>
      <c r="K28" s="71">
        <f t="shared" si="12"/>
        <v>0</v>
      </c>
      <c r="L28" s="71">
        <f t="shared" si="12"/>
        <v>0</v>
      </c>
      <c r="M28" s="71">
        <f t="shared" si="12"/>
        <v>0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0</v>
      </c>
      <c r="U28" s="71">
        <f t="shared" si="12"/>
        <v>0</v>
      </c>
      <c r="V28" s="71">
        <f t="shared" si="12"/>
        <v>0</v>
      </c>
      <c r="W28" s="71">
        <f t="shared" si="12"/>
        <v>0</v>
      </c>
      <c r="X28" s="71">
        <f t="shared" si="12"/>
        <v>0</v>
      </c>
      <c r="Y28" s="71">
        <f t="shared" si="12"/>
        <v>0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0</v>
      </c>
      <c r="AH28" s="71">
        <f t="shared" si="12"/>
        <v>0</v>
      </c>
      <c r="AI28" s="71">
        <f t="shared" si="12"/>
        <v>0</v>
      </c>
      <c r="AJ28" s="71">
        <f t="shared" si="12"/>
        <v>0</v>
      </c>
      <c r="AK28" s="71">
        <f t="shared" si="12"/>
        <v>0</v>
      </c>
      <c r="AL28" s="71">
        <f t="shared" si="12"/>
        <v>0</v>
      </c>
      <c r="AM28" s="71">
        <f t="shared" si="12"/>
        <v>0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FY28" s="78" t="s">
        <v>117</v>
      </c>
      <c r="FZ28" s="77">
        <f t="shared" si="0"/>
        <v>27</v>
      </c>
      <c r="GA28" s="77"/>
      <c r="GB28" s="77"/>
      <c r="GC28" s="77"/>
      <c r="GD28" s="77"/>
      <c r="GE28" s="77"/>
      <c r="GF28" s="77"/>
      <c r="GG28" s="77"/>
      <c r="GH28" s="77"/>
      <c r="GI28" s="77"/>
      <c r="GJ28" s="77">
        <f t="shared" si="1"/>
        <v>27</v>
      </c>
      <c r="GK28" s="77">
        <f t="shared" si="2"/>
        <v>0</v>
      </c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</row>
    <row r="29" spans="1:2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FY29" s="78" t="s">
        <v>118</v>
      </c>
      <c r="FZ29" s="77">
        <f t="shared" si="0"/>
        <v>28</v>
      </c>
      <c r="GA29" s="77"/>
      <c r="GB29" s="77"/>
      <c r="GC29" s="77"/>
      <c r="GD29" s="77"/>
      <c r="GE29" s="77"/>
      <c r="GF29" s="77"/>
      <c r="GG29" s="77"/>
      <c r="GH29" s="77"/>
      <c r="GI29" s="77"/>
      <c r="GJ29" s="77">
        <f t="shared" si="1"/>
        <v>28</v>
      </c>
      <c r="GK29" s="77">
        <f t="shared" si="2"/>
        <v>0</v>
      </c>
      <c r="GL29" s="77"/>
      <c r="GM29" s="77"/>
      <c r="GN29" s="77"/>
      <c r="GO29" s="77"/>
      <c r="GP29" s="77">
        <v>1</v>
      </c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</row>
    <row r="30" spans="1:212" ht="15">
      <c r="A30" s="56"/>
      <c r="B30" s="56"/>
      <c r="C30" s="56"/>
      <c r="D30" s="56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FY30" s="78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</row>
    <row r="31" spans="1:2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FY31" s="78" t="s">
        <v>120</v>
      </c>
      <c r="FZ31" s="77">
        <f t="shared" si="0"/>
        <v>1</v>
      </c>
      <c r="GA31" s="77"/>
      <c r="GB31" s="77"/>
      <c r="GC31" s="77"/>
      <c r="GD31" s="77"/>
      <c r="GE31" s="77"/>
      <c r="GF31" s="77"/>
      <c r="GG31" s="77"/>
      <c r="GH31" s="77"/>
      <c r="GI31" s="77"/>
      <c r="GJ31" s="77">
        <f t="shared" si="1"/>
        <v>1</v>
      </c>
      <c r="GK31" s="77">
        <f t="shared" si="2"/>
        <v>0</v>
      </c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</row>
    <row r="32" spans="1:2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FY32" s="78" t="s">
        <v>121</v>
      </c>
      <c r="FZ32" s="77">
        <f t="shared" si="0"/>
        <v>2</v>
      </c>
      <c r="GA32" s="77"/>
      <c r="GB32" s="77"/>
      <c r="GC32" s="77"/>
      <c r="GD32" s="77"/>
      <c r="GE32" s="77"/>
      <c r="GF32" s="77"/>
      <c r="GG32" s="77"/>
      <c r="GH32" s="77"/>
      <c r="GI32" s="77"/>
      <c r="GJ32" s="77">
        <f t="shared" si="1"/>
        <v>2</v>
      </c>
      <c r="GK32" s="77">
        <f t="shared" si="2"/>
        <v>0</v>
      </c>
      <c r="GL32" s="77"/>
      <c r="GM32" s="77"/>
      <c r="GN32" s="77">
        <v>1</v>
      </c>
      <c r="GO32" s="77"/>
      <c r="GP32" s="77">
        <v>1</v>
      </c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</row>
    <row r="33" spans="1:212" ht="15">
      <c r="A33" s="56"/>
      <c r="B33" s="56" t="s">
        <v>34</v>
      </c>
      <c r="C33" s="56"/>
      <c r="D33" s="56"/>
      <c r="E33" s="84">
        <f>+IF(E22-E21&gt;0,E22-E21,0)</f>
        <v>0</v>
      </c>
      <c r="F33" s="84">
        <f>+IF(F22-F21-E22&gt;0,F22-F21-E22,0)</f>
        <v>0</v>
      </c>
      <c r="G33" s="84">
        <f aca="true" t="shared" si="13" ref="G33:L33">+IF(G22-G21-F22&gt;0,G22-G21-G19,0)</f>
        <v>0</v>
      </c>
      <c r="H33" s="84">
        <f t="shared" si="13"/>
        <v>0</v>
      </c>
      <c r="I33" s="84">
        <f t="shared" si="13"/>
        <v>0</v>
      </c>
      <c r="J33" s="84">
        <f t="shared" si="13"/>
        <v>0</v>
      </c>
      <c r="K33" s="84">
        <f t="shared" si="13"/>
        <v>0</v>
      </c>
      <c r="L33" s="84">
        <f t="shared" si="13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FY33" s="78" t="s">
        <v>122</v>
      </c>
      <c r="FZ33" s="77">
        <f t="shared" si="0"/>
        <v>3</v>
      </c>
      <c r="GA33" s="77"/>
      <c r="GB33" s="77"/>
      <c r="GC33" s="77"/>
      <c r="GD33" s="77"/>
      <c r="GE33" s="77"/>
      <c r="GF33" s="77"/>
      <c r="GG33" s="77"/>
      <c r="GH33" s="77"/>
      <c r="GI33" s="77"/>
      <c r="GJ33" s="77">
        <f t="shared" si="1"/>
        <v>3</v>
      </c>
      <c r="GK33" s="77">
        <f t="shared" si="2"/>
        <v>0</v>
      </c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</row>
    <row r="34" spans="1:212" ht="15">
      <c r="A34" s="56"/>
      <c r="B34" s="56" t="s">
        <v>37</v>
      </c>
      <c r="C34" s="56"/>
      <c r="D34" s="56"/>
      <c r="E34" s="84">
        <f>+IF(E22-E21-E19&lt;0,E22-E21-E19,0)</f>
        <v>0</v>
      </c>
      <c r="F34" s="84">
        <f>+IF(F22-F21-E22&lt;0,-(F22-F21-E22),0)</f>
        <v>0</v>
      </c>
      <c r="G34" s="84">
        <f aca="true" t="shared" si="14" ref="G34:L34">+IF(G22-G21-F22&lt;0,-(G22-G21-F22),0)</f>
        <v>0</v>
      </c>
      <c r="H34" s="84">
        <f t="shared" si="14"/>
        <v>0</v>
      </c>
      <c r="I34" s="84">
        <f t="shared" si="14"/>
        <v>0</v>
      </c>
      <c r="J34" s="84">
        <f t="shared" si="14"/>
        <v>0</v>
      </c>
      <c r="K34" s="84">
        <f t="shared" si="14"/>
        <v>0</v>
      </c>
      <c r="L34" s="84">
        <f t="shared" si="14"/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FY34" s="78" t="s">
        <v>123</v>
      </c>
      <c r="FZ34" s="77">
        <f t="shared" si="0"/>
        <v>4</v>
      </c>
      <c r="GA34" s="77"/>
      <c r="GB34" s="77"/>
      <c r="GC34" s="77"/>
      <c r="GD34" s="77"/>
      <c r="GE34" s="77"/>
      <c r="GF34" s="77"/>
      <c r="GG34" s="77"/>
      <c r="GH34" s="77"/>
      <c r="GI34" s="77"/>
      <c r="GJ34" s="77">
        <f t="shared" si="1"/>
        <v>4</v>
      </c>
      <c r="GK34" s="77">
        <f t="shared" si="2"/>
        <v>0</v>
      </c>
      <c r="GL34" s="77"/>
      <c r="GM34" s="77"/>
      <c r="GN34" s="77"/>
      <c r="GO34" s="77">
        <v>1</v>
      </c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</row>
    <row r="35" spans="1:212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FY35" s="78" t="s">
        <v>124</v>
      </c>
      <c r="FZ35" s="77">
        <f t="shared" si="0"/>
        <v>5</v>
      </c>
      <c r="GA35" s="77"/>
      <c r="GB35" s="77"/>
      <c r="GC35" s="77"/>
      <c r="GD35" s="77"/>
      <c r="GE35" s="77"/>
      <c r="GF35" s="77"/>
      <c r="GG35" s="77"/>
      <c r="GH35" s="77"/>
      <c r="GI35" s="77"/>
      <c r="GJ35" s="77">
        <f t="shared" si="1"/>
        <v>5</v>
      </c>
      <c r="GK35" s="77">
        <f t="shared" si="2"/>
        <v>0</v>
      </c>
      <c r="GL35" s="77"/>
      <c r="GM35" s="77"/>
      <c r="GN35" s="77"/>
      <c r="GO35" s="77"/>
      <c r="GP35" s="77">
        <v>1</v>
      </c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</row>
    <row r="36" spans="1:212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FY36" s="78" t="s">
        <v>125</v>
      </c>
      <c r="FZ36" s="77">
        <f t="shared" si="0"/>
        <v>6</v>
      </c>
      <c r="GA36" s="77"/>
      <c r="GB36" s="77"/>
      <c r="GC36" s="77"/>
      <c r="GD36" s="77"/>
      <c r="GE36" s="77"/>
      <c r="GF36" s="77"/>
      <c r="GG36" s="77"/>
      <c r="GH36" s="77"/>
      <c r="GI36" s="77"/>
      <c r="GJ36" s="77">
        <f t="shared" si="1"/>
        <v>6</v>
      </c>
      <c r="GK36" s="77">
        <f t="shared" si="2"/>
        <v>0</v>
      </c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</row>
    <row r="37" spans="1:212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FY37" s="78" t="s">
        <v>138</v>
      </c>
      <c r="FZ37" s="77">
        <f t="shared" si="0"/>
        <v>7</v>
      </c>
      <c r="GA37" s="77"/>
      <c r="GB37" s="77"/>
      <c r="GC37" s="77"/>
      <c r="GD37" s="77"/>
      <c r="GE37" s="77"/>
      <c r="GF37" s="77"/>
      <c r="GG37" s="77"/>
      <c r="GH37" s="77"/>
      <c r="GI37" s="77"/>
      <c r="GJ37" s="77">
        <f t="shared" si="1"/>
        <v>7</v>
      </c>
      <c r="GK37" s="77">
        <f t="shared" si="2"/>
        <v>0</v>
      </c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</row>
    <row r="38" spans="1:212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FY38" s="78" t="s">
        <v>139</v>
      </c>
      <c r="FZ38" s="77">
        <f t="shared" si="0"/>
        <v>8</v>
      </c>
      <c r="GA38" s="77"/>
      <c r="GB38" s="77"/>
      <c r="GC38" s="77"/>
      <c r="GD38" s="77"/>
      <c r="GE38" s="77"/>
      <c r="GF38" s="77"/>
      <c r="GG38" s="77"/>
      <c r="GH38" s="77"/>
      <c r="GI38" s="77"/>
      <c r="GJ38" s="77">
        <f t="shared" si="1"/>
        <v>8</v>
      </c>
      <c r="GK38" s="77">
        <f t="shared" si="2"/>
        <v>1</v>
      </c>
      <c r="GL38" s="77"/>
      <c r="GM38" s="77">
        <v>1</v>
      </c>
      <c r="GN38" s="77">
        <v>1</v>
      </c>
      <c r="GO38" s="77">
        <v>1</v>
      </c>
      <c r="GP38" s="77">
        <v>1</v>
      </c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</row>
    <row r="39" spans="1:212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FY39" s="78" t="s">
        <v>140</v>
      </c>
      <c r="FZ39" s="77">
        <f t="shared" si="0"/>
        <v>9</v>
      </c>
      <c r="GA39" s="77"/>
      <c r="GB39" s="77"/>
      <c r="GC39" s="77"/>
      <c r="GD39" s="77"/>
      <c r="GE39" s="77"/>
      <c r="GF39" s="77"/>
      <c r="GG39" s="77"/>
      <c r="GH39" s="77"/>
      <c r="GI39" s="77"/>
      <c r="GJ39" s="77">
        <f t="shared" si="1"/>
        <v>9</v>
      </c>
      <c r="GK39" s="77">
        <f t="shared" si="2"/>
        <v>0</v>
      </c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</row>
    <row r="40" spans="1:212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FY40" s="78" t="s">
        <v>141</v>
      </c>
      <c r="FZ40" s="77">
        <f t="shared" si="0"/>
        <v>10</v>
      </c>
      <c r="GA40" s="77"/>
      <c r="GB40" s="77"/>
      <c r="GC40" s="77"/>
      <c r="GD40" s="77"/>
      <c r="GE40" s="77"/>
      <c r="GF40" s="77"/>
      <c r="GG40" s="77"/>
      <c r="GH40" s="77"/>
      <c r="GI40" s="77"/>
      <c r="GJ40" s="77">
        <f t="shared" si="1"/>
        <v>10</v>
      </c>
      <c r="GK40" s="77">
        <f t="shared" si="2"/>
        <v>0</v>
      </c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</row>
    <row r="41" spans="1:212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FY41" s="78" t="s">
        <v>142</v>
      </c>
      <c r="FZ41" s="77">
        <f t="shared" si="0"/>
        <v>11</v>
      </c>
      <c r="GA41" s="77"/>
      <c r="GB41" s="77"/>
      <c r="GC41" s="77"/>
      <c r="GD41" s="77"/>
      <c r="GE41" s="77"/>
      <c r="GF41" s="77"/>
      <c r="GG41" s="77"/>
      <c r="GH41" s="77"/>
      <c r="GI41" s="77"/>
      <c r="GJ41" s="77">
        <f t="shared" si="1"/>
        <v>11</v>
      </c>
      <c r="GK41" s="77">
        <f t="shared" si="2"/>
        <v>0</v>
      </c>
      <c r="GL41" s="77"/>
      <c r="GM41" s="77"/>
      <c r="GN41" s="77"/>
      <c r="GO41" s="77"/>
      <c r="GP41" s="77">
        <v>1</v>
      </c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</row>
    <row r="42" spans="1:212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FY42" s="78" t="s">
        <v>143</v>
      </c>
      <c r="FZ42" s="77">
        <f t="shared" si="0"/>
        <v>12</v>
      </c>
      <c r="GA42" s="77"/>
      <c r="GB42" s="77"/>
      <c r="GC42" s="77"/>
      <c r="GD42" s="77"/>
      <c r="GE42" s="77"/>
      <c r="GF42" s="77"/>
      <c r="GG42" s="77"/>
      <c r="GH42" s="77"/>
      <c r="GI42" s="77"/>
      <c r="GJ42" s="77">
        <f t="shared" si="1"/>
        <v>12</v>
      </c>
      <c r="GK42" s="77">
        <f t="shared" si="2"/>
        <v>0</v>
      </c>
      <c r="GL42" s="77"/>
      <c r="GM42" s="77"/>
      <c r="GN42" s="77"/>
      <c r="GO42" s="77">
        <v>1</v>
      </c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</row>
    <row r="43" spans="1:212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FY43" s="78" t="s">
        <v>144</v>
      </c>
      <c r="FZ43" s="77">
        <f t="shared" si="0"/>
        <v>13</v>
      </c>
      <c r="GA43" s="77"/>
      <c r="GB43" s="77"/>
      <c r="GC43" s="77"/>
      <c r="GD43" s="77"/>
      <c r="GE43" s="77"/>
      <c r="GF43" s="77"/>
      <c r="GG43" s="77"/>
      <c r="GH43" s="77"/>
      <c r="GI43" s="77"/>
      <c r="GJ43" s="77">
        <f t="shared" si="1"/>
        <v>13</v>
      </c>
      <c r="GK43" s="77">
        <f t="shared" si="2"/>
        <v>0</v>
      </c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</row>
    <row r="44" spans="1:212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FY44" s="78" t="s">
        <v>145</v>
      </c>
      <c r="FZ44" s="77">
        <f t="shared" si="0"/>
        <v>14</v>
      </c>
      <c r="GA44" s="77"/>
      <c r="GB44" s="77"/>
      <c r="GC44" s="77"/>
      <c r="GD44" s="77"/>
      <c r="GE44" s="77"/>
      <c r="GF44" s="77"/>
      <c r="GG44" s="77"/>
      <c r="GH44" s="77"/>
      <c r="GI44" s="77"/>
      <c r="GJ44" s="77">
        <f t="shared" si="1"/>
        <v>14</v>
      </c>
      <c r="GK44" s="77">
        <f t="shared" si="2"/>
        <v>0</v>
      </c>
      <c r="GL44" s="77"/>
      <c r="GM44" s="77"/>
      <c r="GN44" s="77">
        <v>1</v>
      </c>
      <c r="GO44" s="77"/>
      <c r="GP44" s="77">
        <v>1</v>
      </c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</row>
    <row r="45" spans="1:212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FY45" s="78" t="s">
        <v>146</v>
      </c>
      <c r="FZ45" s="77">
        <f t="shared" si="0"/>
        <v>15</v>
      </c>
      <c r="GA45" s="77"/>
      <c r="GB45" s="77"/>
      <c r="GC45" s="77"/>
      <c r="GD45" s="77"/>
      <c r="GE45" s="77"/>
      <c r="GF45" s="77"/>
      <c r="GG45" s="77"/>
      <c r="GH45" s="77"/>
      <c r="GI45" s="77"/>
      <c r="GJ45" s="77">
        <f t="shared" si="1"/>
        <v>15</v>
      </c>
      <c r="GK45" s="77">
        <f t="shared" si="2"/>
        <v>0</v>
      </c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</row>
    <row r="46" spans="1:212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FY46" s="78" t="s">
        <v>147</v>
      </c>
      <c r="FZ46" s="77">
        <f t="shared" si="0"/>
        <v>16</v>
      </c>
      <c r="GA46" s="77"/>
      <c r="GB46" s="77"/>
      <c r="GC46" s="77"/>
      <c r="GD46" s="77"/>
      <c r="GE46" s="77"/>
      <c r="GF46" s="77"/>
      <c r="GG46" s="77"/>
      <c r="GH46" s="77"/>
      <c r="GI46" s="77"/>
      <c r="GJ46" s="77">
        <f t="shared" si="1"/>
        <v>16</v>
      </c>
      <c r="GK46" s="77">
        <f t="shared" si="2"/>
        <v>0</v>
      </c>
      <c r="GL46" s="77"/>
      <c r="GM46" s="77"/>
      <c r="GN46" s="77"/>
      <c r="GO46" s="77">
        <v>1</v>
      </c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</row>
    <row r="47" spans="1:212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FY47" s="78" t="s">
        <v>148</v>
      </c>
      <c r="FZ47" s="77">
        <f t="shared" si="0"/>
        <v>17</v>
      </c>
      <c r="GA47" s="77"/>
      <c r="GB47" s="77"/>
      <c r="GC47" s="77"/>
      <c r="GD47" s="77"/>
      <c r="GE47" s="77"/>
      <c r="GF47" s="77"/>
      <c r="GG47" s="77"/>
      <c r="GH47" s="77"/>
      <c r="GI47" s="77"/>
      <c r="GJ47" s="77">
        <f t="shared" si="1"/>
        <v>17</v>
      </c>
      <c r="GK47" s="77">
        <f t="shared" si="2"/>
        <v>0</v>
      </c>
      <c r="GL47" s="77"/>
      <c r="GM47" s="77"/>
      <c r="GN47" s="77"/>
      <c r="GO47" s="77"/>
      <c r="GP47" s="77">
        <v>1</v>
      </c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</row>
    <row r="48" spans="1:212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FY48" s="78" t="s">
        <v>149</v>
      </c>
      <c r="FZ48" s="77">
        <f t="shared" si="0"/>
        <v>18</v>
      </c>
      <c r="GA48" s="77"/>
      <c r="GB48" s="77"/>
      <c r="GC48" s="77"/>
      <c r="GD48" s="77"/>
      <c r="GE48" s="77"/>
      <c r="GF48" s="77"/>
      <c r="GG48" s="77"/>
      <c r="GH48" s="77"/>
      <c r="GI48" s="77"/>
      <c r="GJ48" s="77">
        <f t="shared" si="1"/>
        <v>18</v>
      </c>
      <c r="GK48" s="77">
        <f t="shared" si="2"/>
        <v>0</v>
      </c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</row>
    <row r="49" spans="1:212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FY49" s="78" t="s">
        <v>150</v>
      </c>
      <c r="FZ49" s="77">
        <f t="shared" si="0"/>
        <v>19</v>
      </c>
      <c r="GA49" s="77"/>
      <c r="GB49" s="77"/>
      <c r="GC49" s="77"/>
      <c r="GD49" s="77"/>
      <c r="GE49" s="77"/>
      <c r="GF49" s="77"/>
      <c r="GG49" s="77"/>
      <c r="GH49" s="77"/>
      <c r="GI49" s="77"/>
      <c r="GJ49" s="77">
        <f t="shared" si="1"/>
        <v>19</v>
      </c>
      <c r="GK49" s="77">
        <f t="shared" si="2"/>
        <v>0</v>
      </c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</row>
    <row r="50" spans="1:212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FY50" s="78" t="s">
        <v>151</v>
      </c>
      <c r="FZ50" s="77">
        <f t="shared" si="0"/>
        <v>20</v>
      </c>
      <c r="GA50" s="77"/>
      <c r="GB50" s="77"/>
      <c r="GC50" s="77"/>
      <c r="GD50" s="77"/>
      <c r="GE50" s="77"/>
      <c r="GF50" s="77"/>
      <c r="GG50" s="77"/>
      <c r="GH50" s="77"/>
      <c r="GI50" s="77"/>
      <c r="GJ50" s="77">
        <f t="shared" si="1"/>
        <v>20</v>
      </c>
      <c r="GK50" s="77">
        <f t="shared" si="2"/>
        <v>1</v>
      </c>
      <c r="GL50" s="77"/>
      <c r="GM50" s="77">
        <v>1</v>
      </c>
      <c r="GN50" s="77">
        <v>1</v>
      </c>
      <c r="GO50" s="77">
        <v>1</v>
      </c>
      <c r="GP50" s="77">
        <v>1</v>
      </c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</row>
    <row r="51" spans="1:212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FY51" s="78" t="s">
        <v>152</v>
      </c>
      <c r="FZ51" s="77">
        <f t="shared" si="0"/>
        <v>21</v>
      </c>
      <c r="GA51" s="77"/>
      <c r="GB51" s="77"/>
      <c r="GC51" s="77"/>
      <c r="GD51" s="77"/>
      <c r="GE51" s="77"/>
      <c r="GF51" s="77"/>
      <c r="GG51" s="77"/>
      <c r="GH51" s="77"/>
      <c r="GI51" s="77"/>
      <c r="GJ51" s="77">
        <f t="shared" si="1"/>
        <v>21</v>
      </c>
      <c r="GK51" s="77">
        <f t="shared" si="2"/>
        <v>0</v>
      </c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</row>
    <row r="52" spans="1:212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FY52" s="78" t="s">
        <v>153</v>
      </c>
      <c r="FZ52" s="77">
        <f t="shared" si="0"/>
        <v>22</v>
      </c>
      <c r="GA52" s="77"/>
      <c r="GB52" s="77"/>
      <c r="GC52" s="77"/>
      <c r="GD52" s="77"/>
      <c r="GE52" s="77"/>
      <c r="GF52" s="77"/>
      <c r="GG52" s="77"/>
      <c r="GH52" s="77"/>
      <c r="GI52" s="77"/>
      <c r="GJ52" s="77">
        <f t="shared" si="1"/>
        <v>22</v>
      </c>
      <c r="GK52" s="77">
        <f t="shared" si="2"/>
        <v>0</v>
      </c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</row>
    <row r="53" spans="1:212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FY53" s="78" t="s">
        <v>154</v>
      </c>
      <c r="FZ53" s="77">
        <f t="shared" si="0"/>
        <v>23</v>
      </c>
      <c r="GA53" s="77"/>
      <c r="GB53" s="77"/>
      <c r="GC53" s="77"/>
      <c r="GD53" s="77"/>
      <c r="GE53" s="77"/>
      <c r="GF53" s="77"/>
      <c r="GG53" s="77"/>
      <c r="GH53" s="77"/>
      <c r="GI53" s="77"/>
      <c r="GJ53" s="77">
        <f t="shared" si="1"/>
        <v>23</v>
      </c>
      <c r="GK53" s="77">
        <f t="shared" si="2"/>
        <v>0</v>
      </c>
      <c r="GL53" s="77"/>
      <c r="GM53" s="77"/>
      <c r="GN53" s="77"/>
      <c r="GO53" s="77"/>
      <c r="GP53" s="77">
        <v>1</v>
      </c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</row>
    <row r="54" spans="1:212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FY54" s="78" t="s">
        <v>155</v>
      </c>
      <c r="FZ54" s="77">
        <f t="shared" si="0"/>
        <v>24</v>
      </c>
      <c r="GA54" s="77"/>
      <c r="GB54" s="77"/>
      <c r="GC54" s="77"/>
      <c r="GD54" s="77"/>
      <c r="GE54" s="77"/>
      <c r="GF54" s="77"/>
      <c r="GG54" s="77"/>
      <c r="GH54" s="77"/>
      <c r="GI54" s="77"/>
      <c r="GJ54" s="77">
        <f t="shared" si="1"/>
        <v>24</v>
      </c>
      <c r="GK54" s="77">
        <f t="shared" si="2"/>
        <v>0</v>
      </c>
      <c r="GL54" s="77"/>
      <c r="GM54" s="77"/>
      <c r="GN54" s="77"/>
      <c r="GO54" s="77">
        <v>1</v>
      </c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</row>
    <row r="55" spans="1:212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FY55" s="78" t="s">
        <v>156</v>
      </c>
      <c r="FZ55" s="77">
        <f t="shared" si="0"/>
        <v>25</v>
      </c>
      <c r="GA55" s="77"/>
      <c r="GB55" s="77"/>
      <c r="GC55" s="77"/>
      <c r="GD55" s="77"/>
      <c r="GE55" s="77"/>
      <c r="GF55" s="77"/>
      <c r="GG55" s="77"/>
      <c r="GH55" s="77"/>
      <c r="GI55" s="77"/>
      <c r="GJ55" s="77">
        <f t="shared" si="1"/>
        <v>25</v>
      </c>
      <c r="GK55" s="77">
        <f t="shared" si="2"/>
        <v>0</v>
      </c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</row>
    <row r="56" spans="1:212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FY56" s="78" t="s">
        <v>157</v>
      </c>
      <c r="FZ56" s="77">
        <f t="shared" si="0"/>
        <v>26</v>
      </c>
      <c r="GA56" s="77"/>
      <c r="GB56" s="77"/>
      <c r="GC56" s="77"/>
      <c r="GD56" s="77"/>
      <c r="GE56" s="77"/>
      <c r="GF56" s="77"/>
      <c r="GG56" s="77"/>
      <c r="GH56" s="77"/>
      <c r="GI56" s="77"/>
      <c r="GJ56" s="77">
        <f t="shared" si="1"/>
        <v>26</v>
      </c>
      <c r="GK56" s="77">
        <f t="shared" si="2"/>
        <v>0</v>
      </c>
      <c r="GL56" s="77"/>
      <c r="GM56" s="77"/>
      <c r="GN56" s="77">
        <v>1</v>
      </c>
      <c r="GO56" s="77"/>
      <c r="GP56" s="77">
        <v>1</v>
      </c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</row>
    <row r="57" spans="1:212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FY57" s="78" t="s">
        <v>158</v>
      </c>
      <c r="FZ57" s="77">
        <f t="shared" si="0"/>
        <v>27</v>
      </c>
      <c r="GA57" s="77"/>
      <c r="GB57" s="77"/>
      <c r="GC57" s="77"/>
      <c r="GD57" s="77"/>
      <c r="GE57" s="77"/>
      <c r="GF57" s="77"/>
      <c r="GG57" s="77"/>
      <c r="GH57" s="77"/>
      <c r="GI57" s="77"/>
      <c r="GJ57" s="77">
        <f t="shared" si="1"/>
        <v>27</v>
      </c>
      <c r="GK57" s="77">
        <f t="shared" si="2"/>
        <v>0</v>
      </c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</row>
    <row r="58" spans="1:212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FY58" s="78" t="s">
        <v>159</v>
      </c>
      <c r="FZ58" s="77">
        <f t="shared" si="0"/>
        <v>28</v>
      </c>
      <c r="GA58" s="77"/>
      <c r="GB58" s="77"/>
      <c r="GC58" s="77"/>
      <c r="GD58" s="77"/>
      <c r="GE58" s="77"/>
      <c r="GF58" s="77"/>
      <c r="GG58" s="77"/>
      <c r="GH58" s="77"/>
      <c r="GI58" s="77"/>
      <c r="GJ58" s="77">
        <f t="shared" si="1"/>
        <v>28</v>
      </c>
      <c r="GK58" s="77">
        <f t="shared" si="2"/>
        <v>0</v>
      </c>
      <c r="GL58" s="77"/>
      <c r="GM58" s="77"/>
      <c r="GN58" s="77"/>
      <c r="GO58" s="77">
        <v>1</v>
      </c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</row>
    <row r="59" spans="1:212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FY59" s="78" t="s">
        <v>160</v>
      </c>
      <c r="FZ59" s="77">
        <f t="shared" si="0"/>
        <v>29</v>
      </c>
      <c r="GA59" s="77"/>
      <c r="GB59" s="77"/>
      <c r="GC59" s="77"/>
      <c r="GD59" s="77"/>
      <c r="GE59" s="77"/>
      <c r="GF59" s="77"/>
      <c r="GG59" s="77"/>
      <c r="GH59" s="77"/>
      <c r="GI59" s="77"/>
      <c r="GJ59" s="77">
        <f t="shared" si="1"/>
        <v>29</v>
      </c>
      <c r="GK59" s="77">
        <f t="shared" si="2"/>
        <v>0</v>
      </c>
      <c r="GL59" s="77"/>
      <c r="GM59" s="77"/>
      <c r="GN59" s="77"/>
      <c r="GO59" s="77"/>
      <c r="GP59" s="77">
        <v>1</v>
      </c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</row>
    <row r="60" spans="1:212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FY60" s="78" t="s">
        <v>161</v>
      </c>
      <c r="FZ60" s="77">
        <f t="shared" si="0"/>
        <v>30</v>
      </c>
      <c r="GA60" s="77"/>
      <c r="GB60" s="77"/>
      <c r="GC60" s="77"/>
      <c r="GD60" s="77"/>
      <c r="GE60" s="77"/>
      <c r="GF60" s="77"/>
      <c r="GG60" s="77"/>
      <c r="GH60" s="77"/>
      <c r="GI60" s="77"/>
      <c r="GJ60" s="77">
        <f t="shared" si="1"/>
        <v>30</v>
      </c>
      <c r="GK60" s="77">
        <f t="shared" si="2"/>
        <v>0</v>
      </c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</row>
    <row r="61" spans="1:212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FY61" s="78" t="s">
        <v>162</v>
      </c>
      <c r="FZ61" s="77">
        <f t="shared" si="0"/>
        <v>31</v>
      </c>
      <c r="GA61" s="77"/>
      <c r="GB61" s="77"/>
      <c r="GC61" s="77"/>
      <c r="GD61" s="77"/>
      <c r="GE61" s="77"/>
      <c r="GF61" s="77"/>
      <c r="GG61" s="77"/>
      <c r="GH61" s="77"/>
      <c r="GI61" s="77"/>
      <c r="GJ61" s="77">
        <f t="shared" si="1"/>
        <v>31</v>
      </c>
      <c r="GK61" s="77">
        <f t="shared" si="2"/>
        <v>0</v>
      </c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</row>
    <row r="62" spans="1:212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FY62" s="78" t="s">
        <v>163</v>
      </c>
      <c r="FZ62" s="77">
        <f t="shared" si="0"/>
        <v>32</v>
      </c>
      <c r="GA62" s="77"/>
      <c r="GB62" s="77"/>
      <c r="GC62" s="77"/>
      <c r="GD62" s="77"/>
      <c r="GE62" s="77"/>
      <c r="GF62" s="77"/>
      <c r="GG62" s="77"/>
      <c r="GH62" s="77"/>
      <c r="GI62" s="77"/>
      <c r="GJ62" s="77">
        <f t="shared" si="1"/>
        <v>32</v>
      </c>
      <c r="GK62" s="77">
        <f t="shared" si="2"/>
        <v>1</v>
      </c>
      <c r="GL62" s="77"/>
      <c r="GM62" s="77">
        <v>1</v>
      </c>
      <c r="GN62" s="77">
        <v>1</v>
      </c>
      <c r="GO62" s="77">
        <v>1</v>
      </c>
      <c r="GP62" s="77">
        <v>1</v>
      </c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</row>
    <row r="63" spans="1:212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FY63" s="78" t="s">
        <v>164</v>
      </c>
      <c r="FZ63" s="77">
        <f t="shared" si="0"/>
        <v>33</v>
      </c>
      <c r="GA63" s="77"/>
      <c r="GB63" s="77"/>
      <c r="GC63" s="77"/>
      <c r="GD63" s="77"/>
      <c r="GE63" s="77"/>
      <c r="GF63" s="77"/>
      <c r="GG63" s="77"/>
      <c r="GH63" s="77"/>
      <c r="GI63" s="77"/>
      <c r="GJ63" s="77">
        <f t="shared" si="1"/>
        <v>33</v>
      </c>
      <c r="GK63" s="77">
        <f t="shared" si="2"/>
        <v>0</v>
      </c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</row>
    <row r="64" spans="1:212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FY64" s="78" t="s">
        <v>165</v>
      </c>
      <c r="FZ64" s="77">
        <f t="shared" si="0"/>
        <v>34</v>
      </c>
      <c r="GA64" s="77"/>
      <c r="GB64" s="77"/>
      <c r="GC64" s="77"/>
      <c r="GD64" s="77"/>
      <c r="GE64" s="77"/>
      <c r="GF64" s="77"/>
      <c r="GG64" s="77"/>
      <c r="GH64" s="77"/>
      <c r="GI64" s="77"/>
      <c r="GJ64" s="77">
        <f t="shared" si="1"/>
        <v>34</v>
      </c>
      <c r="GK64" s="77">
        <f t="shared" si="2"/>
        <v>0</v>
      </c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</row>
    <row r="65" spans="1:212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FY65" s="78" t="s">
        <v>166</v>
      </c>
      <c r="FZ65" s="77">
        <f t="shared" si="0"/>
        <v>35</v>
      </c>
      <c r="GA65" s="77"/>
      <c r="GB65" s="77"/>
      <c r="GC65" s="77"/>
      <c r="GD65" s="77"/>
      <c r="GE65" s="77"/>
      <c r="GF65" s="77"/>
      <c r="GG65" s="77"/>
      <c r="GH65" s="77"/>
      <c r="GI65" s="77"/>
      <c r="GJ65" s="77">
        <f t="shared" si="1"/>
        <v>35</v>
      </c>
      <c r="GK65" s="77">
        <f t="shared" si="2"/>
        <v>0</v>
      </c>
      <c r="GL65" s="77"/>
      <c r="GM65" s="77"/>
      <c r="GN65" s="77"/>
      <c r="GO65" s="77"/>
      <c r="GP65" s="77">
        <v>1</v>
      </c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</row>
    <row r="66" spans="1:212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FY66" s="78" t="s">
        <v>167</v>
      </c>
      <c r="FZ66" s="77">
        <f t="shared" si="0"/>
        <v>36</v>
      </c>
      <c r="GA66" s="77"/>
      <c r="GB66" s="77"/>
      <c r="GC66" s="77"/>
      <c r="GD66" s="77"/>
      <c r="GE66" s="77"/>
      <c r="GF66" s="77"/>
      <c r="GG66" s="77"/>
      <c r="GH66" s="77"/>
      <c r="GI66" s="77"/>
      <c r="GJ66" s="77">
        <f t="shared" si="1"/>
        <v>36</v>
      </c>
      <c r="GK66" s="77">
        <f t="shared" si="2"/>
        <v>0</v>
      </c>
      <c r="GL66" s="77"/>
      <c r="GM66" s="77"/>
      <c r="GN66" s="77"/>
      <c r="GO66" s="77">
        <v>1</v>
      </c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</row>
    <row r="67" spans="1:212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FY67" s="78" t="s">
        <v>168</v>
      </c>
      <c r="FZ67" s="77">
        <f t="shared" si="0"/>
        <v>37</v>
      </c>
      <c r="GA67" s="77"/>
      <c r="GB67" s="77"/>
      <c r="GC67" s="77"/>
      <c r="GD67" s="77"/>
      <c r="GE67" s="77"/>
      <c r="GF67" s="77"/>
      <c r="GG67" s="77"/>
      <c r="GH67" s="77"/>
      <c r="GI67" s="77"/>
      <c r="GJ67" s="77">
        <f t="shared" si="1"/>
        <v>37</v>
      </c>
      <c r="GK67" s="77">
        <f t="shared" si="2"/>
        <v>0</v>
      </c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</row>
    <row r="68" spans="1:212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FY68" s="78" t="s">
        <v>169</v>
      </c>
      <c r="FZ68" s="77">
        <f aca="true" t="shared" si="15" ref="FZ68:FZ121">1+FZ67</f>
        <v>38</v>
      </c>
      <c r="GA68" s="77"/>
      <c r="GB68" s="77"/>
      <c r="GC68" s="77"/>
      <c r="GD68" s="77"/>
      <c r="GE68" s="77"/>
      <c r="GF68" s="77"/>
      <c r="GG68" s="77"/>
      <c r="GH68" s="77"/>
      <c r="GI68" s="77"/>
      <c r="GJ68" s="77">
        <f aca="true" t="shared" si="16" ref="GJ68:GJ131">+GJ67+1</f>
        <v>38</v>
      </c>
      <c r="GK68" s="77">
        <f t="shared" si="2"/>
        <v>0</v>
      </c>
      <c r="GL68" s="77"/>
      <c r="GM68" s="77"/>
      <c r="GN68" s="77">
        <v>1</v>
      </c>
      <c r="GO68" s="77"/>
      <c r="GP68" s="77">
        <v>1</v>
      </c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</row>
    <row r="69" spans="1:212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FY69" s="78" t="s">
        <v>170</v>
      </c>
      <c r="FZ69" s="77">
        <f t="shared" si="15"/>
        <v>39</v>
      </c>
      <c r="GA69" s="77"/>
      <c r="GB69" s="77"/>
      <c r="GC69" s="77"/>
      <c r="GD69" s="77"/>
      <c r="GE69" s="77"/>
      <c r="GF69" s="77"/>
      <c r="GG69" s="77"/>
      <c r="GH69" s="77"/>
      <c r="GI69" s="77"/>
      <c r="GJ69" s="77">
        <f t="shared" si="16"/>
        <v>39</v>
      </c>
      <c r="GK69" s="77">
        <f aca="true" t="shared" si="17" ref="GK69:GK132">+IF($C$8=$GM$1,GM69,IF($C$8=$GN$1,GN69,IF($C$8=$GO$1,GO69,IF($C$8=$GP$1,GP69,0))))</f>
        <v>0</v>
      </c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</row>
    <row r="70" spans="1:212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FY70" s="78" t="s">
        <v>171</v>
      </c>
      <c r="FZ70" s="77">
        <f t="shared" si="15"/>
        <v>40</v>
      </c>
      <c r="GA70" s="77"/>
      <c r="GB70" s="77"/>
      <c r="GC70" s="77"/>
      <c r="GD70" s="77"/>
      <c r="GE70" s="77"/>
      <c r="GF70" s="77"/>
      <c r="GG70" s="77"/>
      <c r="GH70" s="77"/>
      <c r="GI70" s="77"/>
      <c r="GJ70" s="77">
        <f t="shared" si="16"/>
        <v>40</v>
      </c>
      <c r="GK70" s="77">
        <f t="shared" si="17"/>
        <v>0</v>
      </c>
      <c r="GL70" s="77"/>
      <c r="GM70" s="77"/>
      <c r="GN70" s="77"/>
      <c r="GO70" s="77">
        <v>1</v>
      </c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</row>
    <row r="71" spans="1:21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FY71" s="78" t="s">
        <v>172</v>
      </c>
      <c r="FZ71" s="77">
        <f t="shared" si="15"/>
        <v>41</v>
      </c>
      <c r="GA71" s="77"/>
      <c r="GB71" s="77"/>
      <c r="GC71" s="77"/>
      <c r="GD71" s="77"/>
      <c r="GE71" s="77"/>
      <c r="GF71" s="77"/>
      <c r="GG71" s="77"/>
      <c r="GH71" s="77"/>
      <c r="GI71" s="77"/>
      <c r="GJ71" s="77">
        <f t="shared" si="16"/>
        <v>41</v>
      </c>
      <c r="GK71" s="77">
        <f t="shared" si="17"/>
        <v>0</v>
      </c>
      <c r="GL71" s="77"/>
      <c r="GM71" s="77"/>
      <c r="GN71" s="77"/>
      <c r="GO71" s="77"/>
      <c r="GP71" s="77">
        <v>1</v>
      </c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</row>
    <row r="72" spans="1:21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FY72" s="78" t="s">
        <v>173</v>
      </c>
      <c r="FZ72" s="77">
        <f t="shared" si="15"/>
        <v>42</v>
      </c>
      <c r="GA72" s="77"/>
      <c r="GB72" s="77"/>
      <c r="GC72" s="77"/>
      <c r="GD72" s="77"/>
      <c r="GE72" s="77"/>
      <c r="GF72" s="77"/>
      <c r="GG72" s="77"/>
      <c r="GH72" s="77"/>
      <c r="GI72" s="77"/>
      <c r="GJ72" s="77">
        <f t="shared" si="16"/>
        <v>42</v>
      </c>
      <c r="GK72" s="77">
        <f t="shared" si="17"/>
        <v>0</v>
      </c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</row>
    <row r="73" spans="1:21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FY73" s="78" t="s">
        <v>174</v>
      </c>
      <c r="FZ73" s="77">
        <f t="shared" si="15"/>
        <v>43</v>
      </c>
      <c r="GA73" s="77"/>
      <c r="GB73" s="77"/>
      <c r="GC73" s="77"/>
      <c r="GD73" s="77"/>
      <c r="GE73" s="77"/>
      <c r="GF73" s="77"/>
      <c r="GG73" s="77"/>
      <c r="GH73" s="77"/>
      <c r="GI73" s="77"/>
      <c r="GJ73" s="77">
        <f t="shared" si="16"/>
        <v>43</v>
      </c>
      <c r="GK73" s="77">
        <f t="shared" si="17"/>
        <v>0</v>
      </c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</row>
    <row r="74" spans="1:21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FY74" s="78" t="s">
        <v>175</v>
      </c>
      <c r="FZ74" s="77">
        <f t="shared" si="15"/>
        <v>44</v>
      </c>
      <c r="GA74" s="77"/>
      <c r="GB74" s="77"/>
      <c r="GC74" s="77"/>
      <c r="GD74" s="77"/>
      <c r="GE74" s="77"/>
      <c r="GF74" s="77"/>
      <c r="GG74" s="77"/>
      <c r="GH74" s="77"/>
      <c r="GI74" s="77"/>
      <c r="GJ74" s="77">
        <f t="shared" si="16"/>
        <v>44</v>
      </c>
      <c r="GK74" s="77">
        <f t="shared" si="17"/>
        <v>1</v>
      </c>
      <c r="GL74" s="77"/>
      <c r="GM74" s="77">
        <v>1</v>
      </c>
      <c r="GN74" s="77">
        <v>1</v>
      </c>
      <c r="GO74" s="77">
        <v>1</v>
      </c>
      <c r="GP74" s="77">
        <v>1</v>
      </c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</row>
    <row r="75" spans="1:212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FY75" s="78" t="s">
        <v>176</v>
      </c>
      <c r="FZ75" s="77">
        <f t="shared" si="15"/>
        <v>45</v>
      </c>
      <c r="GA75" s="77"/>
      <c r="GB75" s="77"/>
      <c r="GC75" s="77"/>
      <c r="GD75" s="77"/>
      <c r="GE75" s="77"/>
      <c r="GF75" s="77"/>
      <c r="GG75" s="77"/>
      <c r="GH75" s="77"/>
      <c r="GI75" s="77"/>
      <c r="GJ75" s="77">
        <f t="shared" si="16"/>
        <v>45</v>
      </c>
      <c r="GK75" s="77">
        <f t="shared" si="17"/>
        <v>0</v>
      </c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</row>
    <row r="76" spans="1:212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FY76" s="78" t="s">
        <v>177</v>
      </c>
      <c r="FZ76" s="77">
        <f t="shared" si="15"/>
        <v>46</v>
      </c>
      <c r="GA76" s="77"/>
      <c r="GB76" s="77"/>
      <c r="GC76" s="77"/>
      <c r="GD76" s="77"/>
      <c r="GE76" s="77"/>
      <c r="GF76" s="77"/>
      <c r="GG76" s="77"/>
      <c r="GH76" s="77"/>
      <c r="GI76" s="77"/>
      <c r="GJ76" s="77">
        <f t="shared" si="16"/>
        <v>46</v>
      </c>
      <c r="GK76" s="77">
        <f t="shared" si="17"/>
        <v>0</v>
      </c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</row>
    <row r="77" spans="1:212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FY77" s="78" t="s">
        <v>178</v>
      </c>
      <c r="FZ77" s="77">
        <f t="shared" si="15"/>
        <v>47</v>
      </c>
      <c r="GA77" s="77"/>
      <c r="GB77" s="77"/>
      <c r="GC77" s="77"/>
      <c r="GD77" s="77"/>
      <c r="GE77" s="77"/>
      <c r="GF77" s="77"/>
      <c r="GG77" s="77"/>
      <c r="GH77" s="77"/>
      <c r="GI77" s="77"/>
      <c r="GJ77" s="77">
        <f t="shared" si="16"/>
        <v>47</v>
      </c>
      <c r="GK77" s="77">
        <f t="shared" si="17"/>
        <v>0</v>
      </c>
      <c r="GL77" s="77"/>
      <c r="GM77" s="77"/>
      <c r="GN77" s="77"/>
      <c r="GO77" s="77"/>
      <c r="GP77" s="77">
        <v>1</v>
      </c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</row>
    <row r="78" spans="1:212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FY78" s="78" t="s">
        <v>179</v>
      </c>
      <c r="FZ78" s="77">
        <f t="shared" si="15"/>
        <v>48</v>
      </c>
      <c r="GA78" s="77"/>
      <c r="GB78" s="77"/>
      <c r="GC78" s="77"/>
      <c r="GD78" s="77"/>
      <c r="GE78" s="77"/>
      <c r="GF78" s="77"/>
      <c r="GG78" s="77"/>
      <c r="GH78" s="77"/>
      <c r="GI78" s="77"/>
      <c r="GJ78" s="77">
        <f t="shared" si="16"/>
        <v>48</v>
      </c>
      <c r="GK78" s="77">
        <f t="shared" si="17"/>
        <v>0</v>
      </c>
      <c r="GL78" s="77"/>
      <c r="GM78" s="77"/>
      <c r="GN78" s="77"/>
      <c r="GO78" s="77">
        <v>1</v>
      </c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</row>
    <row r="79" spans="1:212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FY79" s="78" t="s">
        <v>180</v>
      </c>
      <c r="FZ79" s="77">
        <f t="shared" si="15"/>
        <v>49</v>
      </c>
      <c r="GA79" s="77"/>
      <c r="GB79" s="77"/>
      <c r="GC79" s="77"/>
      <c r="GD79" s="77"/>
      <c r="GE79" s="77"/>
      <c r="GF79" s="77"/>
      <c r="GG79" s="77"/>
      <c r="GH79" s="77"/>
      <c r="GI79" s="77"/>
      <c r="GJ79" s="77">
        <f t="shared" si="16"/>
        <v>49</v>
      </c>
      <c r="GK79" s="77">
        <f t="shared" si="17"/>
        <v>0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</row>
    <row r="80" spans="1:212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FY80" s="78" t="s">
        <v>181</v>
      </c>
      <c r="FZ80" s="77">
        <f t="shared" si="15"/>
        <v>50</v>
      </c>
      <c r="GA80" s="77"/>
      <c r="GB80" s="77"/>
      <c r="GC80" s="77"/>
      <c r="GD80" s="77"/>
      <c r="GE80" s="77"/>
      <c r="GF80" s="77"/>
      <c r="GG80" s="77"/>
      <c r="GH80" s="77"/>
      <c r="GI80" s="77"/>
      <c r="GJ80" s="77">
        <f t="shared" si="16"/>
        <v>50</v>
      </c>
      <c r="GK80" s="77">
        <f t="shared" si="17"/>
        <v>0</v>
      </c>
      <c r="GL80" s="77"/>
      <c r="GM80" s="77"/>
      <c r="GN80" s="77">
        <v>1</v>
      </c>
      <c r="GO80" s="77"/>
      <c r="GP80" s="77">
        <v>1</v>
      </c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</row>
    <row r="81" spans="1:212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FY81" s="78" t="s">
        <v>182</v>
      </c>
      <c r="FZ81" s="77">
        <f t="shared" si="15"/>
        <v>51</v>
      </c>
      <c r="GA81" s="77"/>
      <c r="GB81" s="77"/>
      <c r="GC81" s="77"/>
      <c r="GD81" s="77"/>
      <c r="GE81" s="77"/>
      <c r="GF81" s="77"/>
      <c r="GG81" s="77"/>
      <c r="GH81" s="77"/>
      <c r="GI81" s="77"/>
      <c r="GJ81" s="77">
        <f t="shared" si="16"/>
        <v>51</v>
      </c>
      <c r="GK81" s="77">
        <f t="shared" si="17"/>
        <v>0</v>
      </c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</row>
    <row r="82" spans="1:212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FY82" s="78" t="s">
        <v>183</v>
      </c>
      <c r="FZ82" s="77">
        <f t="shared" si="15"/>
        <v>52</v>
      </c>
      <c r="GA82" s="77"/>
      <c r="GB82" s="77"/>
      <c r="GC82" s="77"/>
      <c r="GD82" s="77"/>
      <c r="GE82" s="77"/>
      <c r="GF82" s="77"/>
      <c r="GG82" s="77"/>
      <c r="GH82" s="77"/>
      <c r="GI82" s="77"/>
      <c r="GJ82" s="77">
        <f t="shared" si="16"/>
        <v>52</v>
      </c>
      <c r="GK82" s="77">
        <f t="shared" si="17"/>
        <v>0</v>
      </c>
      <c r="GL82" s="77"/>
      <c r="GM82" s="77"/>
      <c r="GN82" s="77"/>
      <c r="GO82" s="77">
        <v>1</v>
      </c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</row>
    <row r="83" spans="1:212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FY83" s="78" t="s">
        <v>184</v>
      </c>
      <c r="FZ83" s="77">
        <f t="shared" si="15"/>
        <v>53</v>
      </c>
      <c r="GA83" s="77"/>
      <c r="GB83" s="77"/>
      <c r="GC83" s="77"/>
      <c r="GD83" s="77"/>
      <c r="GE83" s="77"/>
      <c r="GF83" s="77"/>
      <c r="GG83" s="77"/>
      <c r="GH83" s="77"/>
      <c r="GI83" s="77"/>
      <c r="GJ83" s="77">
        <f t="shared" si="16"/>
        <v>53</v>
      </c>
      <c r="GK83" s="77">
        <f t="shared" si="17"/>
        <v>0</v>
      </c>
      <c r="GL83" s="77"/>
      <c r="GM83" s="77"/>
      <c r="GN83" s="77"/>
      <c r="GO83" s="77"/>
      <c r="GP83" s="77">
        <v>1</v>
      </c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</row>
    <row r="84" spans="1:212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FY84" s="78" t="s">
        <v>185</v>
      </c>
      <c r="FZ84" s="77">
        <f t="shared" si="15"/>
        <v>54</v>
      </c>
      <c r="GA84" s="77"/>
      <c r="GB84" s="77"/>
      <c r="GC84" s="77"/>
      <c r="GD84" s="77"/>
      <c r="GE84" s="77"/>
      <c r="GF84" s="77"/>
      <c r="GG84" s="77"/>
      <c r="GH84" s="77"/>
      <c r="GI84" s="77"/>
      <c r="GJ84" s="77">
        <f t="shared" si="16"/>
        <v>54</v>
      </c>
      <c r="GK84" s="77">
        <f t="shared" si="17"/>
        <v>0</v>
      </c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</row>
    <row r="85" spans="1:212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FY85" s="78" t="s">
        <v>186</v>
      </c>
      <c r="FZ85" s="77">
        <f t="shared" si="15"/>
        <v>55</v>
      </c>
      <c r="GA85" s="77"/>
      <c r="GB85" s="77"/>
      <c r="GC85" s="77"/>
      <c r="GD85" s="77"/>
      <c r="GE85" s="77"/>
      <c r="GF85" s="77"/>
      <c r="GG85" s="77"/>
      <c r="GH85" s="77"/>
      <c r="GI85" s="77"/>
      <c r="GJ85" s="77">
        <f t="shared" si="16"/>
        <v>55</v>
      </c>
      <c r="GK85" s="77">
        <f t="shared" si="17"/>
        <v>0</v>
      </c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</row>
    <row r="86" spans="1:212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FY86" s="78" t="s">
        <v>187</v>
      </c>
      <c r="FZ86" s="77">
        <f t="shared" si="15"/>
        <v>56</v>
      </c>
      <c r="GA86" s="77"/>
      <c r="GB86" s="77"/>
      <c r="GC86" s="77"/>
      <c r="GD86" s="77"/>
      <c r="GE86" s="77"/>
      <c r="GF86" s="77"/>
      <c r="GG86" s="77"/>
      <c r="GH86" s="77"/>
      <c r="GI86" s="77"/>
      <c r="GJ86" s="77">
        <f t="shared" si="16"/>
        <v>56</v>
      </c>
      <c r="GK86" s="77">
        <f t="shared" si="17"/>
        <v>1</v>
      </c>
      <c r="GL86" s="77"/>
      <c r="GM86" s="77">
        <v>1</v>
      </c>
      <c r="GN86" s="77">
        <v>1</v>
      </c>
      <c r="GO86" s="77">
        <v>1</v>
      </c>
      <c r="GP86" s="77">
        <v>1</v>
      </c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</row>
    <row r="87" spans="1:212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FY87" s="78" t="s">
        <v>188</v>
      </c>
      <c r="FZ87" s="77">
        <f t="shared" si="15"/>
        <v>57</v>
      </c>
      <c r="GA87" s="77"/>
      <c r="GB87" s="77"/>
      <c r="GC87" s="77"/>
      <c r="GD87" s="77"/>
      <c r="GE87" s="77"/>
      <c r="GF87" s="77"/>
      <c r="GG87" s="77"/>
      <c r="GH87" s="77"/>
      <c r="GI87" s="77"/>
      <c r="GJ87" s="77">
        <f t="shared" si="16"/>
        <v>57</v>
      </c>
      <c r="GK87" s="77">
        <f t="shared" si="17"/>
        <v>0</v>
      </c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</row>
    <row r="88" spans="1:212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FY88" s="78" t="s">
        <v>189</v>
      </c>
      <c r="FZ88" s="77">
        <f t="shared" si="15"/>
        <v>58</v>
      </c>
      <c r="GA88" s="77"/>
      <c r="GB88" s="77"/>
      <c r="GC88" s="77"/>
      <c r="GD88" s="77"/>
      <c r="GE88" s="77"/>
      <c r="GF88" s="77"/>
      <c r="GG88" s="77"/>
      <c r="GH88" s="77"/>
      <c r="GI88" s="77"/>
      <c r="GJ88" s="77">
        <f t="shared" si="16"/>
        <v>58</v>
      </c>
      <c r="GK88" s="77">
        <f t="shared" si="17"/>
        <v>0</v>
      </c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</row>
    <row r="89" spans="1:212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FY89" s="78" t="s">
        <v>190</v>
      </c>
      <c r="FZ89" s="77">
        <f t="shared" si="15"/>
        <v>59</v>
      </c>
      <c r="GA89" s="77"/>
      <c r="GB89" s="77"/>
      <c r="GC89" s="77"/>
      <c r="GD89" s="77"/>
      <c r="GE89" s="77"/>
      <c r="GF89" s="77"/>
      <c r="GG89" s="77"/>
      <c r="GH89" s="77"/>
      <c r="GI89" s="77"/>
      <c r="GJ89" s="77">
        <f t="shared" si="16"/>
        <v>59</v>
      </c>
      <c r="GK89" s="77">
        <f t="shared" si="17"/>
        <v>0</v>
      </c>
      <c r="GL89" s="77"/>
      <c r="GM89" s="77"/>
      <c r="GN89" s="77"/>
      <c r="GO89" s="77"/>
      <c r="GP89" s="77">
        <v>1</v>
      </c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</row>
    <row r="90" spans="1:212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FY90" s="78" t="s">
        <v>191</v>
      </c>
      <c r="FZ90" s="77">
        <f t="shared" si="15"/>
        <v>60</v>
      </c>
      <c r="GA90" s="77"/>
      <c r="GB90" s="77"/>
      <c r="GC90" s="77"/>
      <c r="GD90" s="77"/>
      <c r="GE90" s="77"/>
      <c r="GF90" s="77"/>
      <c r="GG90" s="77"/>
      <c r="GH90" s="77"/>
      <c r="GI90" s="77"/>
      <c r="GJ90" s="77">
        <f t="shared" si="16"/>
        <v>60</v>
      </c>
      <c r="GK90" s="77">
        <f t="shared" si="17"/>
        <v>0</v>
      </c>
      <c r="GL90" s="77"/>
      <c r="GM90" s="77"/>
      <c r="GN90" s="77"/>
      <c r="GO90" s="77">
        <v>1</v>
      </c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</row>
    <row r="91" spans="1:212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FY91" s="78" t="s">
        <v>192</v>
      </c>
      <c r="FZ91" s="77">
        <f t="shared" si="15"/>
        <v>61</v>
      </c>
      <c r="GA91" s="77"/>
      <c r="GB91" s="77"/>
      <c r="GC91" s="77"/>
      <c r="GD91" s="77"/>
      <c r="GE91" s="77"/>
      <c r="GF91" s="77"/>
      <c r="GG91" s="77"/>
      <c r="GH91" s="77"/>
      <c r="GI91" s="77"/>
      <c r="GJ91" s="77">
        <f t="shared" si="16"/>
        <v>61</v>
      </c>
      <c r="GK91" s="77">
        <f t="shared" si="17"/>
        <v>0</v>
      </c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</row>
    <row r="92" spans="1:212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FY92" s="78" t="s">
        <v>193</v>
      </c>
      <c r="FZ92" s="77">
        <f t="shared" si="15"/>
        <v>62</v>
      </c>
      <c r="GA92" s="77"/>
      <c r="GB92" s="77"/>
      <c r="GC92" s="77"/>
      <c r="GD92" s="77"/>
      <c r="GE92" s="77"/>
      <c r="GF92" s="77"/>
      <c r="GG92" s="77"/>
      <c r="GH92" s="77"/>
      <c r="GI92" s="77"/>
      <c r="GJ92" s="77">
        <f t="shared" si="16"/>
        <v>62</v>
      </c>
      <c r="GK92" s="77">
        <f t="shared" si="17"/>
        <v>0</v>
      </c>
      <c r="GL92" s="77"/>
      <c r="GM92" s="77"/>
      <c r="GN92" s="77">
        <v>1</v>
      </c>
      <c r="GO92" s="77"/>
      <c r="GP92" s="77">
        <v>1</v>
      </c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</row>
    <row r="93" spans="1:212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FY93" s="78" t="s">
        <v>194</v>
      </c>
      <c r="FZ93" s="77">
        <f t="shared" si="15"/>
        <v>63</v>
      </c>
      <c r="GA93" s="77"/>
      <c r="GB93" s="77"/>
      <c r="GC93" s="77"/>
      <c r="GD93" s="77"/>
      <c r="GE93" s="77"/>
      <c r="GF93" s="77"/>
      <c r="GG93" s="77"/>
      <c r="GH93" s="77"/>
      <c r="GI93" s="77"/>
      <c r="GJ93" s="77">
        <f t="shared" si="16"/>
        <v>63</v>
      </c>
      <c r="GK93" s="77">
        <f t="shared" si="17"/>
        <v>0</v>
      </c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</row>
    <row r="94" spans="1:212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FY94" s="78" t="s">
        <v>195</v>
      </c>
      <c r="FZ94" s="77">
        <f t="shared" si="15"/>
        <v>64</v>
      </c>
      <c r="GA94" s="77"/>
      <c r="GB94" s="77"/>
      <c r="GC94" s="77"/>
      <c r="GD94" s="77"/>
      <c r="GE94" s="77"/>
      <c r="GF94" s="77"/>
      <c r="GG94" s="77"/>
      <c r="GH94" s="77"/>
      <c r="GI94" s="77"/>
      <c r="GJ94" s="77">
        <f t="shared" si="16"/>
        <v>64</v>
      </c>
      <c r="GK94" s="77">
        <f t="shared" si="17"/>
        <v>0</v>
      </c>
      <c r="GL94" s="77"/>
      <c r="GM94" s="77"/>
      <c r="GN94" s="77"/>
      <c r="GO94" s="77">
        <v>1</v>
      </c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</row>
    <row r="95" spans="1:212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FY95" s="78" t="s">
        <v>196</v>
      </c>
      <c r="FZ95" s="77">
        <f t="shared" si="15"/>
        <v>65</v>
      </c>
      <c r="GA95" s="77"/>
      <c r="GB95" s="77"/>
      <c r="GC95" s="77"/>
      <c r="GD95" s="77"/>
      <c r="GE95" s="77"/>
      <c r="GF95" s="77"/>
      <c r="GG95" s="77"/>
      <c r="GH95" s="77"/>
      <c r="GI95" s="77"/>
      <c r="GJ95" s="77">
        <f t="shared" si="16"/>
        <v>65</v>
      </c>
      <c r="GK95" s="77">
        <f t="shared" si="17"/>
        <v>0</v>
      </c>
      <c r="GL95" s="77"/>
      <c r="GM95" s="77"/>
      <c r="GN95" s="77"/>
      <c r="GO95" s="77"/>
      <c r="GP95" s="77">
        <v>1</v>
      </c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</row>
    <row r="96" spans="1:212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FY96" s="78" t="s">
        <v>197</v>
      </c>
      <c r="FZ96" s="77">
        <f t="shared" si="15"/>
        <v>66</v>
      </c>
      <c r="GA96" s="77"/>
      <c r="GB96" s="77"/>
      <c r="GC96" s="77"/>
      <c r="GD96" s="77"/>
      <c r="GE96" s="77"/>
      <c r="GF96" s="77"/>
      <c r="GG96" s="77"/>
      <c r="GH96" s="77"/>
      <c r="GI96" s="77"/>
      <c r="GJ96" s="77">
        <f t="shared" si="16"/>
        <v>66</v>
      </c>
      <c r="GK96" s="77">
        <f t="shared" si="17"/>
        <v>0</v>
      </c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</row>
    <row r="97" spans="1:212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FY97" s="78" t="s">
        <v>198</v>
      </c>
      <c r="FZ97" s="77">
        <f t="shared" si="15"/>
        <v>67</v>
      </c>
      <c r="GA97" s="77"/>
      <c r="GB97" s="77"/>
      <c r="GC97" s="77"/>
      <c r="GD97" s="77"/>
      <c r="GE97" s="77"/>
      <c r="GF97" s="77"/>
      <c r="GG97" s="77"/>
      <c r="GH97" s="77"/>
      <c r="GI97" s="77"/>
      <c r="GJ97" s="77">
        <f t="shared" si="16"/>
        <v>67</v>
      </c>
      <c r="GK97" s="77">
        <f t="shared" si="17"/>
        <v>0</v>
      </c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</row>
    <row r="98" spans="1:212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FY98" s="78" t="s">
        <v>199</v>
      </c>
      <c r="FZ98" s="77">
        <f t="shared" si="15"/>
        <v>68</v>
      </c>
      <c r="GA98" s="77"/>
      <c r="GB98" s="77"/>
      <c r="GC98" s="77"/>
      <c r="GD98" s="77"/>
      <c r="GE98" s="77"/>
      <c r="GF98" s="77"/>
      <c r="GG98" s="77"/>
      <c r="GH98" s="77"/>
      <c r="GI98" s="77"/>
      <c r="GJ98" s="77">
        <f t="shared" si="16"/>
        <v>68</v>
      </c>
      <c r="GK98" s="77">
        <f t="shared" si="17"/>
        <v>1</v>
      </c>
      <c r="GL98" s="77"/>
      <c r="GM98" s="77">
        <v>1</v>
      </c>
      <c r="GN98" s="77">
        <v>1</v>
      </c>
      <c r="GO98" s="77">
        <v>1</v>
      </c>
      <c r="GP98" s="77">
        <v>1</v>
      </c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</row>
    <row r="99" spans="1:212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FY99" s="78" t="s">
        <v>200</v>
      </c>
      <c r="FZ99" s="77">
        <f t="shared" si="15"/>
        <v>69</v>
      </c>
      <c r="GA99" s="77"/>
      <c r="GB99" s="77"/>
      <c r="GC99" s="77"/>
      <c r="GD99" s="77"/>
      <c r="GE99" s="77"/>
      <c r="GF99" s="77"/>
      <c r="GG99" s="77"/>
      <c r="GH99" s="77"/>
      <c r="GI99" s="77"/>
      <c r="GJ99" s="77">
        <f t="shared" si="16"/>
        <v>69</v>
      </c>
      <c r="GK99" s="77">
        <f t="shared" si="17"/>
        <v>0</v>
      </c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</row>
    <row r="100" spans="1:212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FY100" s="78" t="s">
        <v>201</v>
      </c>
      <c r="FZ100" s="77">
        <f t="shared" si="15"/>
        <v>70</v>
      </c>
      <c r="GA100" s="77"/>
      <c r="GB100" s="77"/>
      <c r="GC100" s="77"/>
      <c r="GD100" s="77"/>
      <c r="GE100" s="77"/>
      <c r="GF100" s="77"/>
      <c r="GG100" s="77"/>
      <c r="GH100" s="77"/>
      <c r="GI100" s="77"/>
      <c r="GJ100" s="77">
        <f t="shared" si="16"/>
        <v>70</v>
      </c>
      <c r="GK100" s="77">
        <f t="shared" si="17"/>
        <v>0</v>
      </c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</row>
    <row r="101" spans="1:212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FY101" s="78" t="s">
        <v>202</v>
      </c>
      <c r="FZ101" s="77">
        <f t="shared" si="15"/>
        <v>71</v>
      </c>
      <c r="GA101" s="77"/>
      <c r="GB101" s="77"/>
      <c r="GC101" s="77"/>
      <c r="GD101" s="77"/>
      <c r="GE101" s="77"/>
      <c r="GF101" s="77"/>
      <c r="GG101" s="77"/>
      <c r="GH101" s="77"/>
      <c r="GI101" s="77"/>
      <c r="GJ101" s="77">
        <f t="shared" si="16"/>
        <v>71</v>
      </c>
      <c r="GK101" s="77">
        <f t="shared" si="17"/>
        <v>0</v>
      </c>
      <c r="GL101" s="77"/>
      <c r="GM101" s="77"/>
      <c r="GN101" s="77"/>
      <c r="GO101" s="77"/>
      <c r="GP101" s="77">
        <v>1</v>
      </c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</row>
    <row r="102" spans="1:212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FY102" s="78" t="s">
        <v>203</v>
      </c>
      <c r="FZ102" s="77">
        <f t="shared" si="15"/>
        <v>72</v>
      </c>
      <c r="GA102" s="77"/>
      <c r="GB102" s="77"/>
      <c r="GC102" s="77"/>
      <c r="GD102" s="77"/>
      <c r="GE102" s="77"/>
      <c r="GF102" s="77"/>
      <c r="GG102" s="77"/>
      <c r="GH102" s="77"/>
      <c r="GI102" s="77"/>
      <c r="GJ102" s="77">
        <f t="shared" si="16"/>
        <v>72</v>
      </c>
      <c r="GK102" s="77">
        <f t="shared" si="17"/>
        <v>0</v>
      </c>
      <c r="GL102" s="77"/>
      <c r="GM102" s="77"/>
      <c r="GN102" s="77"/>
      <c r="GO102" s="77">
        <v>1</v>
      </c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</row>
    <row r="103" spans="1:212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FY103" s="78" t="s">
        <v>204</v>
      </c>
      <c r="FZ103" s="77">
        <f t="shared" si="15"/>
        <v>73</v>
      </c>
      <c r="GA103" s="77"/>
      <c r="GB103" s="77"/>
      <c r="GC103" s="77"/>
      <c r="GD103" s="77"/>
      <c r="GE103" s="77"/>
      <c r="GF103" s="77"/>
      <c r="GG103" s="77"/>
      <c r="GH103" s="77"/>
      <c r="GI103" s="77"/>
      <c r="GJ103" s="77">
        <f t="shared" si="16"/>
        <v>73</v>
      </c>
      <c r="GK103" s="77">
        <f t="shared" si="17"/>
        <v>0</v>
      </c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</row>
    <row r="104" spans="1:212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FY104" s="78" t="s">
        <v>205</v>
      </c>
      <c r="FZ104" s="77">
        <f t="shared" si="15"/>
        <v>74</v>
      </c>
      <c r="GA104" s="77"/>
      <c r="GB104" s="77"/>
      <c r="GC104" s="77"/>
      <c r="GD104" s="77"/>
      <c r="GE104" s="77"/>
      <c r="GF104" s="77"/>
      <c r="GG104" s="77"/>
      <c r="GH104" s="77"/>
      <c r="GI104" s="77"/>
      <c r="GJ104" s="77">
        <f t="shared" si="16"/>
        <v>74</v>
      </c>
      <c r="GK104" s="77">
        <f t="shared" si="17"/>
        <v>0</v>
      </c>
      <c r="GL104" s="77"/>
      <c r="GM104" s="77"/>
      <c r="GN104" s="77">
        <v>1</v>
      </c>
      <c r="GO104" s="77"/>
      <c r="GP104" s="77">
        <v>1</v>
      </c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</row>
    <row r="105" spans="1:212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FY105" s="78" t="s">
        <v>206</v>
      </c>
      <c r="FZ105" s="77">
        <f t="shared" si="15"/>
        <v>75</v>
      </c>
      <c r="GA105" s="77"/>
      <c r="GB105" s="77"/>
      <c r="GC105" s="77"/>
      <c r="GD105" s="77"/>
      <c r="GE105" s="77"/>
      <c r="GF105" s="77"/>
      <c r="GG105" s="77"/>
      <c r="GH105" s="77"/>
      <c r="GI105" s="77"/>
      <c r="GJ105" s="77">
        <f t="shared" si="16"/>
        <v>75</v>
      </c>
      <c r="GK105" s="77">
        <f t="shared" si="17"/>
        <v>0</v>
      </c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</row>
    <row r="106" spans="1:212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FY106" s="78" t="s">
        <v>207</v>
      </c>
      <c r="FZ106" s="77">
        <f t="shared" si="15"/>
        <v>76</v>
      </c>
      <c r="GA106" s="77"/>
      <c r="GB106" s="77"/>
      <c r="GC106" s="77"/>
      <c r="GD106" s="77"/>
      <c r="GE106" s="77"/>
      <c r="GF106" s="77"/>
      <c r="GG106" s="77"/>
      <c r="GH106" s="77"/>
      <c r="GI106" s="77"/>
      <c r="GJ106" s="77">
        <f t="shared" si="16"/>
        <v>76</v>
      </c>
      <c r="GK106" s="77">
        <f t="shared" si="17"/>
        <v>0</v>
      </c>
      <c r="GL106" s="77"/>
      <c r="GM106" s="77"/>
      <c r="GN106" s="77"/>
      <c r="GO106" s="77">
        <v>1</v>
      </c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</row>
    <row r="107" spans="1:212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FY107" s="78" t="s">
        <v>208</v>
      </c>
      <c r="FZ107" s="77">
        <f t="shared" si="15"/>
        <v>77</v>
      </c>
      <c r="GA107" s="77"/>
      <c r="GB107" s="77"/>
      <c r="GC107" s="77"/>
      <c r="GD107" s="77"/>
      <c r="GE107" s="77"/>
      <c r="GF107" s="77"/>
      <c r="GG107" s="77"/>
      <c r="GH107" s="77"/>
      <c r="GI107" s="77"/>
      <c r="GJ107" s="77">
        <f t="shared" si="16"/>
        <v>77</v>
      </c>
      <c r="GK107" s="77">
        <f t="shared" si="17"/>
        <v>0</v>
      </c>
      <c r="GL107" s="77"/>
      <c r="GM107" s="77"/>
      <c r="GN107" s="77"/>
      <c r="GO107" s="77"/>
      <c r="GP107" s="77">
        <v>1</v>
      </c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</row>
    <row r="108" spans="1:212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FY108" s="78" t="s">
        <v>209</v>
      </c>
      <c r="FZ108" s="77">
        <f t="shared" si="15"/>
        <v>78</v>
      </c>
      <c r="GA108" s="77"/>
      <c r="GB108" s="77"/>
      <c r="GC108" s="77"/>
      <c r="GD108" s="77"/>
      <c r="GE108" s="77"/>
      <c r="GF108" s="77"/>
      <c r="GG108" s="77"/>
      <c r="GH108" s="77"/>
      <c r="GI108" s="77"/>
      <c r="GJ108" s="77">
        <f t="shared" si="16"/>
        <v>78</v>
      </c>
      <c r="GK108" s="77">
        <f t="shared" si="17"/>
        <v>0</v>
      </c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</row>
    <row r="109" spans="1:212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FY109" s="78" t="s">
        <v>210</v>
      </c>
      <c r="FZ109" s="77">
        <f t="shared" si="15"/>
        <v>79</v>
      </c>
      <c r="GA109" s="77"/>
      <c r="GB109" s="77"/>
      <c r="GC109" s="77"/>
      <c r="GD109" s="77"/>
      <c r="GE109" s="77"/>
      <c r="GF109" s="77"/>
      <c r="GG109" s="77"/>
      <c r="GH109" s="77"/>
      <c r="GI109" s="77"/>
      <c r="GJ109" s="77">
        <f t="shared" si="16"/>
        <v>79</v>
      </c>
      <c r="GK109" s="77">
        <f t="shared" si="17"/>
        <v>0</v>
      </c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</row>
    <row r="110" spans="1:212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FY110" s="78" t="s">
        <v>211</v>
      </c>
      <c r="FZ110" s="77">
        <f t="shared" si="15"/>
        <v>80</v>
      </c>
      <c r="GA110" s="77"/>
      <c r="GB110" s="77"/>
      <c r="GC110" s="77"/>
      <c r="GD110" s="77"/>
      <c r="GE110" s="77"/>
      <c r="GF110" s="77"/>
      <c r="GG110" s="77"/>
      <c r="GH110" s="77"/>
      <c r="GI110" s="77"/>
      <c r="GJ110" s="77">
        <f t="shared" si="16"/>
        <v>80</v>
      </c>
      <c r="GK110" s="77">
        <f t="shared" si="17"/>
        <v>1</v>
      </c>
      <c r="GL110" s="77"/>
      <c r="GM110" s="77">
        <v>1</v>
      </c>
      <c r="GN110" s="77">
        <v>1</v>
      </c>
      <c r="GO110" s="77">
        <v>1</v>
      </c>
      <c r="GP110" s="77">
        <v>1</v>
      </c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</row>
    <row r="111" spans="1:212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FY111" s="78" t="s">
        <v>212</v>
      </c>
      <c r="FZ111" s="77">
        <f t="shared" si="15"/>
        <v>81</v>
      </c>
      <c r="GA111" s="77"/>
      <c r="GB111" s="77"/>
      <c r="GC111" s="77"/>
      <c r="GD111" s="77"/>
      <c r="GE111" s="77"/>
      <c r="GF111" s="77"/>
      <c r="GG111" s="77"/>
      <c r="GH111" s="77"/>
      <c r="GI111" s="77"/>
      <c r="GJ111" s="77">
        <f t="shared" si="16"/>
        <v>81</v>
      </c>
      <c r="GK111" s="77">
        <f t="shared" si="17"/>
        <v>0</v>
      </c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</row>
    <row r="112" spans="1:212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FY112" s="78" t="s">
        <v>213</v>
      </c>
      <c r="FZ112" s="77">
        <f t="shared" si="15"/>
        <v>82</v>
      </c>
      <c r="GA112" s="77"/>
      <c r="GB112" s="77"/>
      <c r="GC112" s="77"/>
      <c r="GD112" s="77"/>
      <c r="GE112" s="77"/>
      <c r="GF112" s="77"/>
      <c r="GG112" s="77"/>
      <c r="GH112" s="77"/>
      <c r="GI112" s="77"/>
      <c r="GJ112" s="77">
        <f t="shared" si="16"/>
        <v>82</v>
      </c>
      <c r="GK112" s="77">
        <f t="shared" si="17"/>
        <v>0</v>
      </c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</row>
    <row r="113" spans="1:212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FY113" s="78" t="s">
        <v>214</v>
      </c>
      <c r="FZ113" s="77">
        <f t="shared" si="15"/>
        <v>83</v>
      </c>
      <c r="GA113" s="77"/>
      <c r="GB113" s="77"/>
      <c r="GC113" s="77"/>
      <c r="GD113" s="77"/>
      <c r="GE113" s="77"/>
      <c r="GF113" s="77"/>
      <c r="GG113" s="77"/>
      <c r="GH113" s="77"/>
      <c r="GI113" s="77"/>
      <c r="GJ113" s="77">
        <f t="shared" si="16"/>
        <v>83</v>
      </c>
      <c r="GK113" s="77">
        <f t="shared" si="17"/>
        <v>0</v>
      </c>
      <c r="GL113" s="77"/>
      <c r="GM113" s="77"/>
      <c r="GN113" s="77"/>
      <c r="GO113" s="77"/>
      <c r="GP113" s="77">
        <v>1</v>
      </c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</row>
    <row r="114" spans="1:212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FY114" s="78" t="s">
        <v>215</v>
      </c>
      <c r="FZ114" s="77">
        <f t="shared" si="15"/>
        <v>84</v>
      </c>
      <c r="GA114" s="77"/>
      <c r="GB114" s="77"/>
      <c r="GC114" s="77"/>
      <c r="GD114" s="77"/>
      <c r="GE114" s="77"/>
      <c r="GF114" s="77"/>
      <c r="GG114" s="77"/>
      <c r="GH114" s="77"/>
      <c r="GI114" s="77"/>
      <c r="GJ114" s="77">
        <f t="shared" si="16"/>
        <v>84</v>
      </c>
      <c r="GK114" s="77">
        <f t="shared" si="17"/>
        <v>0</v>
      </c>
      <c r="GL114" s="77"/>
      <c r="GM114" s="77"/>
      <c r="GN114" s="77"/>
      <c r="GO114" s="77">
        <v>1</v>
      </c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</row>
    <row r="115" spans="1:212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FY115" s="78" t="s">
        <v>216</v>
      </c>
      <c r="FZ115" s="77">
        <f t="shared" si="15"/>
        <v>85</v>
      </c>
      <c r="GA115" s="77"/>
      <c r="GB115" s="77"/>
      <c r="GC115" s="77"/>
      <c r="GD115" s="77"/>
      <c r="GE115" s="77"/>
      <c r="GF115" s="77"/>
      <c r="GG115" s="77"/>
      <c r="GH115" s="77"/>
      <c r="GI115" s="77"/>
      <c r="GJ115" s="77">
        <f t="shared" si="16"/>
        <v>85</v>
      </c>
      <c r="GK115" s="77">
        <f t="shared" si="17"/>
        <v>0</v>
      </c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</row>
    <row r="116" spans="1:212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FY116" s="78" t="s">
        <v>217</v>
      </c>
      <c r="FZ116" s="77">
        <f t="shared" si="15"/>
        <v>86</v>
      </c>
      <c r="GA116" s="77"/>
      <c r="GB116" s="77"/>
      <c r="GC116" s="77"/>
      <c r="GD116" s="77"/>
      <c r="GE116" s="77"/>
      <c r="GF116" s="77"/>
      <c r="GG116" s="77"/>
      <c r="GH116" s="77"/>
      <c r="GI116" s="77"/>
      <c r="GJ116" s="77">
        <f t="shared" si="16"/>
        <v>86</v>
      </c>
      <c r="GK116" s="77">
        <f t="shared" si="17"/>
        <v>0</v>
      </c>
      <c r="GL116" s="77"/>
      <c r="GM116" s="77"/>
      <c r="GN116" s="77">
        <v>1</v>
      </c>
      <c r="GO116" s="77"/>
      <c r="GP116" s="77">
        <v>1</v>
      </c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</row>
    <row r="117" spans="1:212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FY117" s="78" t="s">
        <v>218</v>
      </c>
      <c r="FZ117" s="77">
        <f t="shared" si="15"/>
        <v>87</v>
      </c>
      <c r="GA117" s="77"/>
      <c r="GB117" s="77"/>
      <c r="GC117" s="77"/>
      <c r="GD117" s="77"/>
      <c r="GE117" s="77"/>
      <c r="GF117" s="77"/>
      <c r="GG117" s="77"/>
      <c r="GH117" s="77"/>
      <c r="GI117" s="77"/>
      <c r="GJ117" s="77">
        <f t="shared" si="16"/>
        <v>87</v>
      </c>
      <c r="GK117" s="77">
        <f t="shared" si="17"/>
        <v>0</v>
      </c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</row>
    <row r="118" spans="1:212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FY118" s="78" t="s">
        <v>219</v>
      </c>
      <c r="FZ118" s="77">
        <f t="shared" si="15"/>
        <v>88</v>
      </c>
      <c r="GA118" s="77"/>
      <c r="GB118" s="77"/>
      <c r="GC118" s="77"/>
      <c r="GD118" s="77"/>
      <c r="GE118" s="77"/>
      <c r="GF118" s="77"/>
      <c r="GG118" s="77"/>
      <c r="GH118" s="77"/>
      <c r="GI118" s="77"/>
      <c r="GJ118" s="77">
        <f t="shared" si="16"/>
        <v>88</v>
      </c>
      <c r="GK118" s="77">
        <f t="shared" si="17"/>
        <v>0</v>
      </c>
      <c r="GL118" s="77"/>
      <c r="GM118" s="77"/>
      <c r="GN118" s="77"/>
      <c r="GO118" s="77">
        <v>1</v>
      </c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</row>
    <row r="119" spans="1:212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FY119" s="78" t="s">
        <v>220</v>
      </c>
      <c r="FZ119" s="77">
        <f t="shared" si="15"/>
        <v>89</v>
      </c>
      <c r="GA119" s="77"/>
      <c r="GB119" s="77"/>
      <c r="GC119" s="77"/>
      <c r="GD119" s="77"/>
      <c r="GE119" s="77"/>
      <c r="GF119" s="77"/>
      <c r="GG119" s="77"/>
      <c r="GH119" s="77"/>
      <c r="GI119" s="77"/>
      <c r="GJ119" s="77">
        <f t="shared" si="16"/>
        <v>89</v>
      </c>
      <c r="GK119" s="77">
        <f t="shared" si="17"/>
        <v>0</v>
      </c>
      <c r="GL119" s="77"/>
      <c r="GM119" s="77"/>
      <c r="GN119" s="77"/>
      <c r="GO119" s="77"/>
      <c r="GP119" s="77">
        <v>1</v>
      </c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</row>
    <row r="120" spans="1:212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FY120" s="78" t="s">
        <v>221</v>
      </c>
      <c r="FZ120" s="77">
        <f t="shared" si="15"/>
        <v>90</v>
      </c>
      <c r="GA120" s="77"/>
      <c r="GB120" s="77"/>
      <c r="GC120" s="77"/>
      <c r="GD120" s="77"/>
      <c r="GE120" s="77"/>
      <c r="GF120" s="77"/>
      <c r="GG120" s="77"/>
      <c r="GH120" s="77"/>
      <c r="GI120" s="77"/>
      <c r="GJ120" s="77">
        <f t="shared" si="16"/>
        <v>90</v>
      </c>
      <c r="GK120" s="77">
        <f t="shared" si="17"/>
        <v>0</v>
      </c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</row>
    <row r="121" spans="1:212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FY121" s="78" t="s">
        <v>222</v>
      </c>
      <c r="FZ121" s="77">
        <f t="shared" si="15"/>
        <v>91</v>
      </c>
      <c r="GA121" s="77"/>
      <c r="GB121" s="77"/>
      <c r="GC121" s="77"/>
      <c r="GD121" s="77"/>
      <c r="GE121" s="77"/>
      <c r="GF121" s="77"/>
      <c r="GG121" s="77"/>
      <c r="GH121" s="77"/>
      <c r="GI121" s="77"/>
      <c r="GJ121" s="77">
        <f t="shared" si="16"/>
        <v>91</v>
      </c>
      <c r="GK121" s="77">
        <f t="shared" si="17"/>
        <v>0</v>
      </c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</row>
    <row r="122" spans="1:212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FY122" s="78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>
        <f t="shared" si="16"/>
        <v>92</v>
      </c>
      <c r="GK122" s="77">
        <f t="shared" si="17"/>
        <v>1</v>
      </c>
      <c r="GL122" s="77"/>
      <c r="GM122" s="77">
        <v>1</v>
      </c>
      <c r="GN122" s="77">
        <v>1</v>
      </c>
      <c r="GO122" s="77">
        <v>1</v>
      </c>
      <c r="GP122" s="77">
        <v>1</v>
      </c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</row>
    <row r="123" spans="1:212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FY123" s="78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>
        <f t="shared" si="16"/>
        <v>93</v>
      </c>
      <c r="GK123" s="77">
        <f t="shared" si="17"/>
        <v>0</v>
      </c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</row>
    <row r="124" spans="1:212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FY124" s="78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>
        <f t="shared" si="16"/>
        <v>94</v>
      </c>
      <c r="GK124" s="77">
        <f t="shared" si="17"/>
        <v>0</v>
      </c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</row>
    <row r="125" spans="1:212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FY125" s="78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>
        <f t="shared" si="16"/>
        <v>95</v>
      </c>
      <c r="GK125" s="77">
        <f t="shared" si="17"/>
        <v>0</v>
      </c>
      <c r="GL125" s="77"/>
      <c r="GM125" s="77"/>
      <c r="GN125" s="77"/>
      <c r="GO125" s="77"/>
      <c r="GP125" s="77">
        <v>1</v>
      </c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</row>
    <row r="126" spans="1:212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FY126" s="78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>
        <f t="shared" si="16"/>
        <v>96</v>
      </c>
      <c r="GK126" s="77">
        <f t="shared" si="17"/>
        <v>0</v>
      </c>
      <c r="GL126" s="77"/>
      <c r="GM126" s="77"/>
      <c r="GN126" s="77"/>
      <c r="GO126" s="77">
        <v>1</v>
      </c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</row>
    <row r="127" spans="1:212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FY127" s="78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>
        <f t="shared" si="16"/>
        <v>97</v>
      </c>
      <c r="GK127" s="77">
        <f t="shared" si="17"/>
        <v>0</v>
      </c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</row>
    <row r="128" spans="1:212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FY128" s="78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>
        <f t="shared" si="16"/>
        <v>98</v>
      </c>
      <c r="GK128" s="77">
        <f t="shared" si="17"/>
        <v>0</v>
      </c>
      <c r="GL128" s="77"/>
      <c r="GM128" s="77"/>
      <c r="GN128" s="77">
        <v>1</v>
      </c>
      <c r="GO128" s="77"/>
      <c r="GP128" s="77">
        <v>1</v>
      </c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</row>
    <row r="129" spans="1:212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FY129" s="78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>
        <f t="shared" si="16"/>
        <v>99</v>
      </c>
      <c r="GK129" s="77">
        <f t="shared" si="17"/>
        <v>0</v>
      </c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</row>
    <row r="130" spans="1:212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FY130" s="78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>
        <f t="shared" si="16"/>
        <v>100</v>
      </c>
      <c r="GK130" s="77">
        <f t="shared" si="17"/>
        <v>0</v>
      </c>
      <c r="GL130" s="77"/>
      <c r="GM130" s="77"/>
      <c r="GN130" s="77"/>
      <c r="GO130" s="77">
        <v>1</v>
      </c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</row>
    <row r="131" spans="1:212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FY131" s="78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>
        <f t="shared" si="16"/>
        <v>101</v>
      </c>
      <c r="GK131" s="77">
        <f t="shared" si="17"/>
        <v>0</v>
      </c>
      <c r="GL131" s="77"/>
      <c r="GM131" s="77"/>
      <c r="GN131" s="77"/>
      <c r="GO131" s="77"/>
      <c r="GP131" s="77">
        <v>1</v>
      </c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</row>
    <row r="132" spans="1:212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FY132" s="78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>
        <f aca="true" t="shared" si="18" ref="GJ132:GJ173">+GJ131+1</f>
        <v>102</v>
      </c>
      <c r="GK132" s="77">
        <f t="shared" si="17"/>
        <v>0</v>
      </c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</row>
    <row r="133" spans="1:212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FY133" s="78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>
        <f t="shared" si="18"/>
        <v>103</v>
      </c>
      <c r="GK133" s="77">
        <f aca="true" t="shared" si="19" ref="GK133:GK173">+IF($C$8=$GM$1,GM133,IF($C$8=$GN$1,GN133,IF($C$8=$GO$1,GO133,IF($C$8=$GP$1,GP133,0))))</f>
        <v>0</v>
      </c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</row>
    <row r="134" spans="1:212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FY134" s="78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>
        <f t="shared" si="18"/>
        <v>104</v>
      </c>
      <c r="GK134" s="77">
        <f t="shared" si="19"/>
        <v>1</v>
      </c>
      <c r="GL134" s="77"/>
      <c r="GM134" s="77">
        <v>1</v>
      </c>
      <c r="GN134" s="77">
        <v>1</v>
      </c>
      <c r="GO134" s="77">
        <v>1</v>
      </c>
      <c r="GP134" s="77">
        <v>1</v>
      </c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</row>
    <row r="135" spans="1:212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FY135" s="78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>
        <f t="shared" si="18"/>
        <v>105</v>
      </c>
      <c r="GK135" s="77">
        <f t="shared" si="19"/>
        <v>0</v>
      </c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</row>
    <row r="136" spans="1:212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FY136" s="78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>
        <f t="shared" si="18"/>
        <v>106</v>
      </c>
      <c r="GK136" s="77">
        <f t="shared" si="19"/>
        <v>0</v>
      </c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</row>
    <row r="137" spans="1:212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FY137" s="78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>
        <f t="shared" si="18"/>
        <v>107</v>
      </c>
      <c r="GK137" s="77">
        <f t="shared" si="19"/>
        <v>0</v>
      </c>
      <c r="GL137" s="77"/>
      <c r="GM137" s="77"/>
      <c r="GN137" s="77"/>
      <c r="GO137" s="77"/>
      <c r="GP137" s="77">
        <v>1</v>
      </c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</row>
    <row r="138" spans="1:212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FY138" s="78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>
        <f t="shared" si="18"/>
        <v>108</v>
      </c>
      <c r="GK138" s="77">
        <f t="shared" si="19"/>
        <v>0</v>
      </c>
      <c r="GL138" s="77"/>
      <c r="GM138" s="77"/>
      <c r="GN138" s="77"/>
      <c r="GO138" s="77">
        <v>1</v>
      </c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</row>
    <row r="139" spans="1:212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FY139" s="78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>
        <f t="shared" si="18"/>
        <v>109</v>
      </c>
      <c r="GK139" s="77">
        <f t="shared" si="19"/>
        <v>0</v>
      </c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</row>
    <row r="140" spans="1:212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FY140" s="78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>
        <f t="shared" si="18"/>
        <v>110</v>
      </c>
      <c r="GK140" s="77">
        <f t="shared" si="19"/>
        <v>0</v>
      </c>
      <c r="GL140" s="77"/>
      <c r="GM140" s="77"/>
      <c r="GN140" s="77">
        <v>1</v>
      </c>
      <c r="GO140" s="77"/>
      <c r="GP140" s="77">
        <v>1</v>
      </c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</row>
    <row r="141" spans="1:212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FY141" s="78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>
        <f t="shared" si="18"/>
        <v>111</v>
      </c>
      <c r="GK141" s="77">
        <f t="shared" si="19"/>
        <v>0</v>
      </c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</row>
    <row r="142" spans="1:212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FY142" s="78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>
        <f t="shared" si="18"/>
        <v>112</v>
      </c>
      <c r="GK142" s="77">
        <f t="shared" si="19"/>
        <v>0</v>
      </c>
      <c r="GL142" s="77"/>
      <c r="GM142" s="77"/>
      <c r="GN142" s="77"/>
      <c r="GO142" s="77">
        <v>1</v>
      </c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</row>
    <row r="143" spans="1:212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FY143" s="78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>
        <f t="shared" si="18"/>
        <v>113</v>
      </c>
      <c r="GK143" s="77">
        <f t="shared" si="19"/>
        <v>0</v>
      </c>
      <c r="GL143" s="77"/>
      <c r="GM143" s="77"/>
      <c r="GN143" s="77"/>
      <c r="GO143" s="77"/>
      <c r="GP143" s="77">
        <v>1</v>
      </c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</row>
    <row r="144" spans="1:212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FY144" s="78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>
        <f t="shared" si="18"/>
        <v>114</v>
      </c>
      <c r="GK144" s="77">
        <f t="shared" si="19"/>
        <v>0</v>
      </c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</row>
    <row r="145" spans="1:212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FY145" s="78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>
        <f t="shared" si="18"/>
        <v>115</v>
      </c>
      <c r="GK145" s="77">
        <f t="shared" si="19"/>
        <v>0</v>
      </c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</row>
    <row r="146" spans="1:212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FY146" s="78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>
        <f t="shared" si="18"/>
        <v>116</v>
      </c>
      <c r="GK146" s="77">
        <f t="shared" si="19"/>
        <v>1</v>
      </c>
      <c r="GL146" s="77"/>
      <c r="GM146" s="77">
        <v>1</v>
      </c>
      <c r="GN146" s="77">
        <v>1</v>
      </c>
      <c r="GO146" s="77">
        <v>1</v>
      </c>
      <c r="GP146" s="77">
        <v>1</v>
      </c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</row>
    <row r="147" spans="1:212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FY147" s="78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>
        <f t="shared" si="18"/>
        <v>117</v>
      </c>
      <c r="GK147" s="77">
        <f t="shared" si="19"/>
        <v>0</v>
      </c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</row>
    <row r="148" spans="1:212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FY148" s="78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>
        <f t="shared" si="18"/>
        <v>118</v>
      </c>
      <c r="GK148" s="77">
        <f t="shared" si="19"/>
        <v>0</v>
      </c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</row>
    <row r="149" spans="1:212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FY149" s="78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>
        <f t="shared" si="18"/>
        <v>119</v>
      </c>
      <c r="GK149" s="77">
        <f t="shared" si="19"/>
        <v>0</v>
      </c>
      <c r="GL149" s="77"/>
      <c r="GM149" s="77"/>
      <c r="GN149" s="77"/>
      <c r="GO149" s="77"/>
      <c r="GP149" s="77">
        <v>1</v>
      </c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</row>
    <row r="150" spans="1:212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FY150" s="78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>
        <f t="shared" si="18"/>
        <v>120</v>
      </c>
      <c r="GK150" s="77">
        <f t="shared" si="19"/>
        <v>0</v>
      </c>
      <c r="GL150" s="77"/>
      <c r="GM150" s="77"/>
      <c r="GN150" s="77"/>
      <c r="GO150" s="77">
        <v>1</v>
      </c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</row>
    <row r="151" spans="1:212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FY151" s="78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>
        <f t="shared" si="18"/>
        <v>121</v>
      </c>
      <c r="GK151" s="77">
        <f t="shared" si="19"/>
        <v>0</v>
      </c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</row>
    <row r="152" spans="1:212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FY152" s="78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>
        <f t="shared" si="18"/>
        <v>122</v>
      </c>
      <c r="GK152" s="77">
        <f t="shared" si="19"/>
        <v>0</v>
      </c>
      <c r="GL152" s="77"/>
      <c r="GM152" s="77"/>
      <c r="GN152" s="77">
        <v>1</v>
      </c>
      <c r="GO152" s="77"/>
      <c r="GP152" s="77">
        <v>1</v>
      </c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</row>
    <row r="153" spans="1:212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FY153" s="78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>
        <f t="shared" si="18"/>
        <v>123</v>
      </c>
      <c r="GK153" s="77">
        <f t="shared" si="19"/>
        <v>0</v>
      </c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</row>
    <row r="154" spans="1:212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FY154" s="78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>
        <f t="shared" si="18"/>
        <v>124</v>
      </c>
      <c r="GK154" s="77">
        <f t="shared" si="19"/>
        <v>0</v>
      </c>
      <c r="GL154" s="77"/>
      <c r="GM154" s="77"/>
      <c r="GN154" s="77"/>
      <c r="GO154" s="77">
        <v>1</v>
      </c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</row>
    <row r="155" spans="1:212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FY155" s="78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>
        <f t="shared" si="18"/>
        <v>125</v>
      </c>
      <c r="GK155" s="77">
        <f t="shared" si="19"/>
        <v>0</v>
      </c>
      <c r="GL155" s="77"/>
      <c r="GM155" s="77"/>
      <c r="GN155" s="77"/>
      <c r="GO155" s="77"/>
      <c r="GP155" s="77">
        <v>1</v>
      </c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</row>
    <row r="156" spans="1:212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FY156" s="78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>
        <f t="shared" si="18"/>
        <v>126</v>
      </c>
      <c r="GK156" s="77">
        <f t="shared" si="19"/>
        <v>0</v>
      </c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</row>
    <row r="157" spans="1:212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FY157" s="78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>
        <f t="shared" si="18"/>
        <v>127</v>
      </c>
      <c r="GK157" s="77">
        <f t="shared" si="19"/>
        <v>0</v>
      </c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</row>
    <row r="158" spans="1:212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FY158" s="78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>
        <f t="shared" si="18"/>
        <v>128</v>
      </c>
      <c r="GK158" s="77">
        <f t="shared" si="19"/>
        <v>1</v>
      </c>
      <c r="GL158" s="77"/>
      <c r="GM158" s="77">
        <v>1</v>
      </c>
      <c r="GN158" s="77">
        <v>1</v>
      </c>
      <c r="GO158" s="77">
        <v>1</v>
      </c>
      <c r="GP158" s="77">
        <v>1</v>
      </c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</row>
    <row r="159" spans="1:212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FY159" s="78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>
        <f t="shared" si="18"/>
        <v>129</v>
      </c>
      <c r="GK159" s="77">
        <f t="shared" si="19"/>
        <v>0</v>
      </c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</row>
    <row r="160" spans="1:212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FY160" s="78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>
        <f t="shared" si="18"/>
        <v>130</v>
      </c>
      <c r="GK160" s="77">
        <f t="shared" si="19"/>
        <v>0</v>
      </c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</row>
    <row r="161" spans="1:212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FY161" s="78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>
        <f t="shared" si="18"/>
        <v>131</v>
      </c>
      <c r="GK161" s="77">
        <f t="shared" si="19"/>
        <v>0</v>
      </c>
      <c r="GL161" s="77"/>
      <c r="GM161" s="77"/>
      <c r="GN161" s="77"/>
      <c r="GO161" s="77"/>
      <c r="GP161" s="77">
        <v>1</v>
      </c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</row>
    <row r="162" spans="1:212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FY162" s="78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>
        <f t="shared" si="18"/>
        <v>132</v>
      </c>
      <c r="GK162" s="77">
        <f t="shared" si="19"/>
        <v>0</v>
      </c>
      <c r="GL162" s="77"/>
      <c r="GM162" s="77"/>
      <c r="GN162" s="77"/>
      <c r="GO162" s="77">
        <v>1</v>
      </c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</row>
    <row r="163" spans="1:212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FY163" s="78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>
        <f t="shared" si="18"/>
        <v>133</v>
      </c>
      <c r="GK163" s="77">
        <f t="shared" si="19"/>
        <v>0</v>
      </c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</row>
    <row r="164" spans="1:212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FY164" s="78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>
        <f t="shared" si="18"/>
        <v>134</v>
      </c>
      <c r="GK164" s="77">
        <f t="shared" si="19"/>
        <v>0</v>
      </c>
      <c r="GL164" s="77"/>
      <c r="GM164" s="77"/>
      <c r="GN164" s="77">
        <v>1</v>
      </c>
      <c r="GO164" s="77"/>
      <c r="GP164" s="77">
        <v>1</v>
      </c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</row>
    <row r="165" spans="1:212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FY165" s="78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>
        <f t="shared" si="18"/>
        <v>135</v>
      </c>
      <c r="GK165" s="77">
        <f t="shared" si="19"/>
        <v>0</v>
      </c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</row>
    <row r="166" spans="1:212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FY166" s="78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>
        <f t="shared" si="18"/>
        <v>136</v>
      </c>
      <c r="GK166" s="77">
        <f t="shared" si="19"/>
        <v>0</v>
      </c>
      <c r="GL166" s="77"/>
      <c r="GM166" s="77"/>
      <c r="GN166" s="77"/>
      <c r="GO166" s="77">
        <v>1</v>
      </c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</row>
    <row r="167" spans="1:212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FY167" s="78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>
        <f t="shared" si="18"/>
        <v>137</v>
      </c>
      <c r="GK167" s="77">
        <f t="shared" si="19"/>
        <v>0</v>
      </c>
      <c r="GL167" s="77"/>
      <c r="GM167" s="77"/>
      <c r="GN167" s="77"/>
      <c r="GO167" s="77"/>
      <c r="GP167" s="77">
        <v>1</v>
      </c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</row>
    <row r="168" spans="1:212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FY168" s="78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>
        <f t="shared" si="18"/>
        <v>138</v>
      </c>
      <c r="GK168" s="77">
        <f t="shared" si="19"/>
        <v>0</v>
      </c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</row>
    <row r="169" spans="1:212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FY169" s="78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>
        <f t="shared" si="18"/>
        <v>139</v>
      </c>
      <c r="GK169" s="77">
        <f t="shared" si="19"/>
        <v>0</v>
      </c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</row>
    <row r="170" spans="1:212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FY170" s="78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>
        <f t="shared" si="18"/>
        <v>140</v>
      </c>
      <c r="GK170" s="77">
        <f t="shared" si="19"/>
        <v>1</v>
      </c>
      <c r="GL170" s="77"/>
      <c r="GM170" s="77">
        <v>1</v>
      </c>
      <c r="GN170" s="77">
        <v>1</v>
      </c>
      <c r="GO170" s="77">
        <v>1</v>
      </c>
      <c r="GP170" s="77">
        <v>1</v>
      </c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</row>
    <row r="171" spans="1:212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FY171" s="78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>
        <f t="shared" si="18"/>
        <v>141</v>
      </c>
      <c r="GK171" s="77">
        <f t="shared" si="19"/>
        <v>0</v>
      </c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</row>
    <row r="172" spans="1:212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FY172" s="78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>
        <f t="shared" si="18"/>
        <v>142</v>
      </c>
      <c r="GK172" s="77">
        <f t="shared" si="19"/>
        <v>0</v>
      </c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</row>
    <row r="173" spans="1:212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FY173" s="78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>
        <f t="shared" si="18"/>
        <v>143</v>
      </c>
      <c r="GK173" s="77">
        <f t="shared" si="19"/>
        <v>0</v>
      </c>
      <c r="GL173" s="77"/>
      <c r="GM173" s="77"/>
      <c r="GN173" s="77"/>
      <c r="GO173" s="77"/>
      <c r="GP173" s="77">
        <v>1</v>
      </c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</row>
    <row r="174" spans="1:212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FY174" s="78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>
        <v>1</v>
      </c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</row>
    <row r="175" spans="1:212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FY175" s="78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</row>
    <row r="176" spans="1:212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FY176" s="78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>
        <v>1</v>
      </c>
      <c r="GO176" s="77"/>
      <c r="GP176" s="77">
        <v>1</v>
      </c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</row>
    <row r="177" spans="1:212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FY177" s="78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</row>
    <row r="178" spans="1:212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FY178" s="78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>
        <v>1</v>
      </c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</row>
    <row r="179" spans="1:212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FY179" s="78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>
        <v>1</v>
      </c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</row>
    <row r="180" spans="1:212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FY180" s="78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</row>
    <row r="181" spans="1:212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FY181" s="78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</row>
    <row r="182" spans="1:212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FY182" s="78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>
        <v>1</v>
      </c>
      <c r="GN182" s="77">
        <v>1</v>
      </c>
      <c r="GO182" s="77">
        <v>1</v>
      </c>
      <c r="GP182" s="77">
        <v>1</v>
      </c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</row>
    <row r="183" spans="1:212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FY183" s="78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>
        <v>1</v>
      </c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</row>
    <row r="184" spans="1:212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FY184" s="78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>
        <v>1</v>
      </c>
      <c r="GN184" s="77">
        <v>1</v>
      </c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</row>
    <row r="185" spans="1:212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FY185" s="78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>
        <v>1</v>
      </c>
      <c r="GN185" s="77"/>
      <c r="GO185" s="77">
        <v>1</v>
      </c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</row>
    <row r="186" spans="1:212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FY186" s="78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>
        <v>1</v>
      </c>
      <c r="GN186" s="77">
        <v>1</v>
      </c>
      <c r="GO186" s="77"/>
      <c r="GP186" s="77">
        <v>1</v>
      </c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</row>
    <row r="187" spans="1:212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FY187" s="78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>
        <v>1</v>
      </c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</row>
    <row r="188" spans="1:212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FY188" s="78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>
        <v>1</v>
      </c>
      <c r="GN188" s="77">
        <v>1</v>
      </c>
      <c r="GO188" s="77">
        <v>1</v>
      </c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</row>
    <row r="189" spans="1:212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FY189" s="78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>
        <v>1</v>
      </c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</row>
    <row r="190" spans="1:212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FY190" s="78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>
        <v>1</v>
      </c>
      <c r="GN190" s="77">
        <v>1</v>
      </c>
      <c r="GO190" s="77"/>
      <c r="GP190" s="77">
        <v>1</v>
      </c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</row>
    <row r="191" spans="1:212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FY191" s="78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>
        <v>1</v>
      </c>
      <c r="GN191" s="77"/>
      <c r="GO191" s="77">
        <v>1</v>
      </c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</row>
    <row r="192" spans="1:212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FY192" s="78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>
        <v>1</v>
      </c>
      <c r="GN192" s="77">
        <v>1</v>
      </c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</row>
    <row r="193" spans="1:212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FY193" s="78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>
        <v>1</v>
      </c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</row>
    <row r="194" spans="1:212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FY194" s="78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>
        <v>1</v>
      </c>
      <c r="GN194" s="77">
        <v>1</v>
      </c>
      <c r="GO194" s="77">
        <v>1</v>
      </c>
      <c r="GP194" s="77">
        <v>1</v>
      </c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</row>
    <row r="195" spans="1:212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FY195" s="78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>
        <v>1</v>
      </c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</row>
    <row r="196" spans="1:212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FY196" s="78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>
        <v>1</v>
      </c>
      <c r="GN196" s="77">
        <v>1</v>
      </c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</row>
    <row r="197" spans="1:212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FY197" s="78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>
        <v>1</v>
      </c>
      <c r="GN197" s="77"/>
      <c r="GO197" s="77">
        <v>1</v>
      </c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</row>
    <row r="198" spans="1:212" ht="1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FY198" s="78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>
        <v>1</v>
      </c>
      <c r="GN198" s="77">
        <v>1</v>
      </c>
      <c r="GO198" s="77"/>
      <c r="GP198" s="77">
        <v>1</v>
      </c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</row>
    <row r="199" spans="1:212" ht="1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FY199" s="78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>
        <v>1</v>
      </c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</row>
    <row r="200" spans="1:212" ht="1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FY200" s="78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>
        <v>1</v>
      </c>
      <c r="GN200" s="77">
        <v>1</v>
      </c>
      <c r="GO200" s="77">
        <v>1</v>
      </c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</row>
    <row r="201" spans="1:212" ht="1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FY201" s="78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>
        <v>1</v>
      </c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</row>
    <row r="202" spans="1:212" ht="1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FY202" s="78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>
        <v>1</v>
      </c>
      <c r="GN202" s="77">
        <v>1</v>
      </c>
      <c r="GO202" s="77"/>
      <c r="GP202" s="77">
        <v>1</v>
      </c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</row>
    <row r="203" spans="1:212" ht="1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FY203" s="78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>
        <v>1</v>
      </c>
      <c r="GN203" s="77"/>
      <c r="GO203" s="77">
        <v>1</v>
      </c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</row>
    <row r="204" spans="1:212" ht="1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FY204" s="78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>
        <v>1</v>
      </c>
      <c r="GN204" s="77">
        <v>1</v>
      </c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</row>
    <row r="205" spans="1:212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FY205" s="78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>
        <v>1</v>
      </c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</row>
    <row r="206" spans="1:212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FY206" s="78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>
        <v>1</v>
      </c>
      <c r="GN206" s="77">
        <v>1</v>
      </c>
      <c r="GO206" s="77">
        <v>1</v>
      </c>
      <c r="GP206" s="77">
        <v>1</v>
      </c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</row>
    <row r="207" spans="1:212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FY207" s="78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>
        <v>1</v>
      </c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</row>
    <row r="208" spans="1:212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FY208" s="78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>
        <v>1</v>
      </c>
      <c r="GN208" s="77">
        <v>1</v>
      </c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</row>
    <row r="209" spans="1:212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FY209" s="78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>
        <v>1</v>
      </c>
      <c r="GN209" s="77"/>
      <c r="GO209" s="77">
        <v>1</v>
      </c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</row>
    <row r="210" spans="1:212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FY210" s="78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>
        <v>1</v>
      </c>
      <c r="GN210" s="77">
        <v>1</v>
      </c>
      <c r="GO210" s="77"/>
      <c r="GP210" s="77">
        <v>1</v>
      </c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</row>
    <row r="211" spans="1:212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FY211" s="78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>
        <v>1</v>
      </c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</row>
    <row r="212" spans="1:212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FY212" s="78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>
        <v>1</v>
      </c>
      <c r="GN212" s="77">
        <v>1</v>
      </c>
      <c r="GO212" s="77">
        <v>1</v>
      </c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</row>
    <row r="213" spans="1:212" ht="1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FY213" s="78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>
        <v>1</v>
      </c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</row>
    <row r="214" spans="1:212" ht="1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FY214" s="78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>
        <v>1</v>
      </c>
      <c r="GN214" s="77">
        <v>1</v>
      </c>
      <c r="GO214" s="77"/>
      <c r="GP214" s="77">
        <v>1</v>
      </c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</row>
    <row r="215" spans="1:212" ht="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FY215" s="78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>
        <v>1</v>
      </c>
      <c r="GN215" s="77"/>
      <c r="GO215" s="77">
        <v>1</v>
      </c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</row>
    <row r="216" spans="1:212" ht="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FY216" s="78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>
        <v>1</v>
      </c>
      <c r="GN216" s="77">
        <v>1</v>
      </c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</row>
    <row r="217" spans="1:212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FY217" s="78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>
        <v>1</v>
      </c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</row>
    <row r="218" spans="1:212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FY218" s="78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>
        <v>1</v>
      </c>
      <c r="GN218" s="77">
        <v>1</v>
      </c>
      <c r="GO218" s="77">
        <v>1</v>
      </c>
      <c r="GP218" s="77">
        <v>1</v>
      </c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</row>
    <row r="219" spans="1:212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FY219" s="78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>
        <v>1</v>
      </c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</row>
    <row r="220" spans="1:212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FY220" s="78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>
        <v>1</v>
      </c>
      <c r="GN220" s="77">
        <v>1</v>
      </c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</row>
    <row r="221" spans="1:212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FY221" s="78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>
        <v>1</v>
      </c>
      <c r="GN221" s="77"/>
      <c r="GO221" s="77">
        <v>1</v>
      </c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</row>
    <row r="222" spans="1:212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FY222" s="78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>
        <v>1</v>
      </c>
      <c r="GN222" s="77"/>
      <c r="GO222" s="77"/>
      <c r="GP222" s="77">
        <v>1</v>
      </c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</row>
    <row r="223" spans="1:212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FY223" s="78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>
        <v>1</v>
      </c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</row>
    <row r="224" spans="1:212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FY224" s="78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>
        <v>1</v>
      </c>
      <c r="GN224" s="77"/>
      <c r="GO224" s="77">
        <v>1</v>
      </c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</row>
    <row r="225" spans="1:212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FY225" s="78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>
        <v>1</v>
      </c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</row>
    <row r="226" spans="1:212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FY226" s="78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>
        <v>1</v>
      </c>
      <c r="GN226" s="77"/>
      <c r="GO226" s="77"/>
      <c r="GP226" s="77">
        <v>1</v>
      </c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</row>
    <row r="227" spans="1:212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FY227" s="78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>
        <v>1</v>
      </c>
      <c r="GN227" s="77"/>
      <c r="GO227" s="77">
        <v>1</v>
      </c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</row>
    <row r="228" spans="1:212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FY228" s="78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>
        <v>1</v>
      </c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</row>
    <row r="229" spans="1:212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FY229" s="78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>
        <v>1</v>
      </c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</row>
    <row r="230" spans="1:212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FY230" s="78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</row>
    <row r="231" spans="1:212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FY231" s="78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>
        <v>1</v>
      </c>
      <c r="GP231" s="77">
        <v>1</v>
      </c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</row>
    <row r="232" spans="1:212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FY232" s="78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</row>
    <row r="233" spans="1:212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FY233" s="78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</row>
    <row r="234" spans="1:212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FY234" s="78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</row>
    <row r="235" spans="1:212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FY235" s="78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</row>
    <row r="236" spans="1:212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FY236" s="78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</row>
    <row r="237" spans="1:212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FY237" s="78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</row>
    <row r="238" spans="1:212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FY238" s="78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</row>
    <row r="239" spans="1:212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FY239" s="78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</row>
    <row r="240" spans="1:212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FY240" s="78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</row>
    <row r="241" spans="1:212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FY241" s="78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</row>
    <row r="242" spans="1:212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FY242" s="78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</row>
    <row r="243" spans="1:212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FY243" s="78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</row>
    <row r="244" spans="1:212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FY244" s="78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</row>
    <row r="245" spans="1:212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FY245" s="78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</row>
    <row r="246" spans="1:212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FY246" s="78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</row>
    <row r="247" spans="1:212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FY247" s="78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</row>
    <row r="248" spans="1:212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FY248" s="78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</row>
    <row r="249" spans="1:212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FY249" s="78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</row>
    <row r="250" spans="1:212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FY250" s="78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</row>
    <row r="251" spans="1:212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FY251" s="78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</row>
    <row r="252" spans="1:212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FY252" s="78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</row>
    <row r="253" spans="1:212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FY253" s="78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</row>
    <row r="254" spans="1:212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FY254" s="78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</row>
    <row r="255" spans="1:212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FY255" s="78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</row>
    <row r="256" spans="1:212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FY256" s="78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</row>
    <row r="257" spans="1:212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FY257" s="78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</row>
    <row r="258" spans="1:212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FY258" s="78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</row>
    <row r="259" spans="1:212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FY259" s="78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</row>
    <row r="260" spans="1:212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FY260" s="78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</row>
    <row r="261" spans="1:212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FY261" s="78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</row>
    <row r="262" spans="1:212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FY262" s="78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</row>
    <row r="263" spans="1:212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FY263" s="78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</row>
    <row r="264" spans="1:212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FY264" s="78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</row>
    <row r="265" spans="1:212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FY265" s="78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</row>
    <row r="266" spans="1:212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FY266" s="78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</row>
    <row r="267" spans="1:212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FY267" s="78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</row>
    <row r="268" spans="1:212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FY268" s="78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</row>
    <row r="269" spans="1:212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FY269" s="78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</row>
    <row r="270" spans="1:212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FY270" s="78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</row>
    <row r="271" spans="1:212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FY271" s="78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</row>
    <row r="272" spans="1:212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FY272" s="78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</row>
    <row r="273" spans="1:212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FY273" s="78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</row>
    <row r="274" spans="1:212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FY274" s="78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</row>
    <row r="275" spans="1:212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FY275" s="78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</row>
    <row r="276" spans="1:212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FY276" s="78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</row>
    <row r="277" spans="1:212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FY277" s="78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</row>
    <row r="278" spans="1:212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FY278" s="78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</row>
    <row r="279" spans="1:212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FY279" s="78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</row>
    <row r="280" spans="1:212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FY280" s="78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</row>
    <row r="281" spans="1:212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FY281" s="78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</row>
    <row r="282" spans="1:212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FY282" s="78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</row>
    <row r="283" spans="1:212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FY283" s="78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</row>
    <row r="284" spans="1:212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FY284" s="78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</row>
    <row r="285" spans="1:212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FY285" s="78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</row>
    <row r="286" spans="1:212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FY286" s="78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</row>
    <row r="287" spans="1:212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FY287" s="78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</row>
    <row r="288" spans="1:212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FY288" s="78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</row>
    <row r="289" spans="1:212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FY289" s="78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</row>
    <row r="290" spans="1:212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FY290" s="78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</row>
    <row r="291" spans="1:212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FY291" s="78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</row>
    <row r="292" spans="1:212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FY292" s="78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</row>
    <row r="293" spans="1:212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FY293" s="78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</row>
    <row r="294" spans="1:212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FY294" s="78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</row>
    <row r="295" spans="1:212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FY295" s="78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</row>
    <row r="296" spans="1:212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FY296" s="78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</row>
    <row r="297" spans="1:212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FY297" s="78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</row>
    <row r="298" spans="1:212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FY298" s="78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</row>
    <row r="299" spans="1:212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FY299" s="78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</row>
    <row r="300" spans="1:212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FY300" s="78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</row>
    <row r="301" spans="1:212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FY301" s="78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</row>
    <row r="302" spans="1:212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FY302" s="78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</row>
    <row r="303" spans="1:212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FY303" s="78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</row>
    <row r="304" spans="1:212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FY304" s="78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</row>
    <row r="305" spans="1:212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FY305" s="78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</row>
    <row r="306" spans="1:212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FY306" s="78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</row>
    <row r="307" spans="1:212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FY307" s="78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</row>
    <row r="308" spans="1:212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FY308" s="78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</row>
    <row r="309" spans="1:212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FY309" s="78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</row>
    <row r="310" spans="1:212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FY310" s="78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</row>
    <row r="311" spans="1:212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FY311" s="78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</row>
    <row r="312" spans="1:212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FY312" s="78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</row>
    <row r="313" spans="1:212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FY313" s="78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</row>
    <row r="314" spans="1:212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FY314" s="78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</row>
    <row r="315" spans="1:212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FY315" s="78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</row>
    <row r="316" spans="1:212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FY316" s="78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</row>
    <row r="317" spans="1:212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FY317" s="78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</row>
    <row r="318" spans="1:212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FY318" s="78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</row>
    <row r="319" spans="1:212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FY319" s="78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</row>
    <row r="320" spans="1:212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FY320" s="78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</row>
    <row r="321" spans="1:212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FY321" s="78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</row>
    <row r="322" spans="1:212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FY322" s="78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</row>
    <row r="323" spans="1:212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FY323" s="78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</row>
    <row r="324" spans="1:212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FY324" s="78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</row>
    <row r="325" spans="1:212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FY325" s="78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</row>
    <row r="326" spans="1:212" ht="1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FY326" s="78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</row>
    <row r="327" spans="1:212" ht="1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FY327" s="78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</row>
    <row r="328" spans="1:212" ht="1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FY328" s="78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</row>
    <row r="329" spans="1:212" ht="1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FY329" s="78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</row>
    <row r="330" spans="1:212" ht="1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FY330" s="78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</row>
    <row r="331" spans="1:212" ht="1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FY331" s="78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</row>
    <row r="332" spans="1:212" ht="1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FY332" s="78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</row>
    <row r="333" spans="1:212" ht="1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FY333" s="78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</row>
    <row r="334" spans="1:212" ht="1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FY334" s="78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</row>
    <row r="335" spans="1:212" ht="1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FY335" s="78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</row>
    <row r="336" spans="1:212" ht="1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FY336" s="78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</row>
    <row r="337" spans="1:212" ht="1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FY337" s="78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</row>
    <row r="338" spans="1:212" ht="1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FY338" s="78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</row>
    <row r="339" spans="1:212" ht="1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FY339" s="78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</row>
    <row r="340" spans="1:212" ht="1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FY340" s="78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</row>
    <row r="341" spans="1:212" ht="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FY341" s="78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</row>
    <row r="342" spans="1:212" ht="1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FY342" s="78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</row>
    <row r="343" spans="1:212" ht="1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FY343" s="78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</row>
    <row r="344" spans="1:212" ht="1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FY344" s="78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</row>
    <row r="345" spans="1:212" ht="1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FY345" s="78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</row>
    <row r="346" spans="1:212" ht="1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FY346" s="78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</row>
    <row r="347" spans="1:212" ht="1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FY347" s="78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</row>
    <row r="348" spans="1:212" ht="1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FY348" s="78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</row>
    <row r="349" spans="1:212" ht="1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FY349" s="78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</row>
    <row r="350" spans="1:212" ht="1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FY350" s="78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</row>
    <row r="351" spans="1:212" ht="1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FY351" s="78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</row>
    <row r="352" spans="1:212" ht="1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FY352" s="78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</row>
    <row r="353" spans="1:212" ht="1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FY353" s="78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</row>
    <row r="354" spans="1:212" ht="1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FY354" s="78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</row>
    <row r="355" spans="1:212" ht="1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FY355" s="78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</row>
    <row r="356" spans="1:212" ht="1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FY356" s="78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</row>
    <row r="357" spans="1:212" ht="1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FY357" s="78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</row>
    <row r="358" spans="1:212" ht="1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FY358" s="78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</row>
    <row r="359" spans="1:212" ht="1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FY359" s="78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</row>
    <row r="360" spans="1:212" ht="1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FY360" s="78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</row>
    <row r="361" spans="1:212" ht="1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FY361" s="78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</row>
    <row r="362" spans="1:212" ht="1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FY362" s="78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</row>
    <row r="363" spans="1:212" ht="1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FY363" s="78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</row>
    <row r="364" spans="1:212" ht="1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FY364" s="78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</row>
    <row r="365" spans="1:212" ht="1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FY365" s="78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</row>
    <row r="366" spans="1:212" ht="1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FY366" s="78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</row>
    <row r="367" spans="1:212" ht="1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FY367" s="78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</row>
    <row r="368" spans="1:212" ht="1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FY368" s="78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</row>
    <row r="369" spans="1:212" ht="1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FY369" s="78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</row>
    <row r="370" spans="1:212" ht="1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FY370" s="78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</row>
    <row r="371" spans="1:212" ht="1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FY371" s="78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</row>
    <row r="372" spans="1:212" ht="1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FY372" s="78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</row>
    <row r="373" spans="181:212" ht="15"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</row>
    <row r="374" spans="181:212" ht="15"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</row>
    <row r="375" spans="181:212" ht="15"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</row>
    <row r="376" spans="181:212" ht="15"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</row>
    <row r="377" spans="181:212" ht="15"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</row>
    <row r="378" spans="181:212" ht="15"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</row>
    <row r="379" spans="181:212" ht="15"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</row>
    <row r="380" spans="181:212" ht="15"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</row>
    <row r="381" spans="181:212" ht="15"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10"/>
      <c r="C2" s="11"/>
      <c r="D2" s="11"/>
      <c r="E2" s="11"/>
      <c r="F2" s="11"/>
      <c r="G2" s="11"/>
      <c r="H2" s="11"/>
      <c r="I2" s="12"/>
    </row>
    <row r="3" spans="2:9" ht="15">
      <c r="B3" s="18"/>
      <c r="C3" s="86" t="s">
        <v>57</v>
      </c>
      <c r="D3" s="15" t="str">
        <f>+Input!F90</f>
        <v>Anno 1</v>
      </c>
      <c r="E3" s="15" t="str">
        <f>+Input!G90</f>
        <v>Anno 2</v>
      </c>
      <c r="F3" s="15" t="str">
        <f>+Input!H90</f>
        <v>Anno 3</v>
      </c>
      <c r="G3" s="15" t="str">
        <f>+Input!I90</f>
        <v>Anno 4</v>
      </c>
      <c r="H3" s="15" t="str">
        <f>+Input!J90</f>
        <v>Anno 5</v>
      </c>
      <c r="I3" s="17"/>
    </row>
    <row r="4" spans="2:9" ht="15">
      <c r="B4" s="18"/>
      <c r="C4" s="19" t="str">
        <f>+Input!C92</f>
        <v>spese utenze</v>
      </c>
      <c r="D4" s="35">
        <f>+Input!F92*Input!$D92</f>
        <v>1260</v>
      </c>
      <c r="E4" s="35">
        <f>+Input!G92*Input!$D92</f>
        <v>1260</v>
      </c>
      <c r="F4" s="35">
        <f>+Input!H92*Input!$D92</f>
        <v>1260</v>
      </c>
      <c r="G4" s="35">
        <f>+Input!I92*Input!$D92</f>
        <v>1260</v>
      </c>
      <c r="H4" s="35">
        <f>+Input!J92*Input!$D92</f>
        <v>1260</v>
      </c>
      <c r="I4" s="17"/>
    </row>
    <row r="5" spans="2:9" ht="15">
      <c r="B5" s="18"/>
      <c r="C5" s="19" t="str">
        <f>+Input!C93</f>
        <v>spese di rappresentanza</v>
      </c>
      <c r="D5" s="35">
        <f>+Input!F93*Input!$D93</f>
        <v>0</v>
      </c>
      <c r="E5" s="35">
        <f>+Input!G93*Input!$D93</f>
        <v>0</v>
      </c>
      <c r="F5" s="35">
        <f>+Input!H93*Input!$D93</f>
        <v>0</v>
      </c>
      <c r="G5" s="35">
        <f>+Input!I93*Input!$D93</f>
        <v>0</v>
      </c>
      <c r="H5" s="35">
        <f>+Input!J93*Input!$D93</f>
        <v>0</v>
      </c>
      <c r="I5" s="17"/>
    </row>
    <row r="6" spans="2:9" ht="15">
      <c r="B6" s="18"/>
      <c r="C6" s="19" t="str">
        <f>+Input!C94</f>
        <v>spese di pubblicità e promozioni</v>
      </c>
      <c r="D6" s="35">
        <f>+Input!F94*Input!$D94</f>
        <v>420</v>
      </c>
      <c r="E6" s="35">
        <f>+Input!G94*Input!$D94</f>
        <v>420</v>
      </c>
      <c r="F6" s="35">
        <f>+Input!H94*Input!$D94</f>
        <v>420</v>
      </c>
      <c r="G6" s="35">
        <f>+Input!I94*Input!$D94</f>
        <v>420</v>
      </c>
      <c r="H6" s="35">
        <f>+Input!J94*Input!$D94</f>
        <v>420</v>
      </c>
      <c r="I6" s="17"/>
    </row>
    <row r="7" spans="2:9" ht="15">
      <c r="B7" s="18"/>
      <c r="C7" s="19" t="str">
        <f>+Input!C95</f>
        <v>beni strumentali inf. al milione</v>
      </c>
      <c r="D7" s="35">
        <f>+Input!F95*Input!$D95</f>
        <v>0</v>
      </c>
      <c r="E7" s="35">
        <f>+Input!G95*Input!$D95</f>
        <v>0</v>
      </c>
      <c r="F7" s="35">
        <f>+Input!H95*Input!$D95</f>
        <v>0</v>
      </c>
      <c r="G7" s="35">
        <f>+Input!I95*Input!$D95</f>
        <v>0</v>
      </c>
      <c r="H7" s="35">
        <f>+Input!J95*Input!$D95</f>
        <v>0</v>
      </c>
      <c r="I7" s="17"/>
    </row>
    <row r="8" spans="2:9" ht="15">
      <c r="B8" s="18"/>
      <c r="C8" s="19" t="str">
        <f>+Input!C96</f>
        <v>spese di trasporto</v>
      </c>
      <c r="D8" s="35">
        <f>+Input!F96*Input!$D96</f>
        <v>0</v>
      </c>
      <c r="E8" s="35">
        <f>+Input!G96*Input!$D96</f>
        <v>0</v>
      </c>
      <c r="F8" s="35">
        <f>+Input!H96*Input!$D96</f>
        <v>0</v>
      </c>
      <c r="G8" s="35">
        <f>+Input!I96*Input!$D96</f>
        <v>0</v>
      </c>
      <c r="H8" s="35">
        <f>+Input!J96*Input!$D96</f>
        <v>0</v>
      </c>
      <c r="I8" s="17"/>
    </row>
    <row r="9" spans="2:9" ht="15">
      <c r="B9" s="18"/>
      <c r="C9" s="19" t="str">
        <f>+Input!C97</f>
        <v>lavorazioni presso terzi</v>
      </c>
      <c r="D9" s="35">
        <f>+Input!F97*Input!$D97</f>
        <v>0</v>
      </c>
      <c r="E9" s="35">
        <f>+Input!G97*Input!$D97</f>
        <v>0</v>
      </c>
      <c r="F9" s="35">
        <f>+Input!H97*Input!$D97</f>
        <v>0</v>
      </c>
      <c r="G9" s="35">
        <f>+Input!I97*Input!$D97</f>
        <v>0</v>
      </c>
      <c r="H9" s="35">
        <f>+Input!J97*Input!$D97</f>
        <v>0</v>
      </c>
      <c r="I9" s="17"/>
    </row>
    <row r="10" spans="2:9" ht="15">
      <c r="B10" s="18"/>
      <c r="C10" s="19" t="str">
        <f>+Input!C98</f>
        <v>consulenze legali, fiscali, notarili, ecc…</v>
      </c>
      <c r="D10" s="35">
        <f>+Input!F98*Input!$D98</f>
        <v>126</v>
      </c>
      <c r="E10" s="35">
        <f>+Input!G98*Input!$D98</f>
        <v>126</v>
      </c>
      <c r="F10" s="35">
        <f>+Input!H98*Input!$D98</f>
        <v>126</v>
      </c>
      <c r="G10" s="35">
        <f>+Input!I98*Input!$D98</f>
        <v>126</v>
      </c>
      <c r="H10" s="35">
        <f>+Input!J98*Input!$D98</f>
        <v>126</v>
      </c>
      <c r="I10" s="17"/>
    </row>
    <row r="11" spans="2:9" ht="15">
      <c r="B11" s="18"/>
      <c r="C11" s="19" t="str">
        <f>+Input!C99</f>
        <v>compensi amministratori</v>
      </c>
      <c r="D11" s="35">
        <f>+Input!F99*Input!$D99</f>
        <v>0</v>
      </c>
      <c r="E11" s="35">
        <f>+Input!G99*Input!$D99</f>
        <v>0</v>
      </c>
      <c r="F11" s="35">
        <f>+Input!H99*Input!$D99</f>
        <v>0</v>
      </c>
      <c r="G11" s="35">
        <f>+Input!I99*Input!$D99</f>
        <v>0</v>
      </c>
      <c r="H11" s="35">
        <f>+Input!J99*Input!$D99</f>
        <v>0</v>
      </c>
      <c r="I11" s="17"/>
    </row>
    <row r="12" spans="2:9" ht="15">
      <c r="B12" s="18"/>
      <c r="C12" s="19" t="str">
        <f>+Input!C100</f>
        <v>affitti </v>
      </c>
      <c r="D12" s="35">
        <f>+Input!F100*Input!$D100</f>
        <v>0</v>
      </c>
      <c r="E12" s="35">
        <f>+Input!G100*Input!$D100</f>
        <v>0</v>
      </c>
      <c r="F12" s="35">
        <f>+Input!H100*Input!$D100</f>
        <v>0</v>
      </c>
      <c r="G12" s="35">
        <f>+Input!I100*Input!$D100</f>
        <v>0</v>
      </c>
      <c r="H12" s="35">
        <f>+Input!J100*Input!$D100</f>
        <v>0</v>
      </c>
      <c r="I12" s="17"/>
    </row>
    <row r="13" spans="2:9" ht="15">
      <c r="B13" s="18"/>
      <c r="C13" s="19" t="str">
        <f>+Input!C101</f>
        <v>altri costi amministrativi</v>
      </c>
      <c r="D13" s="35">
        <f>+Input!F101*Input!$D101</f>
        <v>0</v>
      </c>
      <c r="E13" s="35">
        <f>+Input!G101*Input!$D101</f>
        <v>0</v>
      </c>
      <c r="F13" s="35">
        <f>+Input!H101*Input!$D101</f>
        <v>0</v>
      </c>
      <c r="G13" s="35">
        <f>+Input!I101*Input!$D101</f>
        <v>0</v>
      </c>
      <c r="H13" s="35">
        <f>+Input!J101*Input!$D101</f>
        <v>0</v>
      </c>
      <c r="I13" s="17"/>
    </row>
    <row r="14" spans="2:9" ht="15">
      <c r="B14" s="18"/>
      <c r="C14" s="19" t="str">
        <f>+Input!C102</f>
        <v>Costi diversi</v>
      </c>
      <c r="D14" s="35">
        <f>+Input!F102*Input!$D102</f>
        <v>210</v>
      </c>
      <c r="E14" s="35">
        <f>+Input!G102*Input!$D102</f>
        <v>210</v>
      </c>
      <c r="F14" s="35">
        <f>+Input!H102*Input!$D102</f>
        <v>210</v>
      </c>
      <c r="G14" s="35">
        <f>+Input!I102*Input!$D102</f>
        <v>210</v>
      </c>
      <c r="H14" s="35">
        <f>+Input!J102*Input!$D102</f>
        <v>210</v>
      </c>
      <c r="I14" s="17"/>
    </row>
    <row r="15" spans="2:9" ht="15">
      <c r="B15" s="18"/>
      <c r="C15" s="19" t="str">
        <f>+Input!C103</f>
        <v>Premi assicurativi</v>
      </c>
      <c r="D15" s="35">
        <f>+Input!F103*Input!$D103</f>
        <v>0</v>
      </c>
      <c r="E15" s="35">
        <f>+Input!G103*Input!$D103</f>
        <v>0</v>
      </c>
      <c r="F15" s="35">
        <f>+Input!H103*Input!$D103</f>
        <v>0</v>
      </c>
      <c r="G15" s="35">
        <f>+Input!I103*Input!$D103</f>
        <v>0</v>
      </c>
      <c r="H15" s="35">
        <f>+Input!J103*Input!$D103</f>
        <v>0</v>
      </c>
      <c r="I15" s="17"/>
    </row>
    <row r="16" spans="2:9" ht="15">
      <c r="B16" s="18"/>
      <c r="C16" s="19" t="str">
        <f>+Input!C104</f>
        <v>Costo annuale fidejussione</v>
      </c>
      <c r="D16" s="35">
        <f>+Input!F104*Input!$D104</f>
        <v>0</v>
      </c>
      <c r="E16" s="35">
        <f>+Input!G104*Input!$D104</f>
        <v>0</v>
      </c>
      <c r="F16" s="35">
        <f>+Input!H104*Input!$D104</f>
        <v>0</v>
      </c>
      <c r="G16" s="35">
        <f>+Input!I104*Input!$D104</f>
        <v>0</v>
      </c>
      <c r="H16" s="35">
        <f>+Input!J104*Input!$D104</f>
        <v>0</v>
      </c>
      <c r="I16" s="17"/>
    </row>
    <row r="17" spans="2:9" ht="15">
      <c r="B17" s="18"/>
      <c r="C17" s="19" t="str">
        <f>+Input!C105</f>
        <v>Altri costi 2</v>
      </c>
      <c r="D17" s="35">
        <f>+Input!F105*Input!$D105</f>
        <v>0</v>
      </c>
      <c r="E17" s="35">
        <f>+Input!G105*Input!$D105</f>
        <v>0</v>
      </c>
      <c r="F17" s="35">
        <f>+Input!H105*Input!$D105</f>
        <v>0</v>
      </c>
      <c r="G17" s="35">
        <f>+Input!I105*Input!$D105</f>
        <v>0</v>
      </c>
      <c r="H17" s="35">
        <f>+Input!J105*Input!$D105</f>
        <v>0</v>
      </c>
      <c r="I17" s="17"/>
    </row>
    <row r="18" spans="2:9" ht="15">
      <c r="B18" s="18"/>
      <c r="C18" s="19" t="str">
        <f>+Input!C106</f>
        <v>Altri costi 3</v>
      </c>
      <c r="D18" s="35">
        <f>+Input!F106*Input!$D106</f>
        <v>0</v>
      </c>
      <c r="E18" s="35">
        <f>+Input!G106*Input!$D106</f>
        <v>0</v>
      </c>
      <c r="F18" s="35">
        <f>+Input!H106*Input!$D106</f>
        <v>0</v>
      </c>
      <c r="G18" s="35">
        <f>+Input!I106*Input!$D106</f>
        <v>0</v>
      </c>
      <c r="H18" s="35">
        <f>+Input!J106*Input!$D106</f>
        <v>0</v>
      </c>
      <c r="I18" s="17"/>
    </row>
    <row r="19" spans="2:9" ht="15">
      <c r="B19" s="18"/>
      <c r="C19" s="19" t="str">
        <f>+Input!C107</f>
        <v>Altri costi 4</v>
      </c>
      <c r="D19" s="35">
        <f>+Input!F107*Input!$D107</f>
        <v>0</v>
      </c>
      <c r="E19" s="35">
        <f>+Input!G107*Input!$D107</f>
        <v>0</v>
      </c>
      <c r="F19" s="35">
        <f>+Input!H107*Input!$D107</f>
        <v>0</v>
      </c>
      <c r="G19" s="35">
        <f>+Input!I107*Input!$D107</f>
        <v>0</v>
      </c>
      <c r="H19" s="35">
        <f>+Input!J107*Input!$D107</f>
        <v>0</v>
      </c>
      <c r="I19" s="17"/>
    </row>
    <row r="20" spans="2:9" ht="15">
      <c r="B20" s="18"/>
      <c r="C20" s="19" t="str">
        <f>+Input!C108</f>
        <v>Altri costi 5</v>
      </c>
      <c r="D20" s="35">
        <f>+Input!F108*Input!$D108</f>
        <v>0</v>
      </c>
      <c r="E20" s="35">
        <f>+Input!G108*Input!$D108</f>
        <v>0</v>
      </c>
      <c r="F20" s="35">
        <f>+Input!H108*Input!$D108</f>
        <v>0</v>
      </c>
      <c r="G20" s="35">
        <f>+Input!I108*Input!$D108</f>
        <v>0</v>
      </c>
      <c r="H20" s="35">
        <f>+Input!J108*Input!$D108</f>
        <v>0</v>
      </c>
      <c r="I20" s="17"/>
    </row>
    <row r="21" spans="2:9" ht="15">
      <c r="B21" s="18"/>
      <c r="C21" s="19" t="str">
        <f>+Input!C109</f>
        <v>Altri costi 6</v>
      </c>
      <c r="D21" s="35">
        <f>+Input!F109*Input!$D109</f>
        <v>0</v>
      </c>
      <c r="E21" s="35">
        <f>+Input!G109*Input!$D109</f>
        <v>0</v>
      </c>
      <c r="F21" s="35">
        <f>+Input!H109*Input!$D109</f>
        <v>0</v>
      </c>
      <c r="G21" s="35">
        <f>+Input!I109*Input!$D109</f>
        <v>0</v>
      </c>
      <c r="H21" s="35">
        <f>+Input!J109*Input!$D109</f>
        <v>0</v>
      </c>
      <c r="I21" s="17"/>
    </row>
    <row r="22" spans="2:9" ht="15">
      <c r="B22" s="18"/>
      <c r="C22" s="19" t="str">
        <f>+Input!C110</f>
        <v>Altri costi 7</v>
      </c>
      <c r="D22" s="35">
        <f>+Input!F110*Input!$D110</f>
        <v>0</v>
      </c>
      <c r="E22" s="35">
        <f>+Input!G110*Input!$D110</f>
        <v>0</v>
      </c>
      <c r="F22" s="35">
        <f>+Input!H110*Input!$D110</f>
        <v>0</v>
      </c>
      <c r="G22" s="35">
        <f>+Input!I110*Input!$D110</f>
        <v>0</v>
      </c>
      <c r="H22" s="35">
        <f>+Input!J110*Input!$D110</f>
        <v>0</v>
      </c>
      <c r="I22" s="17"/>
    </row>
    <row r="23" spans="2:9" ht="15">
      <c r="B23" s="18"/>
      <c r="C23" s="19" t="str">
        <f>+Input!C111</f>
        <v>Altri costi 8</v>
      </c>
      <c r="D23" s="35">
        <f>+Input!F111*Input!$D111</f>
        <v>0</v>
      </c>
      <c r="E23" s="35">
        <f>+Input!G111*Input!$D111</f>
        <v>0</v>
      </c>
      <c r="F23" s="35">
        <f>+Input!H111*Input!$D111</f>
        <v>0</v>
      </c>
      <c r="G23" s="35">
        <f>+Input!I111*Input!$D111</f>
        <v>0</v>
      </c>
      <c r="H23" s="35">
        <f>+Input!J111*Input!$D111</f>
        <v>0</v>
      </c>
      <c r="I23" s="17"/>
    </row>
    <row r="24" spans="2:9" ht="15">
      <c r="B24" s="18"/>
      <c r="C24" s="19" t="str">
        <f>+Input!C112</f>
        <v>Altri costi 9</v>
      </c>
      <c r="D24" s="35">
        <f>+Input!F112*Input!$D112</f>
        <v>0</v>
      </c>
      <c r="E24" s="35">
        <f>+Input!G112*Input!$D112</f>
        <v>0</v>
      </c>
      <c r="F24" s="35">
        <f>+Input!H112*Input!$D112</f>
        <v>0</v>
      </c>
      <c r="G24" s="35">
        <f>+Input!I112*Input!$D112</f>
        <v>0</v>
      </c>
      <c r="H24" s="35">
        <f>+Input!J112*Input!$D112</f>
        <v>0</v>
      </c>
      <c r="I24" s="17"/>
    </row>
    <row r="25" spans="2:9" ht="15">
      <c r="B25" s="18"/>
      <c r="C25" s="14" t="s">
        <v>249</v>
      </c>
      <c r="D25" s="36">
        <f>SUM(D4:D24)</f>
        <v>2016</v>
      </c>
      <c r="E25" s="36">
        <f>SUM(E4:E24)</f>
        <v>2016</v>
      </c>
      <c r="F25" s="36">
        <f>SUM(F4:F24)</f>
        <v>2016</v>
      </c>
      <c r="G25" s="36">
        <f>SUM(G4:G24)</f>
        <v>2016</v>
      </c>
      <c r="H25" s="36">
        <f>SUM(H4:H24)</f>
        <v>2016</v>
      </c>
      <c r="I25" s="17"/>
    </row>
    <row r="26" spans="2:9" ht="15.75" thickBot="1">
      <c r="B26" s="20"/>
      <c r="C26" s="21"/>
      <c r="D26" s="21"/>
      <c r="E26" s="21"/>
      <c r="F26" s="21"/>
      <c r="G26" s="21"/>
      <c r="H26" s="21"/>
      <c r="I26" s="22"/>
    </row>
    <row r="27" ht="15.75" thickBot="1"/>
    <row r="28" spans="2:9" ht="15">
      <c r="B28" s="10"/>
      <c r="C28" s="11"/>
      <c r="D28" s="11"/>
      <c r="E28" s="11"/>
      <c r="F28" s="11"/>
      <c r="G28" s="11"/>
      <c r="H28" s="11"/>
      <c r="I28" s="12"/>
    </row>
    <row r="29" spans="2:9" ht="15">
      <c r="B29" s="18"/>
      <c r="C29" s="15" t="s">
        <v>37</v>
      </c>
      <c r="D29" s="15" t="str">
        <f>+D3</f>
        <v>Anno 1</v>
      </c>
      <c r="E29" s="15" t="str">
        <f>+E3</f>
        <v>Anno 2</v>
      </c>
      <c r="F29" s="15" t="str">
        <f>+F3</f>
        <v>Anno 3</v>
      </c>
      <c r="G29" s="15" t="str">
        <f>+G3</f>
        <v>Anno 4</v>
      </c>
      <c r="H29" s="15" t="str">
        <f>+H3</f>
        <v>Anno 5</v>
      </c>
      <c r="I29" s="17"/>
    </row>
    <row r="30" spans="2:9" ht="15">
      <c r="B30" s="18"/>
      <c r="C30" s="19" t="str">
        <f aca="true" t="shared" si="0" ref="C30:C50">+C4</f>
        <v>spese utenze</v>
      </c>
      <c r="D30" s="47">
        <f>+Input!F92+'Altri costi'!D4</f>
        <v>7260</v>
      </c>
      <c r="E30" s="47">
        <f>+Input!G92+'Altri costi'!E4</f>
        <v>7260</v>
      </c>
      <c r="F30" s="47">
        <f>+Input!H92+'Altri costi'!F4</f>
        <v>7260</v>
      </c>
      <c r="G30" s="47">
        <f>+Input!I92+'Altri costi'!G4</f>
        <v>7260</v>
      </c>
      <c r="H30" s="47">
        <f>+Input!J92+'Altri costi'!H4</f>
        <v>7260</v>
      </c>
      <c r="I30" s="17"/>
    </row>
    <row r="31" spans="2:9" ht="15">
      <c r="B31" s="18"/>
      <c r="C31" s="19" t="str">
        <f t="shared" si="0"/>
        <v>spese di rappresentanza</v>
      </c>
      <c r="D31" s="47">
        <f>+Input!F93+'Altri costi'!D5</f>
        <v>0</v>
      </c>
      <c r="E31" s="47">
        <f>+Input!G93+'Altri costi'!E5</f>
        <v>0</v>
      </c>
      <c r="F31" s="47">
        <f>+Input!H93+'Altri costi'!F5</f>
        <v>0</v>
      </c>
      <c r="G31" s="47">
        <f>+Input!I93+'Altri costi'!G5</f>
        <v>0</v>
      </c>
      <c r="H31" s="47">
        <f>+Input!J93+'Altri costi'!H5</f>
        <v>0</v>
      </c>
      <c r="I31" s="17"/>
    </row>
    <row r="32" spans="2:9" ht="15">
      <c r="B32" s="18"/>
      <c r="C32" s="19" t="str">
        <f t="shared" si="0"/>
        <v>spese di pubblicità e promozioni</v>
      </c>
      <c r="D32" s="47">
        <f>+Input!F94+'Altri costi'!D6</f>
        <v>2420</v>
      </c>
      <c r="E32" s="47">
        <f>+Input!G94+'Altri costi'!E6</f>
        <v>2420</v>
      </c>
      <c r="F32" s="47">
        <f>+Input!H94+'Altri costi'!F6</f>
        <v>2420</v>
      </c>
      <c r="G32" s="47">
        <f>+Input!I94+'Altri costi'!G6</f>
        <v>2420</v>
      </c>
      <c r="H32" s="47">
        <f>+Input!J94+'Altri costi'!H6</f>
        <v>2420</v>
      </c>
      <c r="I32" s="17"/>
    </row>
    <row r="33" spans="2:9" ht="15">
      <c r="B33" s="18"/>
      <c r="C33" s="19" t="str">
        <f t="shared" si="0"/>
        <v>beni strumentali inf. al milione</v>
      </c>
      <c r="D33" s="47">
        <f>+Input!F95+'Altri costi'!D7</f>
        <v>0</v>
      </c>
      <c r="E33" s="47">
        <f>+Input!G95+'Altri costi'!E7</f>
        <v>0</v>
      </c>
      <c r="F33" s="47">
        <f>+Input!H95+'Altri costi'!F7</f>
        <v>0</v>
      </c>
      <c r="G33" s="47">
        <f>+Input!I95+'Altri costi'!G7</f>
        <v>0</v>
      </c>
      <c r="H33" s="47">
        <f>+Input!J95+'Altri costi'!H7</f>
        <v>0</v>
      </c>
      <c r="I33" s="17"/>
    </row>
    <row r="34" spans="2:9" ht="15">
      <c r="B34" s="18"/>
      <c r="C34" s="19" t="str">
        <f t="shared" si="0"/>
        <v>spese di trasporto</v>
      </c>
      <c r="D34" s="47">
        <f>+Input!F96+'Altri costi'!D8</f>
        <v>0</v>
      </c>
      <c r="E34" s="47">
        <f>+Input!G96+'Altri costi'!E8</f>
        <v>0</v>
      </c>
      <c r="F34" s="47">
        <f>+Input!H96+'Altri costi'!F8</f>
        <v>0</v>
      </c>
      <c r="G34" s="47">
        <f>+Input!I96+'Altri costi'!G8</f>
        <v>0</v>
      </c>
      <c r="H34" s="47">
        <f>+Input!J96+'Altri costi'!H8</f>
        <v>0</v>
      </c>
      <c r="I34" s="17"/>
    </row>
    <row r="35" spans="2:9" ht="15">
      <c r="B35" s="18"/>
      <c r="C35" s="19" t="str">
        <f t="shared" si="0"/>
        <v>lavorazioni presso terzi</v>
      </c>
      <c r="D35" s="47">
        <f>+Input!F97+'Altri costi'!D9</f>
        <v>0</v>
      </c>
      <c r="E35" s="47">
        <f>+Input!G97+'Altri costi'!E9</f>
        <v>0</v>
      </c>
      <c r="F35" s="47">
        <f>+Input!H97+'Altri costi'!F9</f>
        <v>0</v>
      </c>
      <c r="G35" s="47">
        <f>+Input!I97+'Altri costi'!G9</f>
        <v>0</v>
      </c>
      <c r="H35" s="47">
        <f>+Input!J97+'Altri costi'!H9</f>
        <v>0</v>
      </c>
      <c r="I35" s="17"/>
    </row>
    <row r="36" spans="2:9" ht="15">
      <c r="B36" s="18"/>
      <c r="C36" s="19" t="str">
        <f t="shared" si="0"/>
        <v>consulenze legali, fiscali, notarili, ecc…</v>
      </c>
      <c r="D36" s="47">
        <f>+Input!F98+'Altri costi'!D10</f>
        <v>726</v>
      </c>
      <c r="E36" s="47">
        <f>+Input!G98+'Altri costi'!E10</f>
        <v>726</v>
      </c>
      <c r="F36" s="47">
        <f>+Input!H98+'Altri costi'!F10</f>
        <v>726</v>
      </c>
      <c r="G36" s="47">
        <f>+Input!I98+'Altri costi'!G10</f>
        <v>726</v>
      </c>
      <c r="H36" s="47">
        <f>+Input!J98+'Altri costi'!H10</f>
        <v>726</v>
      </c>
      <c r="I36" s="17"/>
    </row>
    <row r="37" spans="2:9" ht="15">
      <c r="B37" s="18"/>
      <c r="C37" s="19" t="str">
        <f t="shared" si="0"/>
        <v>compensi amministratori</v>
      </c>
      <c r="D37" s="47">
        <f>+Input!F99+'Altri costi'!D11</f>
        <v>0</v>
      </c>
      <c r="E37" s="47">
        <f>+Input!G99+'Altri costi'!E11</f>
        <v>0</v>
      </c>
      <c r="F37" s="47">
        <f>+Input!H99+'Altri costi'!F11</f>
        <v>0</v>
      </c>
      <c r="G37" s="47">
        <f>+Input!I99+'Altri costi'!G11</f>
        <v>0</v>
      </c>
      <c r="H37" s="47">
        <f>+Input!J99+'Altri costi'!H11</f>
        <v>0</v>
      </c>
      <c r="I37" s="17"/>
    </row>
    <row r="38" spans="2:9" ht="15">
      <c r="B38" s="18"/>
      <c r="C38" s="19" t="str">
        <f t="shared" si="0"/>
        <v>affitti </v>
      </c>
      <c r="D38" s="47">
        <f>+Input!F100+'Altri costi'!D12</f>
        <v>24000</v>
      </c>
      <c r="E38" s="47">
        <f>+Input!G100+'Altri costi'!E12</f>
        <v>24000</v>
      </c>
      <c r="F38" s="47">
        <f>+Input!H100+'Altri costi'!F12</f>
        <v>24000</v>
      </c>
      <c r="G38" s="47">
        <f>+Input!I100+'Altri costi'!G12</f>
        <v>24000</v>
      </c>
      <c r="H38" s="47">
        <f>+Input!J100+'Altri costi'!H12</f>
        <v>24000</v>
      </c>
      <c r="I38" s="17"/>
    </row>
    <row r="39" spans="2:9" ht="15">
      <c r="B39" s="18"/>
      <c r="C39" s="19" t="str">
        <f t="shared" si="0"/>
        <v>altri costi amministrativi</v>
      </c>
      <c r="D39" s="47">
        <f>+Input!F101+'Altri costi'!D13</f>
        <v>0</v>
      </c>
      <c r="E39" s="47">
        <f>+Input!G101+'Altri costi'!E13</f>
        <v>0</v>
      </c>
      <c r="F39" s="47">
        <f>+Input!H101+'Altri costi'!F13</f>
        <v>0</v>
      </c>
      <c r="G39" s="47">
        <f>+Input!I101+'Altri costi'!G13</f>
        <v>0</v>
      </c>
      <c r="H39" s="47">
        <f>+Input!J101+'Altri costi'!H13</f>
        <v>0</v>
      </c>
      <c r="I39" s="17"/>
    </row>
    <row r="40" spans="2:9" ht="15">
      <c r="B40" s="18"/>
      <c r="C40" s="19" t="str">
        <f t="shared" si="0"/>
        <v>Costi diversi</v>
      </c>
      <c r="D40" s="47">
        <f>+Input!F102+'Altri costi'!D14</f>
        <v>1210</v>
      </c>
      <c r="E40" s="47">
        <f>+Input!G102+'Altri costi'!E14</f>
        <v>1210</v>
      </c>
      <c r="F40" s="47">
        <f>+Input!H102+'Altri costi'!F14</f>
        <v>1210</v>
      </c>
      <c r="G40" s="47">
        <f>+Input!I102+'Altri costi'!G14</f>
        <v>1210</v>
      </c>
      <c r="H40" s="47">
        <f>+Input!J102+'Altri costi'!H14</f>
        <v>1210</v>
      </c>
      <c r="I40" s="17"/>
    </row>
    <row r="41" spans="2:9" ht="15">
      <c r="B41" s="18"/>
      <c r="C41" s="19" t="str">
        <f t="shared" si="0"/>
        <v>Premi assicurativi</v>
      </c>
      <c r="D41" s="47">
        <f>+Input!F103+'Altri costi'!D15</f>
        <v>1000</v>
      </c>
      <c r="E41" s="47">
        <f>+Input!G103+'Altri costi'!E15</f>
        <v>1000</v>
      </c>
      <c r="F41" s="47">
        <f>+Input!H103+'Altri costi'!F15</f>
        <v>1000</v>
      </c>
      <c r="G41" s="47">
        <f>+Input!I103+'Altri costi'!G15</f>
        <v>1000</v>
      </c>
      <c r="H41" s="47">
        <f>+Input!J103+'Altri costi'!H15</f>
        <v>1000</v>
      </c>
      <c r="I41" s="17"/>
    </row>
    <row r="42" spans="2:9" ht="15">
      <c r="B42" s="18"/>
      <c r="C42" s="19" t="str">
        <f t="shared" si="0"/>
        <v>Costo annuale fidejussione</v>
      </c>
      <c r="D42" s="47">
        <f>+Input!F104+'Altri costi'!D16</f>
        <v>200</v>
      </c>
      <c r="E42" s="47">
        <f>+Input!G104+'Altri costi'!E16</f>
        <v>200</v>
      </c>
      <c r="F42" s="47">
        <f>+Input!H104+'Altri costi'!F16</f>
        <v>200</v>
      </c>
      <c r="G42" s="47">
        <f>+Input!I104+'Altri costi'!G16</f>
        <v>200</v>
      </c>
      <c r="H42" s="47">
        <f>+Input!J104+'Altri costi'!H16</f>
        <v>200</v>
      </c>
      <c r="I42" s="17"/>
    </row>
    <row r="43" spans="2:9" ht="15">
      <c r="B43" s="18"/>
      <c r="C43" s="19" t="str">
        <f t="shared" si="0"/>
        <v>Altri costi 2</v>
      </c>
      <c r="D43" s="47">
        <f>+Input!F105+'Altri costi'!D17</f>
        <v>0</v>
      </c>
      <c r="E43" s="47">
        <f>+Input!G105+'Altri costi'!E17</f>
        <v>0</v>
      </c>
      <c r="F43" s="47">
        <f>+Input!H105+'Altri costi'!F17</f>
        <v>0</v>
      </c>
      <c r="G43" s="47">
        <f>+Input!I105+'Altri costi'!G17</f>
        <v>0</v>
      </c>
      <c r="H43" s="47">
        <f>+Input!J105+'Altri costi'!H17</f>
        <v>0</v>
      </c>
      <c r="I43" s="17"/>
    </row>
    <row r="44" spans="2:9" ht="15">
      <c r="B44" s="18"/>
      <c r="C44" s="19" t="str">
        <f t="shared" si="0"/>
        <v>Altri costi 3</v>
      </c>
      <c r="D44" s="47">
        <f>+Input!F106+'Altri costi'!D18</f>
        <v>0</v>
      </c>
      <c r="E44" s="47">
        <f>+Input!G106+'Altri costi'!E18</f>
        <v>0</v>
      </c>
      <c r="F44" s="47">
        <f>+Input!H106+'Altri costi'!F18</f>
        <v>0</v>
      </c>
      <c r="G44" s="47">
        <f>+Input!I106+'Altri costi'!G18</f>
        <v>0</v>
      </c>
      <c r="H44" s="47">
        <f>+Input!J106+'Altri costi'!H18</f>
        <v>0</v>
      </c>
      <c r="I44" s="17"/>
    </row>
    <row r="45" spans="2:9" ht="15">
      <c r="B45" s="18"/>
      <c r="C45" s="19" t="str">
        <f t="shared" si="0"/>
        <v>Altri costi 4</v>
      </c>
      <c r="D45" s="47">
        <f>+Input!F107+'Altri costi'!D19</f>
        <v>0</v>
      </c>
      <c r="E45" s="47">
        <f>+Input!G107+'Altri costi'!E19</f>
        <v>0</v>
      </c>
      <c r="F45" s="47">
        <f>+Input!H107+'Altri costi'!F19</f>
        <v>0</v>
      </c>
      <c r="G45" s="47">
        <f>+Input!I107+'Altri costi'!G19</f>
        <v>0</v>
      </c>
      <c r="H45" s="47">
        <f>+Input!J107+'Altri costi'!H19</f>
        <v>0</v>
      </c>
      <c r="I45" s="17"/>
    </row>
    <row r="46" spans="2:9" ht="15">
      <c r="B46" s="18"/>
      <c r="C46" s="19" t="str">
        <f t="shared" si="0"/>
        <v>Altri costi 5</v>
      </c>
      <c r="D46" s="47">
        <f>+Input!F108+'Altri costi'!D20</f>
        <v>0</v>
      </c>
      <c r="E46" s="47">
        <f>+Input!G108+'Altri costi'!E20</f>
        <v>0</v>
      </c>
      <c r="F46" s="47">
        <f>+Input!H108+'Altri costi'!F20</f>
        <v>0</v>
      </c>
      <c r="G46" s="47">
        <f>+Input!I108+'Altri costi'!G20</f>
        <v>0</v>
      </c>
      <c r="H46" s="47">
        <f>+Input!J108+'Altri costi'!H20</f>
        <v>0</v>
      </c>
      <c r="I46" s="17"/>
    </row>
    <row r="47" spans="2:9" ht="15">
      <c r="B47" s="18"/>
      <c r="C47" s="19" t="str">
        <f t="shared" si="0"/>
        <v>Altri costi 6</v>
      </c>
      <c r="D47" s="47">
        <f>+Input!F109+'Altri costi'!D21</f>
        <v>0</v>
      </c>
      <c r="E47" s="47">
        <f>+Input!G109+'Altri costi'!E21</f>
        <v>0</v>
      </c>
      <c r="F47" s="47">
        <f>+Input!H109+'Altri costi'!F21</f>
        <v>0</v>
      </c>
      <c r="G47" s="47">
        <f>+Input!I109+'Altri costi'!G21</f>
        <v>0</v>
      </c>
      <c r="H47" s="47">
        <f>+Input!J109+'Altri costi'!H21</f>
        <v>0</v>
      </c>
      <c r="I47" s="17"/>
    </row>
    <row r="48" spans="2:9" ht="15">
      <c r="B48" s="18"/>
      <c r="C48" s="19" t="str">
        <f t="shared" si="0"/>
        <v>Altri costi 7</v>
      </c>
      <c r="D48" s="47">
        <f>+Input!F110+'Altri costi'!D22</f>
        <v>0</v>
      </c>
      <c r="E48" s="47">
        <f>+Input!G110+'Altri costi'!E22</f>
        <v>0</v>
      </c>
      <c r="F48" s="47">
        <f>+Input!H110+'Altri costi'!F22</f>
        <v>0</v>
      </c>
      <c r="G48" s="47">
        <f>+Input!I110+'Altri costi'!G22</f>
        <v>0</v>
      </c>
      <c r="H48" s="47">
        <f>+Input!J110+'Altri costi'!H22</f>
        <v>0</v>
      </c>
      <c r="I48" s="17"/>
    </row>
    <row r="49" spans="2:9" ht="15">
      <c r="B49" s="18"/>
      <c r="C49" s="19" t="str">
        <f t="shared" si="0"/>
        <v>Altri costi 8</v>
      </c>
      <c r="D49" s="47">
        <f>+Input!F111+'Altri costi'!D23</f>
        <v>0</v>
      </c>
      <c r="E49" s="47">
        <f>+Input!G111+'Altri costi'!E23</f>
        <v>0</v>
      </c>
      <c r="F49" s="47">
        <f>+Input!H111+'Altri costi'!F23</f>
        <v>0</v>
      </c>
      <c r="G49" s="47">
        <f>+Input!I111+'Altri costi'!G23</f>
        <v>0</v>
      </c>
      <c r="H49" s="47">
        <f>+Input!J111+'Altri costi'!H23</f>
        <v>0</v>
      </c>
      <c r="I49" s="17"/>
    </row>
    <row r="50" spans="2:9" ht="15">
      <c r="B50" s="18"/>
      <c r="C50" s="19" t="str">
        <f t="shared" si="0"/>
        <v>Altri costi 9</v>
      </c>
      <c r="D50" s="47">
        <f>+Input!F112+'Altri costi'!D24</f>
        <v>0</v>
      </c>
      <c r="E50" s="47">
        <f>+Input!G112+'Altri costi'!E24</f>
        <v>0</v>
      </c>
      <c r="F50" s="47">
        <f>+Input!H112+'Altri costi'!F24</f>
        <v>0</v>
      </c>
      <c r="G50" s="47">
        <f>+Input!I112+'Altri costi'!G24</f>
        <v>0</v>
      </c>
      <c r="H50" s="47">
        <f>+Input!J112+'Altri costi'!H24</f>
        <v>0</v>
      </c>
      <c r="I50" s="17"/>
    </row>
    <row r="51" spans="2:9" ht="15">
      <c r="B51" s="18"/>
      <c r="C51" s="14" t="s">
        <v>61</v>
      </c>
      <c r="D51" s="52">
        <f>SUM(D30:D50)</f>
        <v>36816</v>
      </c>
      <c r="E51" s="52">
        <f>SUM(E30:E50)</f>
        <v>36816</v>
      </c>
      <c r="F51" s="52">
        <f>SUM(F30:F50)</f>
        <v>36816</v>
      </c>
      <c r="G51" s="52">
        <f>SUM(G30:G50)</f>
        <v>36816</v>
      </c>
      <c r="H51" s="52">
        <f>SUM(H30:H50)</f>
        <v>36816</v>
      </c>
      <c r="I51" s="17"/>
    </row>
    <row r="52" spans="2:9" ht="15.75" thickBot="1">
      <c r="B52" s="20"/>
      <c r="C52" s="21"/>
      <c r="D52" s="21"/>
      <c r="E52" s="21"/>
      <c r="F52" s="21"/>
      <c r="G52" s="21"/>
      <c r="H52" s="21"/>
      <c r="I52" s="2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270</v>
      </c>
      <c r="C2" t="str">
        <f>+Input!D15</f>
        <v>mensile</v>
      </c>
    </row>
    <row r="4" spans="2:7" ht="15">
      <c r="B4" s="88" t="s">
        <v>253</v>
      </c>
      <c r="C4" s="9" t="s">
        <v>261</v>
      </c>
      <c r="D4" s="9" t="s">
        <v>262</v>
      </c>
      <c r="E4" s="9" t="s">
        <v>263</v>
      </c>
      <c r="F4" s="9" t="s">
        <v>264</v>
      </c>
      <c r="G4" s="9" t="s">
        <v>265</v>
      </c>
    </row>
    <row r="5" spans="2:8" ht="15">
      <c r="B5" s="19" t="s">
        <v>18</v>
      </c>
      <c r="C5" s="28">
        <f>+MCL!M27+MCL!D70</f>
        <v>42000</v>
      </c>
      <c r="D5" s="28">
        <f>+MCL!N27+MCL!E70</f>
        <v>58800</v>
      </c>
      <c r="E5" s="28">
        <f>+MCL!O27+MCL!F70</f>
        <v>78120</v>
      </c>
      <c r="F5" s="28">
        <f>+MCL!P27+MCL!G70</f>
        <v>79800</v>
      </c>
      <c r="G5" s="28">
        <f>+MCL!Q27+MCL!H70</f>
        <v>79800</v>
      </c>
      <c r="H5" s="87"/>
    </row>
    <row r="6" spans="2:8" ht="15">
      <c r="B6" s="19" t="s">
        <v>23</v>
      </c>
      <c r="C6" s="28">
        <f>+MCL!M41+Inve!M6+'Altri costi'!D25+MCL!D65</f>
        <v>46116</v>
      </c>
      <c r="D6" s="28">
        <f>+MCL!N41+Inve!N6+'Altri costi'!E25+MCL!E65</f>
        <v>42587.99999999999</v>
      </c>
      <c r="E6" s="28">
        <f>+MCL!O41+Inve!O6+'Altri costi'!F25+MCL!F65</f>
        <v>55918.79999999999</v>
      </c>
      <c r="F6" s="28">
        <f>+MCL!P41+Inve!P6+'Altri costi'!G25+MCL!G65</f>
        <v>57078</v>
      </c>
      <c r="G6" s="28">
        <f>+MCL!Q41+Inve!Q6+'Altri costi'!H25+MCL!H65</f>
        <v>57078</v>
      </c>
      <c r="H6" s="87"/>
    </row>
    <row r="7" spans="2:8" ht="15">
      <c r="B7" s="89"/>
      <c r="C7" s="37">
        <f>+C6-C5</f>
        <v>4116</v>
      </c>
      <c r="D7" s="37">
        <f>+D6-D5</f>
        <v>-16212.000000000007</v>
      </c>
      <c r="E7" s="37">
        <f>+E6-E5</f>
        <v>-22201.20000000001</v>
      </c>
      <c r="F7" s="37">
        <f>+F6-F5</f>
        <v>-22722</v>
      </c>
      <c r="G7" s="37">
        <f>+G6-G5</f>
        <v>-22722</v>
      </c>
      <c r="H7" s="89"/>
    </row>
    <row r="8" spans="2:8" ht="15">
      <c r="B8" s="89"/>
      <c r="C8" s="89"/>
      <c r="D8" s="89"/>
      <c r="E8" s="89"/>
      <c r="F8" s="89"/>
      <c r="G8" s="89"/>
      <c r="H8" s="89"/>
    </row>
    <row r="9" spans="2:8" ht="15">
      <c r="B9" s="88" t="s">
        <v>254</v>
      </c>
      <c r="C9" s="89"/>
      <c r="D9" s="89"/>
      <c r="E9" s="89"/>
      <c r="F9" s="89"/>
      <c r="G9" s="89"/>
      <c r="H9" s="89"/>
    </row>
    <row r="10" spans="2:8" ht="15">
      <c r="B10" s="88" t="s">
        <v>255</v>
      </c>
      <c r="C10" s="28">
        <f>+C7</f>
        <v>4116</v>
      </c>
      <c r="D10" s="28">
        <f>+D7</f>
        <v>-16212.000000000007</v>
      </c>
      <c r="E10" s="28">
        <f>+E7</f>
        <v>-22201.20000000001</v>
      </c>
      <c r="F10" s="28">
        <f>+F7</f>
        <v>-22722</v>
      </c>
      <c r="G10" s="28">
        <f>+G7</f>
        <v>-22722</v>
      </c>
      <c r="H10" s="89"/>
    </row>
    <row r="11" spans="2:8" ht="15">
      <c r="B11" s="88" t="s">
        <v>256</v>
      </c>
      <c r="C11" s="28">
        <v>0</v>
      </c>
      <c r="D11" s="28">
        <f>+IF(D10&gt;0,0,IF(C13&gt;-D10,-D10,C13))</f>
        <v>4116</v>
      </c>
      <c r="E11" s="28">
        <f>+IF(E10&gt;0,0,IF(D13&gt;-E10,-E10,D13))</f>
        <v>0</v>
      </c>
      <c r="F11" s="28">
        <f>+IF(F10&gt;0,0,IF(E13&gt;-F10,-F10,E13))</f>
        <v>0</v>
      </c>
      <c r="G11" s="28">
        <f>+IF(G10&gt;0,0,IF(F13&gt;-G10,-G10,F13))</f>
        <v>0</v>
      </c>
      <c r="H11" s="89"/>
    </row>
    <row r="12" spans="2:8" ht="15">
      <c r="B12" s="88" t="s">
        <v>257</v>
      </c>
      <c r="C12" s="28">
        <f>+IF((C10+C11)&gt;0,0,(C10+C11))</f>
        <v>0</v>
      </c>
      <c r="D12" s="28">
        <f>+IF((D10+D11)&gt;0,0,(D10+D11))</f>
        <v>-12096.000000000007</v>
      </c>
      <c r="E12" s="28">
        <f>+IF((E10+E11)&gt;0,0,(E10+E11))</f>
        <v>-22201.20000000001</v>
      </c>
      <c r="F12" s="28">
        <f>+IF((F10+F11)&gt;0,0,(F10+F11))</f>
        <v>-22722</v>
      </c>
      <c r="G12" s="28">
        <f>+IF((G10+G11)&gt;0,0,(G10+G11))</f>
        <v>-22722</v>
      </c>
      <c r="H12" s="89"/>
    </row>
    <row r="13" spans="2:8" ht="15">
      <c r="B13" s="88" t="s">
        <v>258</v>
      </c>
      <c r="C13" s="28">
        <f>+IF(C6&gt;C5,C6-C5,0)</f>
        <v>4116</v>
      </c>
      <c r="D13" s="28">
        <f>+IF(D10&gt;0,C13+D10,C13-D11)</f>
        <v>0</v>
      </c>
      <c r="E13" s="28">
        <f>+IF(E10&gt;0,D13+E10,D13-E11)</f>
        <v>0</v>
      </c>
      <c r="F13" s="28">
        <f>+IF(F10&gt;0,E13+F10,E13-F11)</f>
        <v>0</v>
      </c>
      <c r="G13" s="28">
        <f>+IF(G10&gt;0,F13+G10,F13-G11)</f>
        <v>0</v>
      </c>
      <c r="H13" s="89"/>
    </row>
    <row r="14" spans="2:8" ht="15">
      <c r="B14" s="88" t="s">
        <v>259</v>
      </c>
      <c r="C14" s="28">
        <f>+C12*(11/12)</f>
        <v>0</v>
      </c>
      <c r="D14" s="28">
        <f>+(D12*(11/12))+(C12-C14)</f>
        <v>-11088.000000000005</v>
      </c>
      <c r="E14" s="28">
        <f>+(E12*(11/12))+(D12-D14)+(C12-C14)</f>
        <v>-21359.100000000013</v>
      </c>
      <c r="F14" s="28">
        <f>+(F12*(11/12))+(E12-E14)+(D12-D14)+(C12-C14)</f>
        <v>-22678.6</v>
      </c>
      <c r="G14" s="28">
        <f>+(G12*(11/12))+(F12-F14)+(E12-E14)+(D12-D14)+(C12-C14)</f>
        <v>-22722</v>
      </c>
      <c r="H14" s="89"/>
    </row>
    <row r="15" spans="2:8" ht="15">
      <c r="B15" s="89"/>
      <c r="C15" s="91">
        <f>+C12-C14</f>
        <v>0</v>
      </c>
      <c r="D15" s="91">
        <f>+D12-D14</f>
        <v>-1008.0000000000018</v>
      </c>
      <c r="E15" s="91">
        <f>+E12-E14</f>
        <v>-842.0999999999985</v>
      </c>
      <c r="F15" s="91">
        <f>+F12-F14</f>
        <v>-43.400000000001455</v>
      </c>
      <c r="G15" s="91">
        <f>+G12-G14</f>
        <v>0</v>
      </c>
      <c r="H15" s="89"/>
    </row>
    <row r="16" spans="2:8" ht="15">
      <c r="B16" s="89"/>
      <c r="C16" s="89"/>
      <c r="D16" s="89"/>
      <c r="E16" s="89"/>
      <c r="F16" s="89"/>
      <c r="G16" s="89"/>
      <c r="H16" s="89"/>
    </row>
    <row r="17" spans="2:8" ht="15">
      <c r="B17" s="88" t="s">
        <v>260</v>
      </c>
      <c r="C17" s="89"/>
      <c r="D17" s="89"/>
      <c r="E17" s="89"/>
      <c r="F17" s="89"/>
      <c r="G17" s="89"/>
      <c r="H17" s="89"/>
    </row>
    <row r="18" spans="2:8" ht="15">
      <c r="B18" s="88" t="s">
        <v>266</v>
      </c>
      <c r="C18" s="28">
        <f>+C7</f>
        <v>4116</v>
      </c>
      <c r="D18" s="28">
        <f>+D7</f>
        <v>-16212.000000000007</v>
      </c>
      <c r="E18" s="28">
        <f>+E7</f>
        <v>-22201.20000000001</v>
      </c>
      <c r="F18" s="28">
        <f>+F7</f>
        <v>-22722</v>
      </c>
      <c r="G18" s="28">
        <f>+G7</f>
        <v>-22722</v>
      </c>
      <c r="H18" s="89"/>
    </row>
    <row r="19" spans="2:8" ht="15">
      <c r="B19" s="88" t="s">
        <v>256</v>
      </c>
      <c r="C19" s="28">
        <v>0</v>
      </c>
      <c r="D19" s="28">
        <f>+IF(D18&gt;0,0,IF(C21&gt;-D18,-D18,C21))</f>
        <v>4116</v>
      </c>
      <c r="E19" s="28">
        <f>+IF(E18&gt;0,0,IF(D21&gt;-E18,-E18,D21))</f>
        <v>0</v>
      </c>
      <c r="F19" s="28">
        <f>+IF(F18&gt;0,0,IF(E21&gt;-F18,-F18,E21))</f>
        <v>0</v>
      </c>
      <c r="G19" s="28">
        <f>+IF(G18&gt;0,0,IF(F21&gt;-G18,-G18,F21))</f>
        <v>0</v>
      </c>
      <c r="H19" s="89"/>
    </row>
    <row r="20" spans="2:8" ht="15">
      <c r="B20" s="88" t="s">
        <v>257</v>
      </c>
      <c r="C20" s="28">
        <f>+IF((C18+C19)&gt;0,0,(C18+C19))</f>
        <v>0</v>
      </c>
      <c r="D20" s="28">
        <f>+IF((D18+D19)&gt;0,0,(D18+D19))</f>
        <v>-12096.000000000007</v>
      </c>
      <c r="E20" s="28">
        <f>+IF((E18+E19)&gt;0,0,(E18+E19))</f>
        <v>-22201.20000000001</v>
      </c>
      <c r="F20" s="28">
        <f>+IF((F18+F19)&gt;0,0,(F18+F19))</f>
        <v>-22722</v>
      </c>
      <c r="G20" s="28">
        <f>+IF((G18+G19)&gt;0,0,(G18+G19))</f>
        <v>-22722</v>
      </c>
      <c r="H20" s="89"/>
    </row>
    <row r="21" spans="2:8" ht="15">
      <c r="B21" s="88" t="s">
        <v>258</v>
      </c>
      <c r="C21" s="28">
        <f>+IF(C6&gt;C5,C6-C5,0)</f>
        <v>4116</v>
      </c>
      <c r="D21" s="28">
        <f>+IF(D18&gt;0,C21+D18,C21-D19)</f>
        <v>0</v>
      </c>
      <c r="E21" s="28">
        <f>+IF(E18&gt;0,D21+E18,D21-E19)</f>
        <v>0</v>
      </c>
      <c r="F21" s="28">
        <f>+IF(F18&gt;0,E21+F18,E21-F19)</f>
        <v>0</v>
      </c>
      <c r="G21" s="28">
        <f>+IF(G18&gt;0,F21+G18,F21-G19)</f>
        <v>0</v>
      </c>
      <c r="H21" s="89"/>
    </row>
    <row r="22" spans="2:8" ht="15">
      <c r="B22" s="88" t="s">
        <v>259</v>
      </c>
      <c r="C22" s="28">
        <f>+C20*(9/12)</f>
        <v>0</v>
      </c>
      <c r="D22" s="28">
        <f>+(D20*(9/12))+(C20-C22)</f>
        <v>-9072.000000000005</v>
      </c>
      <c r="E22" s="28">
        <f>+(E20*(9/12)*(9/12))+(D20-D22)+(C20-C22)</f>
        <v>-15512.175000000008</v>
      </c>
      <c r="F22" s="28">
        <f>+(F20*(9/12))+(E20-E22)+(D20-D22)+(C20-C22)</f>
        <v>-26754.525</v>
      </c>
      <c r="G22" s="28">
        <f>+(G20*(9/12))+(F20-F22)+(E20-E22)+(D20-D22)+(C20-C22)</f>
        <v>-22722</v>
      </c>
      <c r="H22" s="89"/>
    </row>
    <row r="23" spans="2:8" ht="15">
      <c r="B23" s="88"/>
      <c r="C23" s="28"/>
      <c r="D23" s="28"/>
      <c r="E23" s="28"/>
      <c r="F23" s="28"/>
      <c r="G23" s="28"/>
      <c r="H23" s="89"/>
    </row>
    <row r="24" spans="2:8" ht="15">
      <c r="B24" s="88"/>
      <c r="C24" s="28"/>
      <c r="D24" s="28"/>
      <c r="E24" s="28"/>
      <c r="F24" s="28"/>
      <c r="G24" s="28"/>
      <c r="H24" s="89"/>
    </row>
    <row r="25" spans="2:8" ht="15">
      <c r="B25" s="88" t="s">
        <v>23</v>
      </c>
      <c r="C25" s="28">
        <f>+IF($C$2="mensile",C13,C21)</f>
        <v>4116</v>
      </c>
      <c r="D25" s="28">
        <f>+IF($C$2="mensile",D13,D21)</f>
        <v>0</v>
      </c>
      <c r="E25" s="28">
        <f>+IF($C$2="mensile",E13,E21)</f>
        <v>0</v>
      </c>
      <c r="F25" s="28">
        <f>+IF($C$2="mensile",F13,F21)</f>
        <v>0</v>
      </c>
      <c r="G25" s="28">
        <f>+IF($C$2="mensile",G13,G21)</f>
        <v>0</v>
      </c>
      <c r="H25" s="89"/>
    </row>
    <row r="26" spans="2:8" ht="15">
      <c r="B26" s="88" t="s">
        <v>18</v>
      </c>
      <c r="C26" s="28">
        <f>+IF($C$2="mensile",-(C12-C14),-(C20-C22))</f>
        <v>0</v>
      </c>
      <c r="D26" s="28">
        <f>+IF($C$2="mensile",-(D12-D14),-(D20-D22))+C26</f>
        <v>1008.0000000000018</v>
      </c>
      <c r="E26" s="28">
        <f>+IF($C$2="mensile",-(E12-E14),-(E20-E22))+D26</f>
        <v>1850.1000000000004</v>
      </c>
      <c r="F26" s="28">
        <f>+IF($C$2="mensile",-(F12-F14),-(F20-F22))+E26</f>
        <v>1893.5000000000018</v>
      </c>
      <c r="G26" s="28">
        <f>+IF($C$2="mensile",-(G12-G14),-(G20-G22))+F26</f>
        <v>1893.5000000000018</v>
      </c>
      <c r="H26" s="89"/>
    </row>
    <row r="27" spans="2:8" ht="15">
      <c r="B27" s="88" t="s">
        <v>259</v>
      </c>
      <c r="C27" s="28">
        <f>IF($C$2="mensile",-C14,-C22)</f>
        <v>0</v>
      </c>
      <c r="D27" s="28">
        <f>IF($C$2="mensile",-D14,-D22)</f>
        <v>11088.000000000005</v>
      </c>
      <c r="E27" s="28">
        <f>IF($C$2="mensile",-E14,-E22)</f>
        <v>21359.100000000013</v>
      </c>
      <c r="F27" s="28">
        <f>IF($C$2="mensile",-F14,-F22)</f>
        <v>22678.6</v>
      </c>
      <c r="G27" s="28">
        <f>IF($C$2="mensile",-G14,-G22)</f>
        <v>22722</v>
      </c>
      <c r="H27" s="89"/>
    </row>
    <row r="28" spans="3:7" ht="15">
      <c r="C28" s="27"/>
      <c r="D28" s="27"/>
      <c r="E28" s="27"/>
      <c r="F28" s="27"/>
      <c r="G28" s="27"/>
    </row>
    <row r="31" ht="15">
      <c r="B31" t="s">
        <v>271</v>
      </c>
    </row>
    <row r="32" ht="15">
      <c r="B32" t="s">
        <v>271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10"/>
      <c r="C2" s="11"/>
      <c r="D2" s="11"/>
      <c r="E2" s="11"/>
      <c r="F2" s="11"/>
      <c r="G2" s="11"/>
      <c r="H2" s="11"/>
      <c r="I2" s="11"/>
      <c r="J2" s="12"/>
    </row>
    <row r="3" spans="2:10" ht="15">
      <c r="B3" s="18"/>
      <c r="C3" s="19" t="s">
        <v>292</v>
      </c>
      <c r="D3" s="101">
        <v>0.039</v>
      </c>
      <c r="E3" s="19"/>
      <c r="F3" s="19"/>
      <c r="G3" s="19"/>
      <c r="H3" s="19"/>
      <c r="I3" s="19"/>
      <c r="J3" s="17"/>
    </row>
    <row r="4" spans="2:10" ht="15">
      <c r="B4" s="18"/>
      <c r="C4" s="19"/>
      <c r="D4" s="19"/>
      <c r="E4" s="19"/>
      <c r="F4" s="19"/>
      <c r="G4" s="19"/>
      <c r="H4" s="19"/>
      <c r="I4" s="19"/>
      <c r="J4" s="17"/>
    </row>
    <row r="5" spans="2:10" ht="15">
      <c r="B5" s="18"/>
      <c r="C5" s="19"/>
      <c r="D5" s="102"/>
      <c r="E5" s="15" t="str">
        <f>+'Irpef socio'!D3</f>
        <v>Anno 1</v>
      </c>
      <c r="F5" s="15" t="str">
        <f>+'Irpef socio'!E3</f>
        <v>Anno 2</v>
      </c>
      <c r="G5" s="15" t="str">
        <f>+'Irpef socio'!F3</f>
        <v>Anno 3</v>
      </c>
      <c r="H5" s="15" t="str">
        <f>+'Irpef socio'!G3</f>
        <v>Anno 4</v>
      </c>
      <c r="I5" s="15" t="str">
        <f>+'Irpef socio'!H3</f>
        <v>Anno 5</v>
      </c>
      <c r="J5" s="17"/>
    </row>
    <row r="6" spans="2:10" ht="15">
      <c r="B6" s="18"/>
      <c r="C6" s="19"/>
      <c r="D6" s="14" t="s">
        <v>286</v>
      </c>
      <c r="E6" s="36">
        <f>+'CE'!D47</f>
        <v>-29709.88</v>
      </c>
      <c r="F6" s="36">
        <f>+'CE'!E47</f>
        <v>-7640.371467999968</v>
      </c>
      <c r="G6" s="36">
        <f>+'CE'!F47</f>
        <v>20390.00000000003</v>
      </c>
      <c r="H6" s="36">
        <f>+'CE'!G47</f>
        <v>23004.5119561031</v>
      </c>
      <c r="I6" s="36">
        <f>+'CE'!H47</f>
        <v>23141.714151328262</v>
      </c>
      <c r="J6" s="17"/>
    </row>
    <row r="7" spans="2:10" ht="15">
      <c r="B7" s="18"/>
      <c r="C7" s="19"/>
      <c r="D7" s="19"/>
      <c r="E7" s="19"/>
      <c r="F7" s="19"/>
      <c r="G7" s="19"/>
      <c r="H7" s="19"/>
      <c r="I7" s="19"/>
      <c r="J7" s="17"/>
    </row>
    <row r="8" spans="2:10" ht="15">
      <c r="B8" s="18"/>
      <c r="C8" s="19"/>
      <c r="D8" s="19" t="s">
        <v>287</v>
      </c>
      <c r="E8" s="19"/>
      <c r="F8" s="19"/>
      <c r="G8" s="19"/>
      <c r="H8" s="19"/>
      <c r="I8" s="19"/>
      <c r="J8" s="17"/>
    </row>
    <row r="9" spans="2:10" ht="15">
      <c r="B9" s="18"/>
      <c r="C9" s="19"/>
      <c r="D9" s="19" t="s">
        <v>288</v>
      </c>
      <c r="E9" s="35">
        <f>+'CE'!D39</f>
        <v>42600</v>
      </c>
      <c r="F9" s="35">
        <f>+'CE'!E39</f>
        <v>44730</v>
      </c>
      <c r="G9" s="35">
        <f>+'CE'!F39</f>
        <v>44730</v>
      </c>
      <c r="H9" s="35">
        <f>+'CE'!G39</f>
        <v>44730</v>
      </c>
      <c r="I9" s="35">
        <f>+'CE'!H39</f>
        <v>44730</v>
      </c>
      <c r="J9" s="17"/>
    </row>
    <row r="10" spans="2:10" ht="15">
      <c r="B10" s="18"/>
      <c r="C10" s="19"/>
      <c r="D10" s="19" t="s">
        <v>224</v>
      </c>
      <c r="E10" s="35">
        <f>+'CE'!D42</f>
        <v>0</v>
      </c>
      <c r="F10" s="35">
        <f>+'CE'!E42</f>
        <v>0</v>
      </c>
      <c r="G10" s="35">
        <f>+'CE'!F42</f>
        <v>0</v>
      </c>
      <c r="H10" s="35">
        <f>+'CE'!G42</f>
        <v>0</v>
      </c>
      <c r="I10" s="35">
        <f>+'CE'!H42</f>
        <v>0</v>
      </c>
      <c r="J10" s="17"/>
    </row>
    <row r="11" spans="2:10" ht="15">
      <c r="B11" s="18"/>
      <c r="C11" s="19"/>
      <c r="D11" s="14" t="s">
        <v>289</v>
      </c>
      <c r="E11" s="36">
        <f>SUM(E9:E10)</f>
        <v>42600</v>
      </c>
      <c r="F11" s="36">
        <f>SUM(F9:F10)</f>
        <v>44730</v>
      </c>
      <c r="G11" s="36">
        <f>SUM(G9:G10)</f>
        <v>44730</v>
      </c>
      <c r="H11" s="36">
        <f>SUM(H9:H10)</f>
        <v>44730</v>
      </c>
      <c r="I11" s="36">
        <f>SUM(I9:I10)</f>
        <v>44730</v>
      </c>
      <c r="J11" s="17"/>
    </row>
    <row r="12" spans="2:10" ht="15">
      <c r="B12" s="18"/>
      <c r="C12" s="19"/>
      <c r="D12" s="19"/>
      <c r="E12" s="19"/>
      <c r="F12" s="19"/>
      <c r="G12" s="19"/>
      <c r="H12" s="19"/>
      <c r="I12" s="19"/>
      <c r="J12" s="17"/>
    </row>
    <row r="13" spans="2:10" ht="15">
      <c r="B13" s="18"/>
      <c r="C13" s="19"/>
      <c r="D13" s="19"/>
      <c r="E13" s="19"/>
      <c r="F13" s="19"/>
      <c r="G13" s="19"/>
      <c r="H13" s="19"/>
      <c r="I13" s="19"/>
      <c r="J13" s="17"/>
    </row>
    <row r="14" spans="2:10" ht="15">
      <c r="B14" s="18"/>
      <c r="C14" s="19"/>
      <c r="D14" s="19" t="s">
        <v>290</v>
      </c>
      <c r="E14" s="47">
        <f>+E6+E11</f>
        <v>12890.119999999999</v>
      </c>
      <c r="F14" s="47">
        <f>+F6+F11</f>
        <v>37089.62853200003</v>
      </c>
      <c r="G14" s="47">
        <f>+G6+G11</f>
        <v>65120.00000000003</v>
      </c>
      <c r="H14" s="47">
        <f>+H6+H11</f>
        <v>67734.5119561031</v>
      </c>
      <c r="I14" s="47">
        <f>+I6+I11</f>
        <v>67871.71415132825</v>
      </c>
      <c r="J14" s="17"/>
    </row>
    <row r="15" spans="2:10" ht="15">
      <c r="B15" s="18"/>
      <c r="C15" s="19"/>
      <c r="D15" s="19"/>
      <c r="E15" s="19"/>
      <c r="F15" s="19"/>
      <c r="G15" s="19"/>
      <c r="H15" s="19"/>
      <c r="I15" s="19"/>
      <c r="J15" s="17"/>
    </row>
    <row r="16" spans="2:10" ht="15">
      <c r="B16" s="18"/>
      <c r="C16" s="19"/>
      <c r="D16" s="19" t="s">
        <v>293</v>
      </c>
      <c r="E16" s="47">
        <f>+E14*$D$3</f>
        <v>502.71468</v>
      </c>
      <c r="F16" s="47">
        <f>+F14*$D$3</f>
        <v>1446.4955127480011</v>
      </c>
      <c r="G16" s="47">
        <f>+G14*$D$3</f>
        <v>2539.680000000001</v>
      </c>
      <c r="H16" s="47">
        <f>+H14*$D$3</f>
        <v>2641.645966288021</v>
      </c>
      <c r="I16" s="47">
        <f>+I14*$D$3</f>
        <v>2646.996851901802</v>
      </c>
      <c r="J16" s="17"/>
    </row>
    <row r="17" spans="2:10" ht="15">
      <c r="B17" s="18"/>
      <c r="C17" s="19"/>
      <c r="D17" s="19"/>
      <c r="E17" s="19"/>
      <c r="F17" s="19"/>
      <c r="G17" s="19"/>
      <c r="H17" s="19"/>
      <c r="I17" s="19"/>
      <c r="J17" s="17"/>
    </row>
    <row r="18" spans="2:10" ht="15">
      <c r="B18" s="18"/>
      <c r="C18" s="19"/>
      <c r="D18" s="19" t="s">
        <v>294</v>
      </c>
      <c r="E18" s="19">
        <v>0</v>
      </c>
      <c r="F18" s="47">
        <f>+E16*2</f>
        <v>1005.42936</v>
      </c>
      <c r="G18" s="47">
        <f>+F16</f>
        <v>1446.4955127480011</v>
      </c>
      <c r="H18" s="47">
        <f>+G16</f>
        <v>2539.680000000001</v>
      </c>
      <c r="I18" s="47">
        <f>+H16</f>
        <v>2641.645966288021</v>
      </c>
      <c r="J18" s="17"/>
    </row>
    <row r="19" spans="2:10" ht="15">
      <c r="B19" s="18"/>
      <c r="C19" s="19"/>
      <c r="D19" s="19"/>
      <c r="E19" s="19"/>
      <c r="F19" s="19"/>
      <c r="G19" s="19"/>
      <c r="H19" s="19"/>
      <c r="I19" s="19"/>
      <c r="J19" s="17"/>
    </row>
    <row r="20" spans="2:10" ht="15">
      <c r="B20" s="18"/>
      <c r="C20" s="19"/>
      <c r="D20" s="19" t="s">
        <v>295</v>
      </c>
      <c r="E20" s="47">
        <f>+IF($E$16-$E$18&gt;0,$E$16-$E$18,0)</f>
        <v>502.71468</v>
      </c>
      <c r="F20" s="47">
        <f>+IF(SUM(E$16:F16)-SUM($E$18:$F$18)&gt;0,SUM($E$16:$F$16)-SUM($E$18:$F$18),0)</f>
        <v>943.7808327480012</v>
      </c>
      <c r="G20" s="47">
        <f>+IF(SUM($E$16:$G$16)-SUM($E$18:$G$18)&gt;0,SUM($E$16:$G$16)-SUM($E$18:$G$18),0)</f>
        <v>2036.9653200000007</v>
      </c>
      <c r="H20" s="47">
        <f>+IF(SUM($E$16:$H$16)-SUM($E$18:$H$18)&gt;0,SUM($E$16:$H$16)-SUM($E$18:$H$18),0)</f>
        <v>2138.9312862880197</v>
      </c>
      <c r="I20" s="47">
        <f>+IF(SUM($E$16:$I$16)-SUM($E$18:$I$18)&gt;0,SUM($E$16:$I$16)-SUM($E$18:$I$18),0)</f>
        <v>2144.282171901801</v>
      </c>
      <c r="J20" s="17"/>
    </row>
    <row r="21" spans="2:10" ht="15">
      <c r="B21" s="18"/>
      <c r="C21" s="19"/>
      <c r="D21" s="19" t="s">
        <v>296</v>
      </c>
      <c r="E21" s="47">
        <f>+IF($E$16-$E$18&lt;0,-($E$16-$E$18),0)</f>
        <v>0</v>
      </c>
      <c r="F21" s="47">
        <f>+IF(SUM(E$16:F17)-SUM($E$18:$F$18)&lt;0,-(SUM($E$16:$F$16)-SUM($E$18:$F$18)),0)</f>
        <v>0</v>
      </c>
      <c r="G21" s="47">
        <f>+IF(SUM($E$16:$G$16)-SUM($E$18:$G$18)&lt;0,-(SUM($E$16:$G$16)-SUM($E$18:$G$18)),0)</f>
        <v>0</v>
      </c>
      <c r="H21" s="47">
        <f>+IF(SUM($E$16:$H$16)-SUM($E$18:$H$18)&lt;0,-(SUM($E$16:$H$16)-SUM($E$18:$H$18)),0)</f>
        <v>0</v>
      </c>
      <c r="I21" s="47">
        <f>+IF(SUM($E$16:$I$16)-SUM($E$18:$I$18)&lt;0,-(SUM($E$16:$I$16)-SUM($E$18:$I$18)),0)</f>
        <v>0</v>
      </c>
      <c r="J21" s="17"/>
    </row>
    <row r="22" spans="2:10" ht="15">
      <c r="B22" s="18"/>
      <c r="C22" s="19"/>
      <c r="D22" s="19"/>
      <c r="E22" s="19"/>
      <c r="F22" s="19"/>
      <c r="G22" s="19"/>
      <c r="H22" s="19"/>
      <c r="I22" s="19"/>
      <c r="J22" s="17"/>
    </row>
    <row r="23" spans="2:10" ht="15">
      <c r="B23" s="18"/>
      <c r="C23" s="19"/>
      <c r="D23" s="19" t="s">
        <v>37</v>
      </c>
      <c r="E23" s="47">
        <f>+E18</f>
        <v>0</v>
      </c>
      <c r="F23" s="47">
        <f>+F18</f>
        <v>1005.42936</v>
      </c>
      <c r="G23" s="47">
        <f>+G18</f>
        <v>1446.4955127480011</v>
      </c>
      <c r="H23" s="47">
        <f>+H18</f>
        <v>2539.680000000001</v>
      </c>
      <c r="I23" s="47">
        <f>+I18</f>
        <v>2641.645966288021</v>
      </c>
      <c r="J23" s="17"/>
    </row>
    <row r="24" spans="2:10" ht="15">
      <c r="B24" s="18"/>
      <c r="C24" s="19"/>
      <c r="D24" s="19"/>
      <c r="E24" s="19"/>
      <c r="F24" s="19"/>
      <c r="G24" s="19"/>
      <c r="H24" s="19"/>
      <c r="I24" s="19"/>
      <c r="J24" s="17"/>
    </row>
    <row r="25" spans="2:10" ht="15.75" thickBot="1">
      <c r="B25" s="20"/>
      <c r="C25" s="21"/>
      <c r="D25" s="21"/>
      <c r="E25" s="21"/>
      <c r="F25" s="21"/>
      <c r="G25" s="21"/>
      <c r="H25" s="21"/>
      <c r="I25" s="21"/>
      <c r="J2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9" bestFit="1" customWidth="1"/>
    <col min="2" max="2" width="6.421875" style="89" bestFit="1" customWidth="1"/>
    <col min="3" max="3" width="67.8515625" style="89" bestFit="1" customWidth="1"/>
    <col min="4" max="6" width="11.57421875" style="89" bestFit="1" customWidth="1"/>
    <col min="7" max="11" width="20.28125" style="89" bestFit="1" customWidth="1"/>
    <col min="12" max="12" width="9.140625" style="89" customWidth="1"/>
    <col min="13" max="13" width="11.28125" style="89" bestFit="1" customWidth="1"/>
    <col min="14" max="14" width="9.140625" style="89" customWidth="1"/>
    <col min="15" max="15" width="11.00390625" style="89" bestFit="1" customWidth="1"/>
    <col min="16" max="225" width="9.140625" style="89" customWidth="1"/>
    <col min="226" max="226" width="17.7109375" style="89" bestFit="1" customWidth="1"/>
    <col min="227" max="227" width="55.57421875" style="89" bestFit="1" customWidth="1"/>
    <col min="228" max="238" width="11.57421875" style="89" bestFit="1" customWidth="1"/>
    <col min="239" max="239" width="13.28125" style="89" bestFit="1" customWidth="1"/>
    <col min="240" max="249" width="11.57421875" style="89" bestFit="1" customWidth="1"/>
    <col min="250" max="250" width="13.28125" style="89" bestFit="1" customWidth="1"/>
    <col min="251" max="16384" width="13.28125" style="89" customWidth="1"/>
  </cols>
  <sheetData>
    <row r="1" spans="3:52" s="88" customFormat="1" ht="15">
      <c r="C1" s="93"/>
      <c r="D1" s="93"/>
      <c r="E1" s="93"/>
      <c r="F1" s="93"/>
      <c r="G1" s="93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3:52" s="88" customFormat="1" ht="15">
      <c r="C2" s="93"/>
      <c r="D2" s="93"/>
      <c r="E2" s="93"/>
      <c r="F2" s="93"/>
      <c r="G2" s="93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3:52" s="88" customFormat="1" ht="15">
      <c r="C3" s="88" t="s">
        <v>272</v>
      </c>
      <c r="D3" s="95" t="str">
        <f>+Input!D6</f>
        <v>Anno 1</v>
      </c>
      <c r="E3" s="95" t="str">
        <f>+Input!E6</f>
        <v>Anno 2</v>
      </c>
      <c r="F3" s="95" t="str">
        <f>+Input!F6</f>
        <v>Anno 3</v>
      </c>
      <c r="G3" s="95" t="str">
        <f>+Input!G6</f>
        <v>Anno 4</v>
      </c>
      <c r="H3" s="95" t="str">
        <f>+Input!H6</f>
        <v>Anno 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2:52" s="88" customFormat="1" ht="1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2:52" s="88" customFormat="1" ht="15">
      <c r="B5" s="89"/>
      <c r="C5" s="89" t="s">
        <v>250</v>
      </c>
      <c r="D5" s="90">
        <f>+'CE'!D47</f>
        <v>-29709.88</v>
      </c>
      <c r="E5" s="90">
        <f>+'CE'!E47</f>
        <v>-7640.371467999968</v>
      </c>
      <c r="F5" s="90">
        <f>+'CE'!F47</f>
        <v>20390.00000000003</v>
      </c>
      <c r="G5" s="90">
        <f>+'CE'!G47</f>
        <v>23004.5119561031</v>
      </c>
      <c r="H5" s="90">
        <f>+'CE'!H47</f>
        <v>23141.714151328262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ht="15">
      <c r="A6" s="88"/>
    </row>
    <row r="7" spans="1:8" ht="15">
      <c r="A7" s="88"/>
      <c r="C7" s="89" t="s">
        <v>273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</row>
    <row r="8" ht="15">
      <c r="A8" s="88"/>
    </row>
    <row r="9" spans="2:52" s="88" customFormat="1" ht="15">
      <c r="B9" s="89"/>
      <c r="C9" s="89" t="s">
        <v>274</v>
      </c>
      <c r="D9" s="96">
        <f>+Input!$D$20</f>
        <v>1</v>
      </c>
      <c r="E9" s="96">
        <f>+Input!$D$20</f>
        <v>1</v>
      </c>
      <c r="F9" s="96">
        <f>+Input!$D$20</f>
        <v>1</v>
      </c>
      <c r="G9" s="96">
        <f>+Input!$D$20</f>
        <v>1</v>
      </c>
      <c r="H9" s="96">
        <f>+Input!$D$20</f>
        <v>1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ht="15">
      <c r="A10" s="88"/>
    </row>
    <row r="11" spans="1:8" ht="15">
      <c r="A11" s="88"/>
      <c r="C11" s="89" t="s">
        <v>275</v>
      </c>
      <c r="D11" s="90">
        <f>+D5*D7*D9</f>
        <v>-29709.88</v>
      </c>
      <c r="E11" s="90">
        <f>+E5*E7*E9</f>
        <v>-7640.371467999968</v>
      </c>
      <c r="F11" s="90">
        <f>+F5*F7*F9</f>
        <v>20390.00000000003</v>
      </c>
      <c r="G11" s="90">
        <f>+G5*G7*G9</f>
        <v>23004.5119561031</v>
      </c>
      <c r="H11" s="90">
        <f>+H5*H7*H9</f>
        <v>23141.714151328262</v>
      </c>
    </row>
    <row r="12" spans="2:52" s="88" customFormat="1" ht="1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ht="15">
      <c r="A13" s="88"/>
    </row>
    <row r="14" ht="15">
      <c r="A14" s="88"/>
    </row>
    <row r="15" spans="1:9" ht="15">
      <c r="A15" s="88"/>
      <c r="B15" s="88"/>
      <c r="C15" s="88" t="s">
        <v>276</v>
      </c>
      <c r="D15" s="95">
        <f>+D11</f>
        <v>-29709.88</v>
      </c>
      <c r="E15" s="95">
        <f>+E11</f>
        <v>-7640.371467999968</v>
      </c>
      <c r="F15" s="95">
        <f>+F11</f>
        <v>20390.00000000003</v>
      </c>
      <c r="G15" s="95">
        <f>+G11</f>
        <v>23004.5119561031</v>
      </c>
      <c r="H15" s="95">
        <f>+H11</f>
        <v>23141.714151328262</v>
      </c>
      <c r="I15" s="88"/>
    </row>
    <row r="16" ht="15">
      <c r="A16" s="94"/>
    </row>
    <row r="17" ht="15">
      <c r="A17" s="94"/>
    </row>
    <row r="18" spans="1:9" ht="15">
      <c r="A18" s="94"/>
      <c r="B18" s="88"/>
      <c r="C18" s="97" t="s">
        <v>277</v>
      </c>
      <c r="D18" s="88"/>
      <c r="E18" s="88"/>
      <c r="F18" s="88"/>
      <c r="G18" s="93"/>
      <c r="H18" s="93"/>
      <c r="I18" s="93"/>
    </row>
    <row r="19" spans="1:14" ht="15">
      <c r="A19" s="94"/>
      <c r="B19" s="88"/>
      <c r="C19" s="97"/>
      <c r="D19" s="88"/>
      <c r="E19" s="88"/>
      <c r="F19" s="88">
        <f>+IF(D15&lt;0,0,1)</f>
        <v>0</v>
      </c>
      <c r="G19" s="93"/>
      <c r="H19" s="88">
        <f>+IF(E15&lt;0,0,1)</f>
        <v>0</v>
      </c>
      <c r="I19" s="93"/>
      <c r="J19" s="88">
        <f>+IF(F15&lt;0,0,1)</f>
        <v>1</v>
      </c>
      <c r="L19" s="88">
        <f>+IF(G15&lt;0,0,1)</f>
        <v>1</v>
      </c>
      <c r="N19" s="88">
        <f>+IF(H15&lt;0,0,1)</f>
        <v>1</v>
      </c>
    </row>
    <row r="20" spans="1:15" ht="15">
      <c r="A20" s="94"/>
      <c r="B20" s="88"/>
      <c r="C20" s="97" t="s">
        <v>278</v>
      </c>
      <c r="D20" s="88"/>
      <c r="E20" s="88"/>
      <c r="F20" s="134" t="s">
        <v>261</v>
      </c>
      <c r="G20" s="135"/>
      <c r="H20" s="134" t="s">
        <v>262</v>
      </c>
      <c r="I20" s="135"/>
      <c r="J20" s="134" t="s">
        <v>263</v>
      </c>
      <c r="K20" s="135"/>
      <c r="L20" s="134" t="s">
        <v>264</v>
      </c>
      <c r="M20" s="135"/>
      <c r="N20" s="134" t="s">
        <v>265</v>
      </c>
      <c r="O20" s="135"/>
    </row>
    <row r="21" spans="1:15" ht="15">
      <c r="A21" s="94"/>
      <c r="B21" s="88"/>
      <c r="C21" s="97" t="s">
        <v>279</v>
      </c>
      <c r="D21" s="88" t="s">
        <v>280</v>
      </c>
      <c r="E21" s="88" t="s">
        <v>281</v>
      </c>
      <c r="F21" s="88" t="s">
        <v>282</v>
      </c>
      <c r="G21" s="93" t="s">
        <v>285</v>
      </c>
      <c r="H21" s="88" t="s">
        <v>282</v>
      </c>
      <c r="I21" s="93" t="s">
        <v>285</v>
      </c>
      <c r="J21" s="88" t="s">
        <v>282</v>
      </c>
      <c r="K21" s="93" t="s">
        <v>285</v>
      </c>
      <c r="L21" s="88" t="s">
        <v>282</v>
      </c>
      <c r="M21" s="93" t="s">
        <v>285</v>
      </c>
      <c r="N21" s="88" t="s">
        <v>282</v>
      </c>
      <c r="O21" s="93" t="s">
        <v>285</v>
      </c>
    </row>
    <row r="22" spans="1:15" ht="15">
      <c r="A22" s="94"/>
      <c r="B22" s="88"/>
      <c r="C22" s="93">
        <v>0</v>
      </c>
      <c r="D22" s="93">
        <v>15000</v>
      </c>
      <c r="E22" s="98">
        <v>0.23</v>
      </c>
      <c r="F22" s="99">
        <f>+IF(D15&gt;$D$22,$D22,D15)*F19</f>
        <v>0</v>
      </c>
      <c r="G22" s="99">
        <f>+$E$22*F22</f>
        <v>0</v>
      </c>
      <c r="H22" s="99">
        <f>+IF(E15&gt;$D$22,$D22,E15)*H19</f>
        <v>0</v>
      </c>
      <c r="I22" s="99">
        <f>+$E$22*H22</f>
        <v>0</v>
      </c>
      <c r="J22" s="99">
        <f>+IF(F15&gt;$D$22,$D22,F15)*J19</f>
        <v>15000</v>
      </c>
      <c r="K22" s="99">
        <f>+$E$22*J22</f>
        <v>3450</v>
      </c>
      <c r="L22" s="99">
        <f>+IF(G15&gt;$D$22,$D22,G15)*L19</f>
        <v>15000</v>
      </c>
      <c r="M22" s="99">
        <f>+$E$22*L22</f>
        <v>3450</v>
      </c>
      <c r="N22" s="99">
        <f>+IF(H15&gt;$D$22,$D22,H15)*N19</f>
        <v>15000</v>
      </c>
      <c r="O22" s="99">
        <f>+$E$22*N22</f>
        <v>3450</v>
      </c>
    </row>
    <row r="23" spans="1:15" ht="15">
      <c r="A23" s="94"/>
      <c r="B23" s="88"/>
      <c r="C23" s="93">
        <v>15000</v>
      </c>
      <c r="D23" s="93">
        <v>28000</v>
      </c>
      <c r="E23" s="88">
        <v>0.27</v>
      </c>
      <c r="F23" s="99">
        <f>+IF(F22=D15,0,IF(D15&gt;$D$23,$D$23-$C$23,D15-$C$23))*F19</f>
        <v>0</v>
      </c>
      <c r="G23" s="99">
        <f>+$E$23*F23</f>
        <v>0</v>
      </c>
      <c r="H23" s="99">
        <f>+IF(H22=E15,0,IF(E15&gt;$D$23,$D$23-$C$23,E15-$C$23))*H19</f>
        <v>0</v>
      </c>
      <c r="I23" s="99">
        <f>+$E$23*H23</f>
        <v>0</v>
      </c>
      <c r="J23" s="99">
        <f>+IF(J22=F15,0,IF(F15&gt;$D$23,$D$23-$C$23,F15-$C$23))*J19</f>
        <v>5390.000000000029</v>
      </c>
      <c r="K23" s="99">
        <f>+$E$23*J23</f>
        <v>1455.300000000008</v>
      </c>
      <c r="L23" s="99">
        <f>+IF(L22=G15,0,IF(G15&gt;$D$23,$D$23-$C$23,G15-$C$23))*L19</f>
        <v>8004.511956103099</v>
      </c>
      <c r="M23" s="99">
        <f>+$E$23*L23</f>
        <v>2161.2182281478367</v>
      </c>
      <c r="N23" s="99">
        <f>+IF(N22=H15,0,IF(H15&gt;$D$23,$D$23-$C$23,H15-$C$23))*N19</f>
        <v>8141.714151328262</v>
      </c>
      <c r="O23" s="99">
        <f>+$E$23*N23</f>
        <v>2198.262820858631</v>
      </c>
    </row>
    <row r="24" spans="1:15" ht="15">
      <c r="A24" s="94"/>
      <c r="B24" s="88"/>
      <c r="C24" s="93">
        <v>28000</v>
      </c>
      <c r="D24" s="93">
        <v>55000</v>
      </c>
      <c r="E24" s="88">
        <v>0.38</v>
      </c>
      <c r="F24" s="99">
        <f>+IF(F22+F23=D15,0,IF(D15&gt;$D$24,$D$24-$C$24,D15-$C$24))*F19</f>
        <v>0</v>
      </c>
      <c r="G24" s="99">
        <f>+$E$24*F24</f>
        <v>0</v>
      </c>
      <c r="H24" s="99">
        <f>+IF(H22+H23=E15,0,IF(E15&gt;$D$24,$D$24-$C$24,E15-$C$24))*H19</f>
        <v>0</v>
      </c>
      <c r="I24" s="99">
        <f>+$E$24*H24</f>
        <v>0</v>
      </c>
      <c r="J24" s="99">
        <f>+IF(J22+J23=F15,0,IF(F15&gt;$D$24,$D$24-$C$24,F15-$C$24))*J19</f>
        <v>0</v>
      </c>
      <c r="K24" s="99">
        <f>+$E$24*J24</f>
        <v>0</v>
      </c>
      <c r="L24" s="99">
        <f>+IF(L22+L23=G15,0,IF(G15&gt;$D$24,$D$24-$C$24,G15-$C$24))*L19</f>
        <v>0</v>
      </c>
      <c r="M24" s="99">
        <f>+$E$24*L24</f>
        <v>0</v>
      </c>
      <c r="N24" s="99">
        <f>+IF(N22+N23=H15,0,IF(H15&gt;$D$24,$D$24-$C$24,H15-$C$24))*N19</f>
        <v>0</v>
      </c>
      <c r="O24" s="99">
        <f>+$E$24*N24</f>
        <v>0</v>
      </c>
    </row>
    <row r="25" spans="1:15" ht="15">
      <c r="A25" s="94"/>
      <c r="B25" s="88"/>
      <c r="C25" s="93">
        <v>55000</v>
      </c>
      <c r="D25" s="93">
        <v>75000</v>
      </c>
      <c r="E25" s="88">
        <v>0.41</v>
      </c>
      <c r="F25" s="99">
        <f>+IF(F23+F24+F22=D15,0,IF(D15&gt;$D$25,$D$25-$C$25,D15-$C$25))*F19</f>
        <v>0</v>
      </c>
      <c r="G25" s="99">
        <f>+$E$25*F25</f>
        <v>0</v>
      </c>
      <c r="H25" s="99">
        <f>+IF(H23+H24+H22=E15,0,IF(E15&gt;$D$25,$D$25-$C$25,E15-$C$25))*H19</f>
        <v>0</v>
      </c>
      <c r="I25" s="99">
        <f>+$E$25*H25</f>
        <v>0</v>
      </c>
      <c r="J25" s="99">
        <f>+IF(J23+J24+J22=F15,0,IF(F15&gt;$D$25,$D$25-$C$25,F15-$C$25))*J19</f>
        <v>0</v>
      </c>
      <c r="K25" s="99">
        <f>+$E$25*J25</f>
        <v>0</v>
      </c>
      <c r="L25" s="99">
        <f>+IF(L23+L24+L22=G15,0,IF(G15&gt;$D$25,$D$25-$C$25,G15-$C$25))*L19</f>
        <v>0</v>
      </c>
      <c r="M25" s="99">
        <f>+$E$25*L25</f>
        <v>0</v>
      </c>
      <c r="N25" s="99">
        <f>+IF(N23+N24+N22=H15,0,IF(H15&gt;$D$25,$D$25-$C$25,H15-$C$25))*N19</f>
        <v>0</v>
      </c>
      <c r="O25" s="99">
        <f>+$E$25*N25</f>
        <v>0</v>
      </c>
    </row>
    <row r="26" spans="1:15" ht="15">
      <c r="A26" s="94"/>
      <c r="B26" s="88"/>
      <c r="C26" s="93">
        <v>75000</v>
      </c>
      <c r="D26" s="93"/>
      <c r="E26" s="88">
        <v>0.43</v>
      </c>
      <c r="F26" s="99">
        <f>+IF(F24+F25+F23+F22=D15,0,D15-$C$26)*F19</f>
        <v>0</v>
      </c>
      <c r="G26" s="99">
        <f>+$E$26*F26</f>
        <v>0</v>
      </c>
      <c r="H26" s="99">
        <f>+IF(H24+H25+H23+H22=E15,0,E15-$C$26)*H19</f>
        <v>0</v>
      </c>
      <c r="I26" s="99">
        <f>+$E$26*H26</f>
        <v>0</v>
      </c>
      <c r="J26" s="99">
        <f>+IF(J24+J25+J23+J22=F15,0,F15-$C$26)*J19</f>
        <v>0</v>
      </c>
      <c r="K26" s="99">
        <f>+$E$26*J26</f>
        <v>0</v>
      </c>
      <c r="L26" s="99">
        <f>+IF(L24+L25+L23+L22=G15,0,G15-$C$26)*L19</f>
        <v>0</v>
      </c>
      <c r="M26" s="99">
        <f>+$E$26*L26</f>
        <v>0</v>
      </c>
      <c r="N26" s="99">
        <f>+IF(N24+N25+N23+N22=H15,0,H15-$C$26)*N19</f>
        <v>0</v>
      </c>
      <c r="O26" s="99">
        <f>+$E$26*N26</f>
        <v>0</v>
      </c>
    </row>
    <row r="27" spans="1:15" ht="15">
      <c r="A27" s="94"/>
      <c r="B27" s="88"/>
      <c r="C27" s="93"/>
      <c r="D27" s="93"/>
      <c r="E27" s="88"/>
      <c r="F27" s="88" t="s">
        <v>15</v>
      </c>
      <c r="G27" s="100">
        <f>SUM(G22:G26)</f>
        <v>0</v>
      </c>
      <c r="H27" s="88" t="s">
        <v>15</v>
      </c>
      <c r="I27" s="100">
        <f>SUM(I22:I26)</f>
        <v>0</v>
      </c>
      <c r="J27" s="88" t="s">
        <v>15</v>
      </c>
      <c r="K27" s="100">
        <f>SUM(K22:K26)</f>
        <v>4905.300000000008</v>
      </c>
      <c r="L27" s="88" t="s">
        <v>15</v>
      </c>
      <c r="M27" s="100">
        <f>SUM(M22:M26)</f>
        <v>5611.218228147836</v>
      </c>
      <c r="N27" s="88" t="s">
        <v>15</v>
      </c>
      <c r="O27" s="100">
        <f>SUM(O22:O26)</f>
        <v>5648.262820858631</v>
      </c>
    </row>
    <row r="28" spans="1:9" ht="15">
      <c r="A28" s="94"/>
      <c r="B28" s="88"/>
      <c r="C28" s="97"/>
      <c r="D28" s="88"/>
      <c r="E28" s="88"/>
      <c r="F28" s="88"/>
      <c r="G28" s="93"/>
      <c r="H28" s="93"/>
      <c r="I28" s="93"/>
    </row>
    <row r="29" spans="1:7" ht="15">
      <c r="A29" s="94"/>
      <c r="B29" s="94"/>
      <c r="C29" s="92"/>
      <c r="D29" s="92"/>
      <c r="E29" s="92"/>
      <c r="F29" s="92"/>
      <c r="G29" s="92"/>
    </row>
    <row r="30" spans="1:7" ht="15">
      <c r="A30" s="94"/>
      <c r="B30" s="94"/>
      <c r="C30" s="92"/>
      <c r="D30" s="92"/>
      <c r="E30" s="92"/>
      <c r="F30" s="92"/>
      <c r="G30" s="92"/>
    </row>
    <row r="31" spans="1:7" ht="15">
      <c r="A31" s="94"/>
      <c r="B31" s="94"/>
      <c r="C31" s="92"/>
      <c r="D31" s="92"/>
      <c r="E31" s="92"/>
      <c r="F31" s="92"/>
      <c r="G31" s="92"/>
    </row>
    <row r="32" spans="1:7" ht="15">
      <c r="A32" s="94"/>
      <c r="B32" s="94"/>
      <c r="C32" s="92"/>
      <c r="D32" s="92"/>
      <c r="E32" s="92"/>
      <c r="F32" s="92"/>
      <c r="G32" s="92"/>
    </row>
    <row r="33" spans="1:7" ht="15">
      <c r="A33" s="94"/>
      <c r="B33" s="94"/>
      <c r="C33" s="92"/>
      <c r="D33" s="92"/>
      <c r="E33" s="92"/>
      <c r="F33" s="92"/>
      <c r="G33" s="92"/>
    </row>
    <row r="34" spans="1:7" ht="15">
      <c r="A34" s="94"/>
      <c r="B34" s="94"/>
      <c r="C34" s="92"/>
      <c r="D34" s="92"/>
      <c r="E34" s="92"/>
      <c r="F34" s="92"/>
      <c r="G34" s="92"/>
    </row>
    <row r="35" spans="1:7" ht="15">
      <c r="A35" s="94"/>
      <c r="B35" s="94"/>
      <c r="C35" s="92"/>
      <c r="D35" s="92"/>
      <c r="E35" s="92"/>
      <c r="F35" s="92"/>
      <c r="G35" s="92"/>
    </row>
    <row r="36" spans="1:7" ht="15">
      <c r="A36" s="94"/>
      <c r="B36" s="94"/>
      <c r="C36" s="92"/>
      <c r="D36" s="92"/>
      <c r="E36" s="92"/>
      <c r="F36" s="92"/>
      <c r="G36" s="92"/>
    </row>
    <row r="37" spans="1:7" ht="15">
      <c r="A37" s="94"/>
      <c r="B37" s="94"/>
      <c r="C37" s="92"/>
      <c r="D37" s="92"/>
      <c r="E37" s="92"/>
      <c r="F37" s="92"/>
      <c r="G37" s="92"/>
    </row>
    <row r="38" spans="1:7" ht="15">
      <c r="A38" s="94"/>
      <c r="B38" s="94"/>
      <c r="C38" s="92"/>
      <c r="D38" s="92"/>
      <c r="E38" s="92"/>
      <c r="F38" s="92"/>
      <c r="G38" s="92"/>
    </row>
    <row r="39" spans="1:7" ht="15">
      <c r="A39" s="94"/>
      <c r="B39" s="94"/>
      <c r="C39" s="92"/>
      <c r="D39" s="92"/>
      <c r="E39" s="92"/>
      <c r="F39" s="92"/>
      <c r="G39" s="92"/>
    </row>
    <row r="40" spans="1:7" ht="15">
      <c r="A40" s="94"/>
      <c r="B40" s="94"/>
      <c r="C40" s="92"/>
      <c r="D40" s="92"/>
      <c r="E40" s="92"/>
      <c r="F40" s="92"/>
      <c r="G40" s="92"/>
    </row>
    <row r="41" spans="1:7" ht="15">
      <c r="A41" s="94"/>
      <c r="B41" s="94"/>
      <c r="C41" s="92"/>
      <c r="D41" s="92"/>
      <c r="E41" s="92"/>
      <c r="F41" s="92"/>
      <c r="G41" s="92"/>
    </row>
    <row r="42" spans="1:7" ht="15">
      <c r="A42" s="94"/>
      <c r="B42" s="94"/>
      <c r="C42" s="92"/>
      <c r="D42" s="92"/>
      <c r="E42" s="92"/>
      <c r="F42" s="92"/>
      <c r="G42" s="92"/>
    </row>
    <row r="43" spans="1:7" ht="15">
      <c r="A43" s="94"/>
      <c r="B43" s="94"/>
      <c r="C43" s="92"/>
      <c r="D43" s="92"/>
      <c r="E43" s="92"/>
      <c r="F43" s="92"/>
      <c r="G43" s="92"/>
    </row>
    <row r="44" spans="1:7" ht="15">
      <c r="A44" s="94"/>
      <c r="B44" s="94"/>
      <c r="C44" s="92"/>
      <c r="D44" s="92"/>
      <c r="E44" s="92"/>
      <c r="F44" s="92"/>
      <c r="G44" s="92"/>
    </row>
    <row r="45" spans="1:7" ht="15">
      <c r="A45" s="94"/>
      <c r="B45" s="94"/>
      <c r="C45" s="92"/>
      <c r="D45" s="92"/>
      <c r="E45" s="92"/>
      <c r="F45" s="92"/>
      <c r="G45" s="92"/>
    </row>
    <row r="46" spans="1:7" ht="15">
      <c r="A46" s="94"/>
      <c r="B46" s="94"/>
      <c r="C46" s="92"/>
      <c r="D46" s="92"/>
      <c r="E46" s="92"/>
      <c r="F46" s="92"/>
      <c r="G46" s="92"/>
    </row>
    <row r="47" spans="1:7" ht="15">
      <c r="A47" s="94"/>
      <c r="B47" s="94"/>
      <c r="C47" s="92"/>
      <c r="D47" s="92"/>
      <c r="E47" s="92"/>
      <c r="F47" s="92"/>
      <c r="G47" s="92"/>
    </row>
    <row r="48" spans="1:7" ht="15">
      <c r="A48" s="94"/>
      <c r="B48" s="94"/>
      <c r="C48" s="92"/>
      <c r="D48" s="92"/>
      <c r="E48" s="92"/>
      <c r="F48" s="92"/>
      <c r="G48" s="92"/>
    </row>
    <row r="49" spans="1:7" ht="15">
      <c r="A49" s="94"/>
      <c r="B49" s="94"/>
      <c r="C49" s="92"/>
      <c r="D49" s="92"/>
      <c r="E49" s="92"/>
      <c r="F49" s="92"/>
      <c r="G49" s="92"/>
    </row>
    <row r="50" spans="1:7" ht="15">
      <c r="A50" s="94"/>
      <c r="B50" s="94"/>
      <c r="C50" s="92"/>
      <c r="D50" s="92"/>
      <c r="E50" s="92"/>
      <c r="F50" s="92"/>
      <c r="G50" s="92"/>
    </row>
    <row r="51" spans="1:7" ht="15">
      <c r="A51" s="94"/>
      <c r="B51" s="94"/>
      <c r="C51" s="92"/>
      <c r="D51" s="92"/>
      <c r="E51" s="92"/>
      <c r="F51" s="92"/>
      <c r="G51" s="92"/>
    </row>
    <row r="52" spans="1:7" ht="15">
      <c r="A52" s="94"/>
      <c r="B52" s="94"/>
      <c r="C52" s="92"/>
      <c r="D52" s="92"/>
      <c r="E52" s="92"/>
      <c r="F52" s="92"/>
      <c r="G52" s="92"/>
    </row>
    <row r="53" spans="1:7" ht="15">
      <c r="A53" s="94"/>
      <c r="B53" s="94"/>
      <c r="C53" s="92"/>
      <c r="D53" s="92"/>
      <c r="E53" s="92"/>
      <c r="F53" s="92"/>
      <c r="G53" s="92"/>
    </row>
    <row r="54" spans="1:7" ht="15">
      <c r="A54" s="94"/>
      <c r="B54" s="94"/>
      <c r="C54" s="92"/>
      <c r="D54" s="92"/>
      <c r="E54" s="92"/>
      <c r="F54" s="92"/>
      <c r="G54" s="92"/>
    </row>
    <row r="55" spans="1:7" ht="15">
      <c r="A55" s="94"/>
      <c r="B55" s="94"/>
      <c r="C55" s="92"/>
      <c r="D55" s="92"/>
      <c r="E55" s="92"/>
      <c r="F55" s="92"/>
      <c r="G55" s="92"/>
    </row>
    <row r="56" spans="1:7" ht="15">
      <c r="A56" s="94"/>
      <c r="B56" s="94"/>
      <c r="C56" s="92"/>
      <c r="D56" s="92"/>
      <c r="E56" s="92"/>
      <c r="F56" s="92"/>
      <c r="G56" s="92"/>
    </row>
    <row r="57" spans="1:7" ht="15">
      <c r="A57" s="94"/>
      <c r="B57" s="94"/>
      <c r="C57" s="92"/>
      <c r="D57" s="92"/>
      <c r="E57" s="92"/>
      <c r="F57" s="92"/>
      <c r="G57" s="92"/>
    </row>
    <row r="58" spans="1:7" ht="15">
      <c r="A58" s="94"/>
      <c r="B58" s="94"/>
      <c r="C58" s="92"/>
      <c r="D58" s="92"/>
      <c r="E58" s="92"/>
      <c r="F58" s="92"/>
      <c r="G58" s="92"/>
    </row>
    <row r="59" spans="1:7" ht="15">
      <c r="A59" s="94"/>
      <c r="B59" s="94"/>
      <c r="C59" s="92"/>
      <c r="D59" s="92"/>
      <c r="E59" s="92"/>
      <c r="F59" s="92"/>
      <c r="G59" s="92"/>
    </row>
    <row r="60" spans="1:7" ht="15">
      <c r="A60" s="94"/>
      <c r="B60" s="94"/>
      <c r="C60" s="92"/>
      <c r="D60" s="92"/>
      <c r="E60" s="92"/>
      <c r="F60" s="92"/>
      <c r="G60" s="92"/>
    </row>
    <row r="61" spans="1:7" ht="15">
      <c r="A61" s="94"/>
      <c r="B61" s="94"/>
      <c r="C61" s="92"/>
      <c r="D61" s="92"/>
      <c r="E61" s="92"/>
      <c r="F61" s="92"/>
      <c r="G61" s="92"/>
    </row>
    <row r="62" spans="1:7" ht="15">
      <c r="A62" s="94"/>
      <c r="B62" s="94"/>
      <c r="C62" s="92"/>
      <c r="D62" s="92"/>
      <c r="E62" s="92"/>
      <c r="F62" s="92"/>
      <c r="G62" s="92"/>
    </row>
    <row r="63" spans="1:7" ht="15">
      <c r="A63" s="94"/>
      <c r="B63" s="94"/>
      <c r="C63" s="92"/>
      <c r="D63" s="92"/>
      <c r="E63" s="92"/>
      <c r="F63" s="92"/>
      <c r="G63" s="92"/>
    </row>
    <row r="64" spans="1:7" ht="15">
      <c r="A64" s="94"/>
      <c r="B64" s="94"/>
      <c r="C64" s="92"/>
      <c r="D64" s="92"/>
      <c r="E64" s="92"/>
      <c r="F64" s="92"/>
      <c r="G64" s="92"/>
    </row>
    <row r="65" spans="1:7" ht="15">
      <c r="A65" s="94"/>
      <c r="B65" s="94"/>
      <c r="C65" s="92"/>
      <c r="D65" s="92"/>
      <c r="E65" s="92"/>
      <c r="F65" s="92"/>
      <c r="G65" s="92"/>
    </row>
    <row r="66" spans="1:7" ht="15">
      <c r="A66" s="94"/>
      <c r="B66" s="94"/>
      <c r="C66" s="92"/>
      <c r="D66" s="92"/>
      <c r="E66" s="92"/>
      <c r="F66" s="92"/>
      <c r="G66" s="92"/>
    </row>
    <row r="67" spans="1:7" ht="15">
      <c r="A67" s="94"/>
      <c r="B67" s="94"/>
      <c r="C67" s="92"/>
      <c r="D67" s="92"/>
      <c r="E67" s="92"/>
      <c r="F67" s="92"/>
      <c r="G67" s="92"/>
    </row>
    <row r="68" spans="1:7" ht="15">
      <c r="A68" s="94"/>
      <c r="B68" s="94"/>
      <c r="C68" s="92"/>
      <c r="D68" s="92"/>
      <c r="E68" s="92"/>
      <c r="F68" s="92"/>
      <c r="G68" s="92"/>
    </row>
    <row r="69" spans="1:7" ht="15">
      <c r="A69" s="94"/>
      <c r="B69" s="94"/>
      <c r="C69" s="92"/>
      <c r="D69" s="92"/>
      <c r="E69" s="92"/>
      <c r="F69" s="92"/>
      <c r="G69" s="92"/>
    </row>
    <row r="70" spans="1:7" ht="15">
      <c r="A70" s="94"/>
      <c r="B70" s="94"/>
      <c r="C70" s="92"/>
      <c r="D70" s="92"/>
      <c r="E70" s="92"/>
      <c r="F70" s="92"/>
      <c r="G70" s="92"/>
    </row>
    <row r="71" spans="1:7" ht="15">
      <c r="A71" s="94"/>
      <c r="B71" s="94"/>
      <c r="C71" s="92"/>
      <c r="D71" s="92"/>
      <c r="E71" s="92"/>
      <c r="F71" s="92"/>
      <c r="G71" s="92"/>
    </row>
    <row r="72" spans="1:7" ht="15">
      <c r="A72" s="94"/>
      <c r="B72" s="94"/>
      <c r="C72" s="92"/>
      <c r="D72" s="92"/>
      <c r="E72" s="92"/>
      <c r="F72" s="92"/>
      <c r="G72" s="92"/>
    </row>
    <row r="73" spans="1:7" ht="15">
      <c r="A73" s="94"/>
      <c r="B73" s="94"/>
      <c r="C73" s="92"/>
      <c r="D73" s="92"/>
      <c r="E73" s="92"/>
      <c r="F73" s="92"/>
      <c r="G73" s="92"/>
    </row>
    <row r="74" spans="1:7" ht="15">
      <c r="A74" s="94"/>
      <c r="B74" s="94"/>
      <c r="C74" s="92"/>
      <c r="D74" s="92"/>
      <c r="E74" s="92"/>
      <c r="F74" s="92"/>
      <c r="G74" s="92"/>
    </row>
    <row r="75" spans="1:7" ht="15">
      <c r="A75" s="94"/>
      <c r="B75" s="94"/>
      <c r="C75" s="92"/>
      <c r="D75" s="92"/>
      <c r="E75" s="92"/>
      <c r="F75" s="92"/>
      <c r="G75" s="92"/>
    </row>
    <row r="76" spans="1:7" ht="15">
      <c r="A76" s="94"/>
      <c r="B76" s="94"/>
      <c r="C76" s="92"/>
      <c r="D76" s="92"/>
      <c r="E76" s="92"/>
      <c r="F76" s="92"/>
      <c r="G76" s="92"/>
    </row>
    <row r="77" spans="1:7" ht="15">
      <c r="A77" s="94"/>
      <c r="B77" s="94"/>
      <c r="C77" s="92"/>
      <c r="D77" s="92"/>
      <c r="E77" s="92"/>
      <c r="F77" s="92"/>
      <c r="G77" s="92"/>
    </row>
    <row r="78" spans="1:7" ht="15">
      <c r="A78" s="94"/>
      <c r="B78" s="94"/>
      <c r="C78" s="92"/>
      <c r="D78" s="92"/>
      <c r="E78" s="92"/>
      <c r="F78" s="92"/>
      <c r="G78" s="92"/>
    </row>
    <row r="79" spans="1:7" ht="15">
      <c r="A79" s="94"/>
      <c r="B79" s="94"/>
      <c r="C79" s="92"/>
      <c r="D79" s="92"/>
      <c r="E79" s="92"/>
      <c r="F79" s="92"/>
      <c r="G79" s="92"/>
    </row>
    <row r="80" spans="1:7" ht="15">
      <c r="A80" s="94"/>
      <c r="B80" s="94"/>
      <c r="C80" s="92"/>
      <c r="D80" s="92"/>
      <c r="E80" s="92"/>
      <c r="F80" s="92"/>
      <c r="G80" s="92"/>
    </row>
    <row r="81" spans="1:7" ht="15">
      <c r="A81" s="94"/>
      <c r="B81" s="94"/>
      <c r="C81" s="92"/>
      <c r="D81" s="92"/>
      <c r="E81" s="92"/>
      <c r="F81" s="92"/>
      <c r="G81" s="92"/>
    </row>
    <row r="82" spans="1:7" ht="15">
      <c r="A82" s="94"/>
      <c r="B82" s="94"/>
      <c r="C82" s="92"/>
      <c r="D82" s="92"/>
      <c r="E82" s="92"/>
      <c r="F82" s="92"/>
      <c r="G82" s="92"/>
    </row>
    <row r="83" spans="1:7" ht="15">
      <c r="A83" s="94"/>
      <c r="B83" s="94"/>
      <c r="C83" s="92"/>
      <c r="D83" s="92"/>
      <c r="E83" s="92"/>
      <c r="F83" s="92"/>
      <c r="G83" s="92"/>
    </row>
    <row r="84" spans="1:7" ht="15">
      <c r="A84" s="94"/>
      <c r="B84" s="94"/>
      <c r="C84" s="92"/>
      <c r="D84" s="92"/>
      <c r="E84" s="92"/>
      <c r="F84" s="92"/>
      <c r="G84" s="92"/>
    </row>
    <row r="85" spans="1:7" ht="15">
      <c r="A85" s="94"/>
      <c r="B85" s="94"/>
      <c r="C85" s="92"/>
      <c r="D85" s="92"/>
      <c r="E85" s="92"/>
      <c r="F85" s="92"/>
      <c r="G85" s="92"/>
    </row>
    <row r="86" spans="1:7" ht="15">
      <c r="A86" s="94"/>
      <c r="B86" s="94"/>
      <c r="C86" s="92"/>
      <c r="D86" s="92"/>
      <c r="E86" s="92"/>
      <c r="F86" s="92"/>
      <c r="G86" s="92"/>
    </row>
    <row r="87" spans="1:7" ht="15">
      <c r="A87" s="94"/>
      <c r="B87" s="94"/>
      <c r="C87" s="92"/>
      <c r="D87" s="92"/>
      <c r="E87" s="92"/>
      <c r="F87" s="92"/>
      <c r="G87" s="92"/>
    </row>
    <row r="88" spans="1:7" ht="15">
      <c r="A88" s="94"/>
      <c r="B88" s="94"/>
      <c r="C88" s="92"/>
      <c r="D88" s="92"/>
      <c r="E88" s="92"/>
      <c r="F88" s="92"/>
      <c r="G88" s="92"/>
    </row>
    <row r="89" spans="1:7" ht="15">
      <c r="A89" s="94"/>
      <c r="B89" s="94"/>
      <c r="C89" s="92"/>
      <c r="D89" s="92"/>
      <c r="E89" s="92"/>
      <c r="F89" s="92"/>
      <c r="G89" s="92"/>
    </row>
    <row r="90" spans="1:7" ht="15">
      <c r="A90" s="94"/>
      <c r="B90" s="94"/>
      <c r="C90" s="92"/>
      <c r="D90" s="92"/>
      <c r="E90" s="92"/>
      <c r="F90" s="92"/>
      <c r="G90" s="92"/>
    </row>
    <row r="91" spans="1:7" ht="15">
      <c r="A91" s="94"/>
      <c r="B91" s="94"/>
      <c r="C91" s="92"/>
      <c r="D91" s="92"/>
      <c r="E91" s="92"/>
      <c r="F91" s="92"/>
      <c r="G91" s="92"/>
    </row>
    <row r="92" spans="1:7" ht="15">
      <c r="A92" s="94"/>
      <c r="B92" s="94"/>
      <c r="C92" s="92"/>
      <c r="D92" s="92"/>
      <c r="E92" s="92"/>
      <c r="F92" s="92"/>
      <c r="G92" s="92"/>
    </row>
    <row r="93" spans="1:7" ht="15">
      <c r="A93" s="94"/>
      <c r="B93" s="94"/>
      <c r="C93" s="92"/>
      <c r="D93" s="92"/>
      <c r="E93" s="92"/>
      <c r="F93" s="92"/>
      <c r="G93" s="92"/>
    </row>
    <row r="94" spans="1:7" ht="15">
      <c r="A94" s="94"/>
      <c r="B94" s="94"/>
      <c r="C94" s="92"/>
      <c r="D94" s="92"/>
      <c r="E94" s="92"/>
      <c r="F94" s="92"/>
      <c r="G94" s="92"/>
    </row>
    <row r="95" spans="1:7" ht="15">
      <c r="A95" s="94"/>
      <c r="B95" s="94"/>
      <c r="C95" s="92"/>
      <c r="D95" s="92"/>
      <c r="E95" s="92"/>
      <c r="F95" s="92"/>
      <c r="G95" s="92"/>
    </row>
    <row r="96" spans="1:7" ht="15">
      <c r="A96" s="94"/>
      <c r="B96" s="94"/>
      <c r="C96" s="92"/>
      <c r="D96" s="92"/>
      <c r="E96" s="92"/>
      <c r="F96" s="92"/>
      <c r="G96" s="92"/>
    </row>
    <row r="97" spans="1:7" ht="15">
      <c r="A97" s="94"/>
      <c r="B97" s="94"/>
      <c r="C97" s="92"/>
      <c r="D97" s="92"/>
      <c r="E97" s="92"/>
      <c r="F97" s="92"/>
      <c r="G97" s="92"/>
    </row>
    <row r="98" spans="1:7" ht="15">
      <c r="A98" s="94"/>
      <c r="B98" s="94"/>
      <c r="C98" s="92"/>
      <c r="D98" s="92"/>
      <c r="E98" s="92"/>
      <c r="F98" s="92"/>
      <c r="G98" s="92"/>
    </row>
    <row r="99" spans="1:7" ht="15">
      <c r="A99" s="94"/>
      <c r="B99" s="94"/>
      <c r="C99" s="92"/>
      <c r="D99" s="92"/>
      <c r="E99" s="92"/>
      <c r="F99" s="92"/>
      <c r="G99" s="92"/>
    </row>
    <row r="100" spans="1:7" ht="15">
      <c r="A100" s="94"/>
      <c r="B100" s="94"/>
      <c r="C100" s="92"/>
      <c r="D100" s="92"/>
      <c r="E100" s="92"/>
      <c r="F100" s="92"/>
      <c r="G100" s="92"/>
    </row>
    <row r="101" spans="1:7" ht="15">
      <c r="A101" s="94"/>
      <c r="B101" s="94"/>
      <c r="C101" s="92"/>
      <c r="D101" s="92"/>
      <c r="E101" s="92"/>
      <c r="F101" s="92"/>
      <c r="G101" s="92"/>
    </row>
    <row r="102" spans="1:7" ht="15">
      <c r="A102" s="94"/>
      <c r="B102" s="94"/>
      <c r="C102" s="92"/>
      <c r="D102" s="92"/>
      <c r="E102" s="92"/>
      <c r="F102" s="92"/>
      <c r="G102" s="92"/>
    </row>
    <row r="103" spans="1:7" ht="15">
      <c r="A103" s="94"/>
      <c r="B103" s="94"/>
      <c r="C103" s="92"/>
      <c r="D103" s="92"/>
      <c r="E103" s="92"/>
      <c r="F103" s="92"/>
      <c r="G103" s="92"/>
    </row>
    <row r="104" spans="1:7" ht="15">
      <c r="A104" s="94"/>
      <c r="B104" s="94"/>
      <c r="C104" s="92"/>
      <c r="D104" s="92"/>
      <c r="E104" s="92"/>
      <c r="F104" s="92"/>
      <c r="G104" s="92"/>
    </row>
    <row r="105" spans="1:7" ht="15">
      <c r="A105" s="94"/>
      <c r="B105" s="94"/>
      <c r="C105" s="92"/>
      <c r="D105" s="92"/>
      <c r="E105" s="92"/>
      <c r="F105" s="92"/>
      <c r="G105" s="92"/>
    </row>
    <row r="106" spans="1:7" ht="15">
      <c r="A106" s="94"/>
      <c r="B106" s="94"/>
      <c r="C106" s="92"/>
      <c r="D106" s="92"/>
      <c r="E106" s="92"/>
      <c r="F106" s="92"/>
      <c r="G106" s="92"/>
    </row>
    <row r="107" spans="1:7" ht="15">
      <c r="A107" s="94"/>
      <c r="B107" s="94"/>
      <c r="C107" s="92"/>
      <c r="D107" s="92"/>
      <c r="E107" s="92"/>
      <c r="F107" s="92"/>
      <c r="G107" s="92"/>
    </row>
    <row r="108" spans="1:7" ht="15">
      <c r="A108" s="94"/>
      <c r="B108" s="94"/>
      <c r="C108" s="92"/>
      <c r="D108" s="92"/>
      <c r="E108" s="92"/>
      <c r="F108" s="92"/>
      <c r="G108" s="92"/>
    </row>
    <row r="109" spans="1:7" ht="15">
      <c r="A109" s="94"/>
      <c r="B109" s="94"/>
      <c r="C109" s="92"/>
      <c r="D109" s="92"/>
      <c r="E109" s="92"/>
      <c r="F109" s="92"/>
      <c r="G109" s="92"/>
    </row>
    <row r="110" spans="1:7" ht="15">
      <c r="A110" s="94"/>
      <c r="B110" s="94"/>
      <c r="C110" s="92"/>
      <c r="D110" s="92"/>
      <c r="E110" s="92"/>
      <c r="F110" s="92"/>
      <c r="G110" s="92"/>
    </row>
    <row r="111" spans="1:7" ht="15">
      <c r="A111" s="94"/>
      <c r="B111" s="94"/>
      <c r="C111" s="92"/>
      <c r="D111" s="92"/>
      <c r="E111" s="92"/>
      <c r="F111" s="92"/>
      <c r="G111" s="92"/>
    </row>
    <row r="112" spans="1:7" ht="15">
      <c r="A112" s="94"/>
      <c r="B112" s="94"/>
      <c r="C112" s="92"/>
      <c r="D112" s="92"/>
      <c r="E112" s="92"/>
      <c r="F112" s="92"/>
      <c r="G112" s="92"/>
    </row>
    <row r="113" spans="1:7" ht="15">
      <c r="A113" s="94"/>
      <c r="B113" s="94"/>
      <c r="C113" s="92"/>
      <c r="D113" s="92"/>
      <c r="E113" s="92"/>
      <c r="F113" s="92"/>
      <c r="G113" s="92"/>
    </row>
    <row r="114" spans="1:7" ht="15">
      <c r="A114" s="94"/>
      <c r="B114" s="94"/>
      <c r="C114" s="92"/>
      <c r="D114" s="92"/>
      <c r="E114" s="92"/>
      <c r="F114" s="92"/>
      <c r="G114" s="92"/>
    </row>
    <row r="115" spans="1:7" ht="15">
      <c r="A115" s="94"/>
      <c r="B115" s="94"/>
      <c r="C115" s="92"/>
      <c r="D115" s="92"/>
      <c r="E115" s="92"/>
      <c r="F115" s="92"/>
      <c r="G115" s="92"/>
    </row>
    <row r="116" spans="1:7" ht="15">
      <c r="A116" s="94"/>
      <c r="B116" s="94"/>
      <c r="C116" s="92"/>
      <c r="D116" s="92"/>
      <c r="E116" s="92"/>
      <c r="F116" s="92"/>
      <c r="G116" s="92"/>
    </row>
    <row r="117" spans="1:7" ht="15">
      <c r="A117" s="94"/>
      <c r="B117" s="94"/>
      <c r="C117" s="92"/>
      <c r="D117" s="92"/>
      <c r="E117" s="92"/>
      <c r="F117" s="92"/>
      <c r="G117" s="92"/>
    </row>
    <row r="118" spans="1:7" ht="15">
      <c r="A118" s="94"/>
      <c r="B118" s="94"/>
      <c r="C118" s="92"/>
      <c r="D118" s="92"/>
      <c r="E118" s="92"/>
      <c r="F118" s="92"/>
      <c r="G118" s="92"/>
    </row>
    <row r="119" spans="1:7" ht="15">
      <c r="A119" s="94"/>
      <c r="B119" s="94"/>
      <c r="C119" s="92"/>
      <c r="D119" s="92"/>
      <c r="E119" s="92"/>
      <c r="F119" s="92"/>
      <c r="G119" s="92"/>
    </row>
    <row r="120" spans="1:7" ht="15">
      <c r="A120" s="94"/>
      <c r="B120" s="94"/>
      <c r="C120" s="92"/>
      <c r="D120" s="92"/>
      <c r="E120" s="92"/>
      <c r="F120" s="92"/>
      <c r="G120" s="92"/>
    </row>
    <row r="121" spans="1:7" ht="15">
      <c r="A121" s="94"/>
      <c r="B121" s="94"/>
      <c r="C121" s="92"/>
      <c r="D121" s="92"/>
      <c r="E121" s="92"/>
      <c r="F121" s="92"/>
      <c r="G121" s="92"/>
    </row>
    <row r="122" spans="1:7" ht="15">
      <c r="A122" s="94"/>
      <c r="B122" s="94"/>
      <c r="C122" s="92"/>
      <c r="D122" s="92"/>
      <c r="E122" s="92"/>
      <c r="F122" s="92"/>
      <c r="G122" s="92"/>
    </row>
    <row r="123" spans="1:7" ht="15">
      <c r="A123" s="94"/>
      <c r="B123" s="94"/>
      <c r="C123" s="92"/>
      <c r="D123" s="92"/>
      <c r="E123" s="92"/>
      <c r="F123" s="92"/>
      <c r="G123" s="92"/>
    </row>
    <row r="124" spans="1:7" ht="15">
      <c r="A124" s="94"/>
      <c r="B124" s="94"/>
      <c r="C124" s="92"/>
      <c r="D124" s="92"/>
      <c r="E124" s="92"/>
      <c r="F124" s="92"/>
      <c r="G124" s="92"/>
    </row>
    <row r="125" spans="1:7" ht="15">
      <c r="A125" s="94"/>
      <c r="B125" s="94"/>
      <c r="C125" s="92"/>
      <c r="D125" s="92"/>
      <c r="E125" s="92"/>
      <c r="F125" s="92"/>
      <c r="G125" s="92"/>
    </row>
    <row r="126" spans="1:7" ht="15">
      <c r="A126" s="94"/>
      <c r="B126" s="94"/>
      <c r="C126" s="92"/>
      <c r="D126" s="92"/>
      <c r="E126" s="92"/>
      <c r="F126" s="92"/>
      <c r="G126" s="92"/>
    </row>
    <row r="127" spans="1:7" ht="15">
      <c r="A127" s="94"/>
      <c r="B127" s="94"/>
      <c r="C127" s="92"/>
      <c r="D127" s="92"/>
      <c r="E127" s="92"/>
      <c r="F127" s="92"/>
      <c r="G127" s="92"/>
    </row>
    <row r="128" spans="1:7" ht="15">
      <c r="A128" s="94"/>
      <c r="B128" s="94"/>
      <c r="C128" s="92"/>
      <c r="D128" s="92"/>
      <c r="E128" s="92"/>
      <c r="F128" s="92"/>
      <c r="G128" s="92"/>
    </row>
    <row r="129" spans="1:7" ht="15">
      <c r="A129" s="94"/>
      <c r="B129" s="94"/>
      <c r="C129" s="92"/>
      <c r="D129" s="92"/>
      <c r="E129" s="92"/>
      <c r="F129" s="92"/>
      <c r="G129" s="92"/>
    </row>
    <row r="130" spans="1:7" ht="15">
      <c r="A130" s="94"/>
      <c r="B130" s="94"/>
      <c r="C130" s="92"/>
      <c r="D130" s="92"/>
      <c r="E130" s="92"/>
      <c r="F130" s="92"/>
      <c r="G130" s="92"/>
    </row>
    <row r="131" spans="1:7" ht="15">
      <c r="A131" s="94"/>
      <c r="B131" s="94"/>
      <c r="C131" s="92"/>
      <c r="D131" s="92"/>
      <c r="E131" s="92"/>
      <c r="F131" s="92"/>
      <c r="G131" s="92"/>
    </row>
    <row r="132" spans="1:7" ht="15">
      <c r="A132" s="94"/>
      <c r="B132" s="94"/>
      <c r="C132" s="92"/>
      <c r="D132" s="92"/>
      <c r="E132" s="92"/>
      <c r="F132" s="92"/>
      <c r="G132" s="92"/>
    </row>
    <row r="133" spans="1:7" ht="15">
      <c r="A133" s="94"/>
      <c r="B133" s="94"/>
      <c r="C133" s="92"/>
      <c r="D133" s="92"/>
      <c r="E133" s="92"/>
      <c r="F133" s="92"/>
      <c r="G133" s="92"/>
    </row>
    <row r="134" spans="1:7" ht="15">
      <c r="A134" s="94"/>
      <c r="B134" s="94"/>
      <c r="C134" s="92"/>
      <c r="D134" s="92"/>
      <c r="E134" s="92"/>
      <c r="F134" s="92"/>
      <c r="G134" s="92"/>
    </row>
    <row r="135" spans="1:7" ht="15">
      <c r="A135" s="94"/>
      <c r="B135" s="94"/>
      <c r="C135" s="92"/>
      <c r="D135" s="92"/>
      <c r="E135" s="92"/>
      <c r="F135" s="92"/>
      <c r="G135" s="92"/>
    </row>
    <row r="136" spans="1:7" ht="15">
      <c r="A136" s="94"/>
      <c r="B136" s="94"/>
      <c r="C136" s="92"/>
      <c r="D136" s="92"/>
      <c r="E136" s="92"/>
      <c r="F136" s="92"/>
      <c r="G136" s="92"/>
    </row>
    <row r="137" spans="1:7" ht="15">
      <c r="A137" s="94"/>
      <c r="B137" s="94"/>
      <c r="C137" s="92"/>
      <c r="D137" s="92"/>
      <c r="E137" s="92"/>
      <c r="F137" s="92"/>
      <c r="G137" s="92"/>
    </row>
    <row r="138" spans="1:7" ht="15">
      <c r="A138" s="94"/>
      <c r="B138" s="94"/>
      <c r="C138" s="92"/>
      <c r="D138" s="92"/>
      <c r="E138" s="92"/>
      <c r="F138" s="92"/>
      <c r="G138" s="92"/>
    </row>
    <row r="139" spans="1:7" ht="15">
      <c r="A139" s="94"/>
      <c r="B139" s="94"/>
      <c r="C139" s="92"/>
      <c r="D139" s="92"/>
      <c r="E139" s="92"/>
      <c r="F139" s="92"/>
      <c r="G139" s="92"/>
    </row>
    <row r="140" spans="1:7" ht="15">
      <c r="A140" s="94"/>
      <c r="B140" s="94"/>
      <c r="C140" s="92"/>
      <c r="D140" s="92"/>
      <c r="E140" s="92"/>
      <c r="F140" s="92"/>
      <c r="G140" s="92"/>
    </row>
    <row r="141" spans="1:7" ht="15">
      <c r="A141" s="94"/>
      <c r="B141" s="94"/>
      <c r="C141" s="92"/>
      <c r="D141" s="92"/>
      <c r="E141" s="92"/>
      <c r="F141" s="92"/>
      <c r="G141" s="92"/>
    </row>
    <row r="142" spans="1:7" ht="15">
      <c r="A142" s="94"/>
      <c r="B142" s="94"/>
      <c r="C142" s="92"/>
      <c r="D142" s="92"/>
      <c r="E142" s="92"/>
      <c r="F142" s="92"/>
      <c r="G142" s="92"/>
    </row>
    <row r="143" spans="1:7" ht="15">
      <c r="A143" s="94"/>
      <c r="B143" s="94"/>
      <c r="C143" s="92"/>
      <c r="D143" s="92"/>
      <c r="E143" s="92"/>
      <c r="F143" s="92"/>
      <c r="G143" s="92"/>
    </row>
    <row r="144" spans="1:7" ht="15">
      <c r="A144" s="94"/>
      <c r="B144" s="94"/>
      <c r="C144" s="92"/>
      <c r="D144" s="92"/>
      <c r="E144" s="92"/>
      <c r="F144" s="92"/>
      <c r="G144" s="92"/>
    </row>
    <row r="145" spans="1:7" ht="15">
      <c r="A145" s="94"/>
      <c r="B145" s="94"/>
      <c r="C145" s="92"/>
      <c r="D145" s="92"/>
      <c r="E145" s="92"/>
      <c r="F145" s="92"/>
      <c r="G145" s="92"/>
    </row>
    <row r="146" spans="1:7" ht="15">
      <c r="A146" s="94"/>
      <c r="B146" s="94"/>
      <c r="C146" s="92"/>
      <c r="D146" s="92"/>
      <c r="E146" s="92"/>
      <c r="F146" s="92"/>
      <c r="G146" s="92"/>
    </row>
    <row r="147" spans="1:7" ht="15">
      <c r="A147" s="94"/>
      <c r="B147" s="94"/>
      <c r="C147" s="92"/>
      <c r="D147" s="92"/>
      <c r="E147" s="92"/>
      <c r="F147" s="92"/>
      <c r="G147" s="92"/>
    </row>
    <row r="148" spans="1:7" ht="15">
      <c r="A148" s="94"/>
      <c r="B148" s="94"/>
      <c r="C148" s="92"/>
      <c r="D148" s="92"/>
      <c r="E148" s="92"/>
      <c r="F148" s="92"/>
      <c r="G148" s="92"/>
    </row>
    <row r="149" spans="1:7" ht="15">
      <c r="A149" s="94"/>
      <c r="B149" s="94"/>
      <c r="C149" s="92"/>
      <c r="D149" s="92"/>
      <c r="E149" s="92"/>
      <c r="F149" s="92"/>
      <c r="G149" s="92"/>
    </row>
    <row r="150" spans="1:7" ht="15">
      <c r="A150" s="94"/>
      <c r="B150" s="94"/>
      <c r="C150" s="92"/>
      <c r="D150" s="92"/>
      <c r="E150" s="92"/>
      <c r="F150" s="92"/>
      <c r="G150" s="92"/>
    </row>
    <row r="151" spans="1:7" ht="15">
      <c r="A151" s="94"/>
      <c r="B151" s="94"/>
      <c r="C151" s="92"/>
      <c r="D151" s="92"/>
      <c r="E151" s="92"/>
      <c r="F151" s="92"/>
      <c r="G151" s="92"/>
    </row>
    <row r="152" spans="1:7" ht="15">
      <c r="A152" s="94"/>
      <c r="B152" s="94"/>
      <c r="C152" s="92"/>
      <c r="D152" s="92"/>
      <c r="E152" s="92"/>
      <c r="F152" s="92"/>
      <c r="G152" s="92"/>
    </row>
    <row r="153" spans="1:7" ht="15">
      <c r="A153" s="94"/>
      <c r="B153" s="94"/>
      <c r="C153" s="92"/>
      <c r="D153" s="92"/>
      <c r="E153" s="92"/>
      <c r="F153" s="92"/>
      <c r="G153" s="92"/>
    </row>
    <row r="154" spans="1:7" ht="15">
      <c r="A154" s="94"/>
      <c r="B154" s="94"/>
      <c r="C154" s="92"/>
      <c r="D154" s="92"/>
      <c r="E154" s="92"/>
      <c r="F154" s="92"/>
      <c r="G154" s="92"/>
    </row>
    <row r="155" spans="1:7" ht="15">
      <c r="A155" s="94"/>
      <c r="B155" s="94"/>
      <c r="C155" s="92"/>
      <c r="D155" s="92"/>
      <c r="E155" s="92"/>
      <c r="F155" s="92"/>
      <c r="G155" s="92"/>
    </row>
    <row r="156" spans="1:7" ht="15">
      <c r="A156" s="94"/>
      <c r="B156" s="94"/>
      <c r="C156" s="92"/>
      <c r="D156" s="92"/>
      <c r="E156" s="92"/>
      <c r="F156" s="92"/>
      <c r="G156" s="92"/>
    </row>
    <row r="157" spans="1:7" ht="15">
      <c r="A157" s="94"/>
      <c r="B157" s="94"/>
      <c r="C157" s="92"/>
      <c r="D157" s="92"/>
      <c r="E157" s="92"/>
      <c r="F157" s="92"/>
      <c r="G157" s="92"/>
    </row>
    <row r="158" spans="1:7" ht="15">
      <c r="A158" s="94"/>
      <c r="B158" s="94"/>
      <c r="C158" s="92"/>
      <c r="D158" s="92"/>
      <c r="E158" s="92"/>
      <c r="F158" s="92"/>
      <c r="G158" s="92"/>
    </row>
    <row r="159" spans="1:7" ht="15">
      <c r="A159" s="94"/>
      <c r="B159" s="94"/>
      <c r="C159" s="92"/>
      <c r="D159" s="92"/>
      <c r="E159" s="92"/>
      <c r="F159" s="92"/>
      <c r="G159" s="92"/>
    </row>
    <row r="160" spans="1:7" ht="15">
      <c r="A160" s="94"/>
      <c r="B160" s="94"/>
      <c r="C160" s="92"/>
      <c r="D160" s="92"/>
      <c r="E160" s="92"/>
      <c r="F160" s="92"/>
      <c r="G160" s="92"/>
    </row>
    <row r="161" spans="1:7" ht="15">
      <c r="A161" s="94"/>
      <c r="B161" s="94"/>
      <c r="C161" s="92"/>
      <c r="D161" s="92"/>
      <c r="E161" s="92"/>
      <c r="F161" s="92"/>
      <c r="G161" s="92"/>
    </row>
    <row r="162" spans="1:7" ht="15">
      <c r="A162" s="94"/>
      <c r="B162" s="94"/>
      <c r="C162" s="92"/>
      <c r="D162" s="92"/>
      <c r="E162" s="92"/>
      <c r="F162" s="92"/>
      <c r="G162" s="92"/>
    </row>
    <row r="163" spans="1:7" ht="15">
      <c r="A163" s="94"/>
      <c r="B163" s="94"/>
      <c r="C163" s="92"/>
      <c r="D163" s="92"/>
      <c r="E163" s="92"/>
      <c r="F163" s="92"/>
      <c r="G163" s="92"/>
    </row>
    <row r="164" spans="1:7" ht="15">
      <c r="A164" s="94"/>
      <c r="B164" s="94"/>
      <c r="C164" s="92"/>
      <c r="D164" s="92"/>
      <c r="E164" s="92"/>
      <c r="F164" s="92"/>
      <c r="G164" s="92"/>
    </row>
    <row r="165" spans="1:7" ht="15">
      <c r="A165" s="94"/>
      <c r="B165" s="94"/>
      <c r="C165" s="92"/>
      <c r="D165" s="92"/>
      <c r="E165" s="92"/>
      <c r="F165" s="92"/>
      <c r="G165" s="92"/>
    </row>
    <row r="166" spans="1:7" ht="15">
      <c r="A166" s="94"/>
      <c r="B166" s="94"/>
      <c r="C166" s="92"/>
      <c r="D166" s="92"/>
      <c r="E166" s="92"/>
      <c r="F166" s="92"/>
      <c r="G166" s="92"/>
    </row>
    <row r="167" spans="1:7" ht="15">
      <c r="A167" s="94"/>
      <c r="B167" s="94"/>
      <c r="C167" s="92"/>
      <c r="D167" s="92"/>
      <c r="E167" s="92"/>
      <c r="F167" s="92"/>
      <c r="G167" s="92"/>
    </row>
    <row r="168" spans="1:7" ht="15">
      <c r="A168" s="94"/>
      <c r="B168" s="94"/>
      <c r="C168" s="92"/>
      <c r="D168" s="92"/>
      <c r="E168" s="92"/>
      <c r="F168" s="92"/>
      <c r="G168" s="92"/>
    </row>
    <row r="169" spans="1:7" ht="15">
      <c r="A169" s="94"/>
      <c r="B169" s="94"/>
      <c r="C169" s="92"/>
      <c r="D169" s="92"/>
      <c r="E169" s="92"/>
      <c r="F169" s="92"/>
      <c r="G169" s="92"/>
    </row>
    <row r="170" spans="1:7" ht="15">
      <c r="A170" s="94"/>
      <c r="B170" s="94"/>
      <c r="C170" s="92"/>
      <c r="D170" s="92"/>
      <c r="E170" s="92"/>
      <c r="F170" s="92"/>
      <c r="G170" s="92"/>
    </row>
    <row r="171" spans="1:7" ht="15">
      <c r="A171" s="94"/>
      <c r="B171" s="94"/>
      <c r="C171" s="92"/>
      <c r="D171" s="92"/>
      <c r="E171" s="92"/>
      <c r="F171" s="92"/>
      <c r="G171" s="92"/>
    </row>
    <row r="172" spans="1:7" ht="15">
      <c r="A172" s="94"/>
      <c r="B172" s="94"/>
      <c r="C172" s="92"/>
      <c r="D172" s="92"/>
      <c r="E172" s="92"/>
      <c r="F172" s="92"/>
      <c r="G172" s="92"/>
    </row>
    <row r="173" spans="1:7" ht="15">
      <c r="A173" s="94"/>
      <c r="B173" s="94"/>
      <c r="C173" s="92"/>
      <c r="D173" s="92"/>
      <c r="E173" s="92"/>
      <c r="F173" s="92"/>
      <c r="G173" s="92"/>
    </row>
    <row r="174" spans="1:7" ht="15">
      <c r="A174" s="94"/>
      <c r="B174" s="94"/>
      <c r="C174" s="92"/>
      <c r="D174" s="92"/>
      <c r="E174" s="92"/>
      <c r="F174" s="92"/>
      <c r="G174" s="92"/>
    </row>
    <row r="175" spans="1:7" ht="15">
      <c r="A175" s="94"/>
      <c r="B175" s="94"/>
      <c r="C175" s="92"/>
      <c r="D175" s="92"/>
      <c r="E175" s="92"/>
      <c r="F175" s="92"/>
      <c r="G175" s="92"/>
    </row>
    <row r="176" spans="1:7" ht="15">
      <c r="A176" s="94"/>
      <c r="B176" s="94"/>
      <c r="C176" s="92"/>
      <c r="D176" s="92"/>
      <c r="E176" s="92"/>
      <c r="F176" s="92"/>
      <c r="G176" s="92"/>
    </row>
    <row r="177" spans="1:7" ht="15">
      <c r="A177" s="94"/>
      <c r="B177" s="94"/>
      <c r="C177" s="92"/>
      <c r="D177" s="92"/>
      <c r="E177" s="92"/>
      <c r="F177" s="92"/>
      <c r="G177" s="92"/>
    </row>
    <row r="178" spans="1:7" ht="15">
      <c r="A178" s="94"/>
      <c r="B178" s="94"/>
      <c r="C178" s="92"/>
      <c r="D178" s="92"/>
      <c r="E178" s="92"/>
      <c r="F178" s="92"/>
      <c r="G178" s="92"/>
    </row>
    <row r="179" spans="1:7" ht="15">
      <c r="A179" s="94"/>
      <c r="B179" s="94"/>
      <c r="C179" s="92"/>
      <c r="D179" s="92"/>
      <c r="E179" s="92"/>
      <c r="F179" s="92"/>
      <c r="G179" s="92"/>
    </row>
    <row r="180" spans="1:7" ht="15">
      <c r="A180" s="94"/>
      <c r="B180" s="94"/>
      <c r="C180" s="92"/>
      <c r="D180" s="92"/>
      <c r="E180" s="92"/>
      <c r="F180" s="92"/>
      <c r="G180" s="92"/>
    </row>
    <row r="181" spans="1:7" ht="15">
      <c r="A181" s="94"/>
      <c r="B181" s="94"/>
      <c r="C181" s="92"/>
      <c r="D181" s="92"/>
      <c r="E181" s="92"/>
      <c r="F181" s="92"/>
      <c r="G181" s="92"/>
    </row>
    <row r="182" spans="1:7" ht="15">
      <c r="A182" s="94"/>
      <c r="B182" s="94"/>
      <c r="C182" s="92"/>
      <c r="D182" s="92"/>
      <c r="E182" s="92"/>
      <c r="F182" s="92"/>
      <c r="G182" s="92"/>
    </row>
    <row r="183" spans="1:7" ht="15">
      <c r="A183" s="94"/>
      <c r="B183" s="94"/>
      <c r="C183" s="92"/>
      <c r="D183" s="92"/>
      <c r="E183" s="92"/>
      <c r="F183" s="92"/>
      <c r="G183" s="92"/>
    </row>
    <row r="184" spans="1:7" ht="15">
      <c r="A184" s="94"/>
      <c r="B184" s="94"/>
      <c r="C184" s="92"/>
      <c r="D184" s="92"/>
      <c r="E184" s="92"/>
      <c r="F184" s="92"/>
      <c r="G184" s="92"/>
    </row>
    <row r="185" spans="1:7" ht="15">
      <c r="A185" s="94"/>
      <c r="B185" s="94"/>
      <c r="C185" s="92"/>
      <c r="D185" s="92"/>
      <c r="E185" s="92"/>
      <c r="F185" s="92"/>
      <c r="G185" s="92"/>
    </row>
    <row r="186" spans="1:7" ht="15">
      <c r="A186" s="94"/>
      <c r="B186" s="94"/>
      <c r="C186" s="92"/>
      <c r="D186" s="92"/>
      <c r="E186" s="92"/>
      <c r="F186" s="92"/>
      <c r="G186" s="92"/>
    </row>
    <row r="187" spans="1:7" ht="15">
      <c r="A187" s="94"/>
      <c r="B187" s="94"/>
      <c r="C187" s="92"/>
      <c r="D187" s="92"/>
      <c r="E187" s="92"/>
      <c r="F187" s="92"/>
      <c r="G187" s="92"/>
    </row>
    <row r="188" spans="1:7" ht="15">
      <c r="A188" s="94"/>
      <c r="B188" s="94"/>
      <c r="C188" s="92"/>
      <c r="D188" s="92"/>
      <c r="E188" s="92"/>
      <c r="F188" s="92"/>
      <c r="G188" s="92"/>
    </row>
    <row r="189" spans="1:7" ht="15">
      <c r="A189" s="94"/>
      <c r="B189" s="94"/>
      <c r="C189" s="92"/>
      <c r="D189" s="92"/>
      <c r="E189" s="92"/>
      <c r="F189" s="92"/>
      <c r="G189" s="92"/>
    </row>
    <row r="190" spans="1:7" ht="15">
      <c r="A190" s="94"/>
      <c r="B190" s="94"/>
      <c r="C190" s="92"/>
      <c r="D190" s="92"/>
      <c r="E190" s="92"/>
      <c r="F190" s="92"/>
      <c r="G190" s="92"/>
    </row>
    <row r="191" spans="1:7" ht="15">
      <c r="A191" s="94"/>
      <c r="B191" s="94"/>
      <c r="C191" s="92"/>
      <c r="D191" s="92"/>
      <c r="E191" s="92"/>
      <c r="F191" s="92"/>
      <c r="G191" s="92"/>
    </row>
    <row r="192" spans="1:7" ht="15">
      <c r="A192" s="94"/>
      <c r="B192" s="94"/>
      <c r="C192" s="92"/>
      <c r="D192" s="92"/>
      <c r="E192" s="92"/>
      <c r="F192" s="92"/>
      <c r="G192" s="92"/>
    </row>
    <row r="193" spans="1:7" ht="15">
      <c r="A193" s="94"/>
      <c r="B193" s="94"/>
      <c r="C193" s="92"/>
      <c r="D193" s="92"/>
      <c r="E193" s="92"/>
      <c r="F193" s="92"/>
      <c r="G193" s="92"/>
    </row>
    <row r="194" spans="1:7" ht="15">
      <c r="A194" s="94"/>
      <c r="B194" s="94"/>
      <c r="C194" s="92"/>
      <c r="D194" s="92"/>
      <c r="E194" s="92"/>
      <c r="F194" s="92"/>
      <c r="G194" s="92"/>
    </row>
    <row r="195" spans="1:7" ht="15">
      <c r="A195" s="94"/>
      <c r="B195" s="94"/>
      <c r="C195" s="92"/>
      <c r="D195" s="92"/>
      <c r="E195" s="92"/>
      <c r="F195" s="92"/>
      <c r="G195" s="92"/>
    </row>
    <row r="196" spans="1:7" ht="15">
      <c r="A196" s="94"/>
      <c r="B196" s="94"/>
      <c r="C196" s="92"/>
      <c r="D196" s="92"/>
      <c r="E196" s="92"/>
      <c r="F196" s="92"/>
      <c r="G196" s="92"/>
    </row>
    <row r="197" spans="1:7" ht="15">
      <c r="A197" s="94"/>
      <c r="B197" s="94"/>
      <c r="C197" s="92"/>
      <c r="D197" s="92"/>
      <c r="E197" s="92"/>
      <c r="F197" s="92"/>
      <c r="G197" s="92"/>
    </row>
    <row r="198" spans="1:7" ht="15">
      <c r="A198" s="94"/>
      <c r="B198" s="94"/>
      <c r="C198" s="92"/>
      <c r="D198" s="92"/>
      <c r="E198" s="92"/>
      <c r="F198" s="92"/>
      <c r="G198" s="92"/>
    </row>
    <row r="199" spans="1:7" ht="15">
      <c r="A199" s="94"/>
      <c r="B199" s="94"/>
      <c r="C199" s="92"/>
      <c r="D199" s="92"/>
      <c r="E199" s="92"/>
      <c r="F199" s="92"/>
      <c r="G199" s="92"/>
    </row>
    <row r="200" spans="1:7" ht="15">
      <c r="A200" s="94"/>
      <c r="B200" s="94"/>
      <c r="C200" s="92"/>
      <c r="D200" s="92"/>
      <c r="E200" s="92"/>
      <c r="F200" s="92"/>
      <c r="G200" s="92"/>
    </row>
    <row r="201" spans="1:7" ht="15">
      <c r="A201" s="94"/>
      <c r="B201" s="94"/>
      <c r="C201" s="92"/>
      <c r="D201" s="92"/>
      <c r="E201" s="92"/>
      <c r="F201" s="92"/>
      <c r="G201" s="92"/>
    </row>
    <row r="202" spans="1:7" ht="15">
      <c r="A202" s="94"/>
      <c r="B202" s="94"/>
      <c r="C202" s="92"/>
      <c r="D202" s="92"/>
      <c r="E202" s="92"/>
      <c r="F202" s="92"/>
      <c r="G202" s="92"/>
    </row>
    <row r="203" spans="1:7" ht="15">
      <c r="A203" s="94"/>
      <c r="B203" s="94"/>
      <c r="C203" s="92"/>
      <c r="D203" s="92"/>
      <c r="E203" s="92"/>
      <c r="F203" s="92"/>
      <c r="G203" s="92"/>
    </row>
    <row r="204" spans="1:7" ht="15">
      <c r="A204" s="94"/>
      <c r="B204" s="94"/>
      <c r="C204" s="92"/>
      <c r="D204" s="92"/>
      <c r="E204" s="92"/>
      <c r="F204" s="92"/>
      <c r="G204" s="92"/>
    </row>
    <row r="205" spans="1:7" ht="15">
      <c r="A205" s="94"/>
      <c r="B205" s="94"/>
      <c r="C205" s="92"/>
      <c r="D205" s="92"/>
      <c r="E205" s="92"/>
      <c r="F205" s="92"/>
      <c r="G205" s="92"/>
    </row>
    <row r="206" spans="1:7" ht="15">
      <c r="A206" s="94"/>
      <c r="B206" s="94"/>
      <c r="C206" s="92"/>
      <c r="D206" s="92"/>
      <c r="E206" s="92"/>
      <c r="F206" s="92"/>
      <c r="G206" s="92"/>
    </row>
    <row r="207" spans="1:7" ht="15">
      <c r="A207" s="94"/>
      <c r="B207" s="94"/>
      <c r="C207" s="92"/>
      <c r="D207" s="92"/>
      <c r="E207" s="92"/>
      <c r="F207" s="92"/>
      <c r="G207" s="92"/>
    </row>
    <row r="208" spans="1:7" ht="15">
      <c r="A208" s="94"/>
      <c r="B208" s="94"/>
      <c r="C208" s="92"/>
      <c r="D208" s="92"/>
      <c r="E208" s="92"/>
      <c r="F208" s="92"/>
      <c r="G208" s="92"/>
    </row>
    <row r="209" spans="1:7" ht="15">
      <c r="A209" s="94"/>
      <c r="B209" s="94"/>
      <c r="C209" s="92"/>
      <c r="D209" s="92"/>
      <c r="E209" s="92"/>
      <c r="F209" s="92"/>
      <c r="G209" s="92"/>
    </row>
    <row r="210" spans="1:7" ht="15">
      <c r="A210" s="94"/>
      <c r="B210" s="94"/>
      <c r="C210" s="92"/>
      <c r="D210" s="92"/>
      <c r="E210" s="92"/>
      <c r="F210" s="92"/>
      <c r="G210" s="92"/>
    </row>
    <row r="211" spans="1:7" ht="15">
      <c r="A211" s="94"/>
      <c r="B211" s="94"/>
      <c r="C211" s="92"/>
      <c r="D211" s="92"/>
      <c r="E211" s="92"/>
      <c r="F211" s="92"/>
      <c r="G211" s="92"/>
    </row>
    <row r="212" spans="1:7" ht="15">
      <c r="A212" s="94"/>
      <c r="B212" s="94"/>
      <c r="C212" s="92"/>
      <c r="D212" s="92"/>
      <c r="E212" s="92"/>
      <c r="F212" s="92"/>
      <c r="G212" s="92"/>
    </row>
    <row r="213" spans="1:7" ht="15">
      <c r="A213" s="94"/>
      <c r="B213" s="94"/>
      <c r="C213" s="92"/>
      <c r="D213" s="92"/>
      <c r="E213" s="92"/>
      <c r="F213" s="92"/>
      <c r="G213" s="92"/>
    </row>
    <row r="214" spans="1:7" ht="15">
      <c r="A214" s="94"/>
      <c r="B214" s="94"/>
      <c r="C214" s="92"/>
      <c r="D214" s="92"/>
      <c r="E214" s="92"/>
      <c r="F214" s="92"/>
      <c r="G214" s="92"/>
    </row>
    <row r="215" spans="1:7" ht="15">
      <c r="A215" s="94"/>
      <c r="B215" s="94"/>
      <c r="C215" s="92"/>
      <c r="D215" s="92"/>
      <c r="E215" s="92"/>
      <c r="F215" s="92"/>
      <c r="G215" s="92"/>
    </row>
    <row r="216" spans="1:7" ht="15">
      <c r="A216" s="94"/>
      <c r="B216" s="94"/>
      <c r="C216" s="92"/>
      <c r="D216" s="92"/>
      <c r="E216" s="92"/>
      <c r="F216" s="92"/>
      <c r="G216" s="92"/>
    </row>
    <row r="217" spans="1:7" ht="15">
      <c r="A217" s="94"/>
      <c r="B217" s="94"/>
      <c r="C217" s="92"/>
      <c r="D217" s="92"/>
      <c r="E217" s="92"/>
      <c r="F217" s="92"/>
      <c r="G217" s="92"/>
    </row>
    <row r="218" spans="1:7" ht="15">
      <c r="A218" s="94"/>
      <c r="B218" s="94"/>
      <c r="C218" s="92"/>
      <c r="D218" s="92"/>
      <c r="E218" s="92"/>
      <c r="F218" s="92"/>
      <c r="G218" s="92"/>
    </row>
    <row r="219" spans="1:7" ht="15">
      <c r="A219" s="94"/>
      <c r="B219" s="94"/>
      <c r="C219" s="92"/>
      <c r="D219" s="92"/>
      <c r="E219" s="92"/>
      <c r="F219" s="92"/>
      <c r="G219" s="92"/>
    </row>
    <row r="220" spans="1:7" ht="15">
      <c r="A220" s="94"/>
      <c r="B220" s="94"/>
      <c r="C220" s="92"/>
      <c r="D220" s="92"/>
      <c r="E220" s="92"/>
      <c r="F220" s="92"/>
      <c r="G220" s="92"/>
    </row>
    <row r="221" spans="1:7" ht="15">
      <c r="A221" s="94"/>
      <c r="B221" s="94"/>
      <c r="C221" s="92"/>
      <c r="D221" s="92"/>
      <c r="E221" s="92"/>
      <c r="F221" s="92"/>
      <c r="G221" s="92"/>
    </row>
    <row r="222" spans="1:7" ht="15">
      <c r="A222" s="94"/>
      <c r="B222" s="94"/>
      <c r="C222" s="92"/>
      <c r="D222" s="92"/>
      <c r="E222" s="92"/>
      <c r="F222" s="92"/>
      <c r="G222" s="92"/>
    </row>
    <row r="223" spans="1:7" ht="15">
      <c r="A223" s="94"/>
      <c r="B223" s="94"/>
      <c r="C223" s="92"/>
      <c r="D223" s="92"/>
      <c r="E223" s="92"/>
      <c r="F223" s="92"/>
      <c r="G223" s="92"/>
    </row>
    <row r="224" spans="1:7" ht="15">
      <c r="A224" s="94"/>
      <c r="B224" s="94"/>
      <c r="C224" s="92"/>
      <c r="D224" s="92"/>
      <c r="E224" s="92"/>
      <c r="F224" s="92"/>
      <c r="G224" s="92"/>
    </row>
    <row r="225" spans="1:7" ht="15">
      <c r="A225" s="94"/>
      <c r="B225" s="94"/>
      <c r="C225" s="92"/>
      <c r="D225" s="92"/>
      <c r="E225" s="92"/>
      <c r="F225" s="92"/>
      <c r="G225" s="92"/>
    </row>
    <row r="226" spans="1:7" ht="15">
      <c r="A226" s="94"/>
      <c r="B226" s="94"/>
      <c r="C226" s="92"/>
      <c r="D226" s="92"/>
      <c r="E226" s="92"/>
      <c r="F226" s="92"/>
      <c r="G226" s="92"/>
    </row>
    <row r="227" spans="1:7" ht="15">
      <c r="A227" s="94"/>
      <c r="B227" s="94"/>
      <c r="C227" s="92"/>
      <c r="D227" s="92"/>
      <c r="E227" s="92"/>
      <c r="F227" s="92"/>
      <c r="G227" s="92"/>
    </row>
    <row r="228" spans="1:7" ht="15">
      <c r="A228" s="94"/>
      <c r="B228" s="94"/>
      <c r="C228" s="92"/>
      <c r="D228" s="92"/>
      <c r="E228" s="92"/>
      <c r="F228" s="92"/>
      <c r="G228" s="92"/>
    </row>
    <row r="229" spans="1:7" ht="15">
      <c r="A229" s="94"/>
      <c r="B229" s="94"/>
      <c r="C229" s="92"/>
      <c r="D229" s="92"/>
      <c r="E229" s="92"/>
      <c r="F229" s="92"/>
      <c r="G229" s="92"/>
    </row>
    <row r="230" spans="1:7" ht="15">
      <c r="A230" s="94"/>
      <c r="B230" s="94"/>
      <c r="C230" s="92"/>
      <c r="D230" s="92"/>
      <c r="E230" s="92"/>
      <c r="F230" s="92"/>
      <c r="G230" s="92"/>
    </row>
    <row r="231" spans="1:7" ht="15">
      <c r="A231" s="94"/>
      <c r="B231" s="94"/>
      <c r="C231" s="92"/>
      <c r="D231" s="92"/>
      <c r="E231" s="92"/>
      <c r="F231" s="92"/>
      <c r="G231" s="92"/>
    </row>
    <row r="232" spans="1:7" ht="15">
      <c r="A232" s="94"/>
      <c r="B232" s="94"/>
      <c r="C232" s="92"/>
      <c r="D232" s="92"/>
      <c r="E232" s="92"/>
      <c r="F232" s="92"/>
      <c r="G232" s="92"/>
    </row>
    <row r="233" spans="1:7" ht="15">
      <c r="A233" s="94"/>
      <c r="B233" s="94"/>
      <c r="C233" s="92"/>
      <c r="D233" s="92"/>
      <c r="E233" s="92"/>
      <c r="F233" s="92"/>
      <c r="G233" s="92"/>
    </row>
    <row r="234" spans="1:7" ht="15">
      <c r="A234" s="94"/>
      <c r="B234" s="94"/>
      <c r="C234" s="92"/>
      <c r="D234" s="92"/>
      <c r="E234" s="92"/>
      <c r="F234" s="92"/>
      <c r="G234" s="92"/>
    </row>
    <row r="235" spans="1:7" ht="15">
      <c r="A235" s="94"/>
      <c r="B235" s="94"/>
      <c r="C235" s="92"/>
      <c r="D235" s="92"/>
      <c r="E235" s="92"/>
      <c r="F235" s="92"/>
      <c r="G235" s="92"/>
    </row>
    <row r="236" spans="1:7" ht="15">
      <c r="A236" s="94"/>
      <c r="B236" s="94"/>
      <c r="C236" s="92"/>
      <c r="D236" s="92"/>
      <c r="E236" s="92"/>
      <c r="F236" s="92"/>
      <c r="G236" s="92"/>
    </row>
    <row r="237" spans="1:7" ht="15">
      <c r="A237" s="94"/>
      <c r="B237" s="94"/>
      <c r="C237" s="92"/>
      <c r="D237" s="92"/>
      <c r="E237" s="92"/>
      <c r="F237" s="92"/>
      <c r="G237" s="92"/>
    </row>
    <row r="238" spans="1:7" ht="15">
      <c r="A238" s="94"/>
      <c r="B238" s="94"/>
      <c r="C238" s="92"/>
      <c r="D238" s="92"/>
      <c r="E238" s="92"/>
      <c r="F238" s="92"/>
      <c r="G238" s="92"/>
    </row>
    <row r="239" spans="1:7" ht="15">
      <c r="A239" s="94"/>
      <c r="B239" s="94"/>
      <c r="C239" s="92"/>
      <c r="D239" s="92"/>
      <c r="E239" s="92"/>
      <c r="F239" s="92"/>
      <c r="G239" s="92"/>
    </row>
    <row r="240" spans="1:7" ht="15">
      <c r="A240" s="94"/>
      <c r="B240" s="94"/>
      <c r="C240" s="92"/>
      <c r="D240" s="92"/>
      <c r="E240" s="92"/>
      <c r="F240" s="92"/>
      <c r="G240" s="92"/>
    </row>
    <row r="241" spans="1:7" ht="15">
      <c r="A241" s="94"/>
      <c r="B241" s="94"/>
      <c r="C241" s="92"/>
      <c r="D241" s="92"/>
      <c r="E241" s="92"/>
      <c r="F241" s="92"/>
      <c r="G241" s="92"/>
    </row>
    <row r="242" spans="1:7" ht="15">
      <c r="A242" s="94"/>
      <c r="B242" s="94"/>
      <c r="C242" s="92"/>
      <c r="D242" s="92"/>
      <c r="E242" s="92"/>
      <c r="F242" s="92"/>
      <c r="G242" s="92"/>
    </row>
    <row r="243" spans="1:7" ht="15">
      <c r="A243" s="94"/>
      <c r="B243" s="94"/>
      <c r="C243" s="92"/>
      <c r="D243" s="92"/>
      <c r="E243" s="92"/>
      <c r="F243" s="92"/>
      <c r="G243" s="92"/>
    </row>
    <row r="244" spans="1:7" ht="15">
      <c r="A244" s="94"/>
      <c r="B244" s="94"/>
      <c r="C244" s="92"/>
      <c r="D244" s="92"/>
      <c r="E244" s="92"/>
      <c r="F244" s="92"/>
      <c r="G244" s="92"/>
    </row>
    <row r="245" spans="1:7" ht="15">
      <c r="A245" s="94"/>
      <c r="B245" s="94"/>
      <c r="C245" s="92"/>
      <c r="D245" s="92"/>
      <c r="E245" s="92"/>
      <c r="F245" s="92"/>
      <c r="G245" s="92"/>
    </row>
    <row r="246" spans="1:7" ht="15">
      <c r="A246" s="94"/>
      <c r="B246" s="94"/>
      <c r="C246" s="92"/>
      <c r="D246" s="92"/>
      <c r="E246" s="92"/>
      <c r="F246" s="92"/>
      <c r="G246" s="92"/>
    </row>
    <row r="247" spans="1:7" ht="15">
      <c r="A247" s="94"/>
      <c r="B247" s="94"/>
      <c r="C247" s="92"/>
      <c r="D247" s="92"/>
      <c r="E247" s="92"/>
      <c r="F247" s="92"/>
      <c r="G247" s="92"/>
    </row>
    <row r="248" spans="1:7" ht="15">
      <c r="A248" s="94"/>
      <c r="B248" s="94"/>
      <c r="C248" s="92"/>
      <c r="D248" s="92"/>
      <c r="E248" s="92"/>
      <c r="F248" s="92"/>
      <c r="G248" s="92"/>
    </row>
    <row r="249" spans="1:7" ht="15">
      <c r="A249" s="94"/>
      <c r="B249" s="94"/>
      <c r="C249" s="92"/>
      <c r="D249" s="92"/>
      <c r="E249" s="92"/>
      <c r="F249" s="92"/>
      <c r="G249" s="92"/>
    </row>
    <row r="250" spans="1:7" ht="15">
      <c r="A250" s="94"/>
      <c r="B250" s="94"/>
      <c r="C250" s="92"/>
      <c r="D250" s="92"/>
      <c r="E250" s="92"/>
      <c r="F250" s="92"/>
      <c r="G250" s="92"/>
    </row>
    <row r="251" spans="1:7" ht="15">
      <c r="A251" s="94"/>
      <c r="B251" s="94"/>
      <c r="C251" s="92"/>
      <c r="D251" s="92"/>
      <c r="E251" s="92"/>
      <c r="F251" s="92"/>
      <c r="G251" s="92"/>
    </row>
    <row r="252" spans="1:7" ht="15">
      <c r="A252" s="94"/>
      <c r="B252" s="94"/>
      <c r="C252" s="92"/>
      <c r="D252" s="92"/>
      <c r="E252" s="92"/>
      <c r="F252" s="92"/>
      <c r="G252" s="92"/>
    </row>
    <row r="253" spans="1:7" ht="15">
      <c r="A253" s="94"/>
      <c r="B253" s="94"/>
      <c r="C253" s="92"/>
      <c r="D253" s="92"/>
      <c r="E253" s="92"/>
      <c r="F253" s="92"/>
      <c r="G253" s="92"/>
    </row>
    <row r="254" spans="1:7" ht="15">
      <c r="A254" s="94"/>
      <c r="B254" s="94"/>
      <c r="C254" s="92"/>
      <c r="D254" s="92"/>
      <c r="E254" s="92"/>
      <c r="F254" s="92"/>
      <c r="G254" s="92"/>
    </row>
    <row r="255" spans="1:7" ht="15">
      <c r="A255" s="94"/>
      <c r="B255" s="94"/>
      <c r="C255" s="92"/>
      <c r="D255" s="92"/>
      <c r="E255" s="92"/>
      <c r="F255" s="92"/>
      <c r="G255" s="92"/>
    </row>
    <row r="256" spans="1:7" ht="15">
      <c r="A256" s="94"/>
      <c r="B256" s="94"/>
      <c r="C256" s="92"/>
      <c r="D256" s="92"/>
      <c r="E256" s="92"/>
      <c r="F256" s="92"/>
      <c r="G256" s="92"/>
    </row>
    <row r="257" spans="1:7" ht="15">
      <c r="A257" s="94"/>
      <c r="B257" s="94"/>
      <c r="C257" s="92"/>
      <c r="D257" s="92"/>
      <c r="E257" s="92"/>
      <c r="F257" s="92"/>
      <c r="G257" s="92"/>
    </row>
    <row r="258" spans="1:7" ht="15">
      <c r="A258" s="94"/>
      <c r="B258" s="94"/>
      <c r="C258" s="92"/>
      <c r="D258" s="92"/>
      <c r="E258" s="92"/>
      <c r="F258" s="92"/>
      <c r="G258" s="92"/>
    </row>
    <row r="259" spans="1:7" ht="15">
      <c r="A259" s="94"/>
      <c r="B259" s="94"/>
      <c r="C259" s="92"/>
      <c r="D259" s="92"/>
      <c r="E259" s="92"/>
      <c r="F259" s="92"/>
      <c r="G259" s="92"/>
    </row>
    <row r="260" spans="1:7" ht="15">
      <c r="A260" s="94"/>
      <c r="B260" s="94"/>
      <c r="C260" s="92"/>
      <c r="D260" s="92"/>
      <c r="E260" s="92"/>
      <c r="F260" s="92"/>
      <c r="G260" s="92"/>
    </row>
    <row r="261" spans="1:7" ht="15">
      <c r="A261" s="94"/>
      <c r="B261" s="94"/>
      <c r="C261" s="92"/>
      <c r="D261" s="92"/>
      <c r="E261" s="92"/>
      <c r="F261" s="92"/>
      <c r="G261" s="92"/>
    </row>
    <row r="262" spans="1:7" ht="15">
      <c r="A262" s="94"/>
      <c r="B262" s="94"/>
      <c r="C262" s="92"/>
      <c r="D262" s="92"/>
      <c r="E262" s="92"/>
      <c r="F262" s="92"/>
      <c r="G262" s="92"/>
    </row>
    <row r="263" spans="1:7" ht="15">
      <c r="A263" s="94"/>
      <c r="B263" s="94"/>
      <c r="C263" s="92"/>
      <c r="D263" s="92"/>
      <c r="E263" s="92"/>
      <c r="F263" s="92"/>
      <c r="G263" s="92"/>
    </row>
    <row r="264" spans="1:7" ht="15">
      <c r="A264" s="94"/>
      <c r="B264" s="94"/>
      <c r="C264" s="92"/>
      <c r="D264" s="92"/>
      <c r="E264" s="92"/>
      <c r="F264" s="92"/>
      <c r="G264" s="92"/>
    </row>
    <row r="265" spans="1:7" ht="15">
      <c r="A265" s="94"/>
      <c r="B265" s="94"/>
      <c r="C265" s="92"/>
      <c r="D265" s="92"/>
      <c r="E265" s="92"/>
      <c r="F265" s="92"/>
      <c r="G265" s="92"/>
    </row>
    <row r="266" spans="1:7" ht="15">
      <c r="A266" s="94"/>
      <c r="B266" s="94"/>
      <c r="C266" s="92"/>
      <c r="D266" s="92"/>
      <c r="E266" s="92"/>
      <c r="F266" s="92"/>
      <c r="G266" s="92"/>
    </row>
    <row r="267" spans="1:7" ht="15">
      <c r="A267" s="94"/>
      <c r="B267" s="94"/>
      <c r="C267" s="92"/>
      <c r="D267" s="92"/>
      <c r="E267" s="92"/>
      <c r="F267" s="92"/>
      <c r="G267" s="92"/>
    </row>
    <row r="268" spans="1:7" ht="15">
      <c r="A268" s="94"/>
      <c r="B268" s="94"/>
      <c r="C268" s="92"/>
      <c r="D268" s="92"/>
      <c r="E268" s="92"/>
      <c r="F268" s="92"/>
      <c r="G268" s="92"/>
    </row>
    <row r="269" spans="1:7" ht="15">
      <c r="A269" s="94"/>
      <c r="B269" s="94"/>
      <c r="C269" s="92"/>
      <c r="D269" s="92"/>
      <c r="E269" s="92"/>
      <c r="F269" s="92"/>
      <c r="G269" s="92"/>
    </row>
    <row r="270" spans="1:7" ht="15">
      <c r="A270" s="94"/>
      <c r="B270" s="94"/>
      <c r="C270" s="92"/>
      <c r="D270" s="92"/>
      <c r="E270" s="92"/>
      <c r="F270" s="92"/>
      <c r="G270" s="92"/>
    </row>
    <row r="271" spans="1:7" ht="15">
      <c r="A271" s="94"/>
      <c r="B271" s="94"/>
      <c r="C271" s="92"/>
      <c r="D271" s="92"/>
      <c r="E271" s="92"/>
      <c r="F271" s="92"/>
      <c r="G271" s="92"/>
    </row>
    <row r="272" spans="1:7" ht="15">
      <c r="A272" s="94"/>
      <c r="B272" s="94"/>
      <c r="C272" s="92"/>
      <c r="D272" s="92"/>
      <c r="E272" s="92"/>
      <c r="F272" s="92"/>
      <c r="G272" s="92"/>
    </row>
    <row r="273" spans="1:7" ht="15">
      <c r="A273" s="94"/>
      <c r="B273" s="94"/>
      <c r="C273" s="92"/>
      <c r="D273" s="92"/>
      <c r="E273" s="92"/>
      <c r="F273" s="92"/>
      <c r="G273" s="92"/>
    </row>
    <row r="274" spans="1:7" ht="15">
      <c r="A274" s="94"/>
      <c r="B274" s="94"/>
      <c r="C274" s="92"/>
      <c r="D274" s="92"/>
      <c r="E274" s="92"/>
      <c r="F274" s="92"/>
      <c r="G274" s="92"/>
    </row>
    <row r="275" spans="1:7" ht="15">
      <c r="A275" s="94"/>
      <c r="B275" s="94"/>
      <c r="C275" s="92"/>
      <c r="D275" s="92"/>
      <c r="E275" s="92"/>
      <c r="F275" s="92"/>
      <c r="G275" s="92"/>
    </row>
    <row r="276" spans="1:7" ht="15">
      <c r="A276" s="94"/>
      <c r="B276" s="94"/>
      <c r="C276" s="92"/>
      <c r="D276" s="92"/>
      <c r="E276" s="92"/>
      <c r="F276" s="92"/>
      <c r="G276" s="92"/>
    </row>
    <row r="277" spans="1:7" ht="15">
      <c r="A277" s="94"/>
      <c r="B277" s="94"/>
      <c r="C277" s="92"/>
      <c r="D277" s="92"/>
      <c r="E277" s="92"/>
      <c r="F277" s="92"/>
      <c r="G277" s="92"/>
    </row>
    <row r="278" spans="1:7" ht="15">
      <c r="A278" s="94"/>
      <c r="B278" s="94"/>
      <c r="C278" s="92"/>
      <c r="D278" s="92"/>
      <c r="E278" s="92"/>
      <c r="F278" s="92"/>
      <c r="G278" s="92"/>
    </row>
    <row r="279" spans="1:7" ht="15">
      <c r="A279" s="94"/>
      <c r="B279" s="94"/>
      <c r="C279" s="92"/>
      <c r="D279" s="92"/>
      <c r="E279" s="92"/>
      <c r="F279" s="92"/>
      <c r="G279" s="92"/>
    </row>
    <row r="280" spans="1:7" ht="15">
      <c r="A280" s="94"/>
      <c r="B280" s="94"/>
      <c r="C280" s="92"/>
      <c r="D280" s="92"/>
      <c r="E280" s="92"/>
      <c r="F280" s="92"/>
      <c r="G280" s="92"/>
    </row>
    <row r="281" spans="1:7" ht="15">
      <c r="A281" s="94"/>
      <c r="B281" s="94"/>
      <c r="C281" s="92"/>
      <c r="D281" s="92"/>
      <c r="E281" s="92"/>
      <c r="F281" s="92"/>
      <c r="G281" s="92"/>
    </row>
    <row r="282" spans="1:7" ht="15">
      <c r="A282" s="94"/>
      <c r="B282" s="94"/>
      <c r="C282" s="92"/>
      <c r="D282" s="92"/>
      <c r="E282" s="92"/>
      <c r="F282" s="92"/>
      <c r="G282" s="92"/>
    </row>
    <row r="283" spans="1:7" ht="15">
      <c r="A283" s="94"/>
      <c r="B283" s="94"/>
      <c r="C283" s="92"/>
      <c r="D283" s="92"/>
      <c r="E283" s="92"/>
      <c r="F283" s="92"/>
      <c r="G283" s="92"/>
    </row>
    <row r="284" spans="1:7" ht="15">
      <c r="A284" s="94"/>
      <c r="B284" s="94"/>
      <c r="C284" s="92"/>
      <c r="D284" s="92"/>
      <c r="E284" s="92"/>
      <c r="F284" s="92"/>
      <c r="G284" s="92"/>
    </row>
    <row r="285" spans="1:7" ht="15">
      <c r="A285" s="94"/>
      <c r="B285" s="94"/>
      <c r="C285" s="92"/>
      <c r="D285" s="92"/>
      <c r="E285" s="92"/>
      <c r="F285" s="92"/>
      <c r="G285" s="92"/>
    </row>
    <row r="286" spans="1:7" ht="15">
      <c r="A286" s="94"/>
      <c r="B286" s="94"/>
      <c r="C286" s="92"/>
      <c r="D286" s="92"/>
      <c r="E286" s="92"/>
      <c r="F286" s="92"/>
      <c r="G286" s="92"/>
    </row>
    <row r="287" spans="1:7" ht="15">
      <c r="A287" s="94"/>
      <c r="B287" s="94"/>
      <c r="C287" s="92"/>
      <c r="D287" s="92"/>
      <c r="E287" s="92"/>
      <c r="F287" s="92"/>
      <c r="G287" s="92"/>
    </row>
    <row r="288" spans="1:7" ht="15">
      <c r="A288" s="94"/>
      <c r="B288" s="94"/>
      <c r="C288" s="92"/>
      <c r="D288" s="92"/>
      <c r="E288" s="92"/>
      <c r="F288" s="92"/>
      <c r="G288" s="92"/>
    </row>
    <row r="289" spans="1:7" ht="15">
      <c r="A289" s="94"/>
      <c r="B289" s="94"/>
      <c r="C289" s="92"/>
      <c r="D289" s="92"/>
      <c r="E289" s="92"/>
      <c r="F289" s="92"/>
      <c r="G289" s="92"/>
    </row>
    <row r="290" spans="1:7" ht="15">
      <c r="A290" s="94"/>
      <c r="B290" s="94"/>
      <c r="C290" s="92"/>
      <c r="D290" s="92"/>
      <c r="E290" s="92"/>
      <c r="F290" s="92"/>
      <c r="G290" s="92"/>
    </row>
    <row r="291" spans="1:7" ht="15">
      <c r="A291" s="94"/>
      <c r="B291" s="94"/>
      <c r="C291" s="92"/>
      <c r="D291" s="92"/>
      <c r="E291" s="92"/>
      <c r="F291" s="92"/>
      <c r="G291" s="92"/>
    </row>
    <row r="292" spans="1:7" ht="15">
      <c r="A292" s="94"/>
      <c r="B292" s="94"/>
      <c r="C292" s="92"/>
      <c r="D292" s="92"/>
      <c r="E292" s="92"/>
      <c r="F292" s="92"/>
      <c r="G292" s="92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8"/>
      <c r="D2" s="95"/>
      <c r="E2" s="95"/>
      <c r="F2" s="95"/>
      <c r="G2" s="95"/>
      <c r="H2" s="95"/>
    </row>
    <row r="3" spans="3:8" ht="15">
      <c r="C3" s="88" t="s">
        <v>272</v>
      </c>
      <c r="D3" s="95" t="str">
        <f>+Input!D6</f>
        <v>Anno 1</v>
      </c>
      <c r="E3" s="95" t="str">
        <f>+Input!E6</f>
        <v>Anno 2</v>
      </c>
      <c r="F3" s="95" t="str">
        <f>+Input!F6</f>
        <v>Anno 3</v>
      </c>
      <c r="G3" s="95" t="str">
        <f>+Input!G6</f>
        <v>Anno 4</v>
      </c>
      <c r="H3" s="95" t="str">
        <f>+Input!H6</f>
        <v>Anno 5</v>
      </c>
    </row>
    <row r="4" spans="3:8" ht="15">
      <c r="C4" s="89"/>
      <c r="D4" s="89"/>
      <c r="E4" s="89"/>
      <c r="F4" s="89"/>
      <c r="G4" s="89"/>
      <c r="H4" s="89"/>
    </row>
    <row r="5" spans="3:8" ht="15">
      <c r="C5" s="89" t="s">
        <v>250</v>
      </c>
      <c r="D5" s="90">
        <f>+'CE'!D47</f>
        <v>-29709.88</v>
      </c>
      <c r="E5" s="90">
        <f>+'CE'!E47</f>
        <v>-7640.371467999968</v>
      </c>
      <c r="F5" s="90">
        <f>+'CE'!F47</f>
        <v>20390.00000000003</v>
      </c>
      <c r="G5" s="90">
        <f>+'CE'!G47</f>
        <v>23004.5119561031</v>
      </c>
      <c r="H5" s="90">
        <f>+'CE'!H47</f>
        <v>23141.714151328262</v>
      </c>
    </row>
    <row r="6" spans="3:8" ht="15">
      <c r="C6" s="89"/>
      <c r="D6" s="89"/>
      <c r="E6" s="89"/>
      <c r="F6" s="89"/>
      <c r="G6" s="89"/>
      <c r="H6" s="89"/>
    </row>
    <row r="7" spans="3:8" ht="15">
      <c r="C7" s="89" t="s">
        <v>273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</row>
    <row r="8" spans="3:8" ht="15">
      <c r="C8" s="89"/>
      <c r="D8" s="89"/>
      <c r="E8" s="89"/>
      <c r="F8" s="89"/>
      <c r="G8" s="89"/>
      <c r="H8" s="89"/>
    </row>
    <row r="9" spans="3:8" ht="15">
      <c r="C9" s="89" t="s">
        <v>357</v>
      </c>
      <c r="D9" s="96">
        <f>+Input!$D$20</f>
        <v>1</v>
      </c>
      <c r="E9" s="96">
        <f>+Input!$D$20</f>
        <v>1</v>
      </c>
      <c r="F9" s="96">
        <f>+Input!$D$20</f>
        <v>1</v>
      </c>
      <c r="G9" s="96">
        <f>+Input!$D$20</f>
        <v>1</v>
      </c>
      <c r="H9" s="96">
        <f>+Input!$D$20</f>
        <v>1</v>
      </c>
    </row>
    <row r="10" spans="3:8" ht="15">
      <c r="C10" s="89"/>
      <c r="D10" s="89"/>
      <c r="E10" s="89"/>
      <c r="F10" s="89"/>
      <c r="G10" s="89"/>
      <c r="H10" s="89"/>
    </row>
    <row r="11" spans="3:8" ht="15">
      <c r="C11" s="89" t="s">
        <v>275</v>
      </c>
      <c r="D11" s="90">
        <f>+D5*D7*D9</f>
        <v>-29709.88</v>
      </c>
      <c r="E11" s="90">
        <f>+E5*E7*E9</f>
        <v>-7640.371467999968</v>
      </c>
      <c r="F11" s="90">
        <f>+F5*F7*F9</f>
        <v>20390.00000000003</v>
      </c>
      <c r="G11" s="90">
        <f>+G5*G7*G9</f>
        <v>23004.5119561031</v>
      </c>
      <c r="H11" s="90">
        <f>+H5*H7*H9</f>
        <v>23141.714151328262</v>
      </c>
    </row>
    <row r="13" spans="3:8" ht="15">
      <c r="C13" t="s">
        <v>360</v>
      </c>
      <c r="D13" s="119">
        <f>+T23</f>
        <v>3192.89</v>
      </c>
      <c r="E13" s="119">
        <f>+U23</f>
        <v>3192.89</v>
      </c>
      <c r="F13" s="119">
        <f>+V23</f>
        <v>4360.567961000006</v>
      </c>
      <c r="G13" s="119">
        <f>+W23</f>
        <v>4919.812068410452</v>
      </c>
      <c r="H13" s="119">
        <f>+X23</f>
        <v>4949.159617969115</v>
      </c>
    </row>
    <row r="15" ht="15">
      <c r="H15" s="127"/>
    </row>
    <row r="18" spans="20:24" ht="15">
      <c r="T18" s="1" t="s">
        <v>261</v>
      </c>
      <c r="U18" s="1" t="s">
        <v>262</v>
      </c>
      <c r="V18" s="1" t="s">
        <v>263</v>
      </c>
      <c r="W18" s="1" t="s">
        <v>264</v>
      </c>
      <c r="X18" s="1" t="s">
        <v>265</v>
      </c>
    </row>
    <row r="19" spans="12:24" ht="25.5">
      <c r="L19" s="136" t="s">
        <v>358</v>
      </c>
      <c r="M19" s="137"/>
      <c r="N19" s="137"/>
      <c r="O19" s="138"/>
      <c r="P19" s="115" t="s">
        <v>363</v>
      </c>
      <c r="Q19" s="115" t="s">
        <v>361</v>
      </c>
      <c r="R19" s="115" t="s">
        <v>362</v>
      </c>
      <c r="S19" s="115" t="s">
        <v>364</v>
      </c>
      <c r="T19" s="121" t="s">
        <v>365</v>
      </c>
      <c r="U19" s="121" t="s">
        <v>365</v>
      </c>
      <c r="V19" s="121" t="s">
        <v>365</v>
      </c>
      <c r="W19" s="121" t="s">
        <v>365</v>
      </c>
      <c r="X19" s="121" t="s">
        <v>365</v>
      </c>
    </row>
    <row r="20" spans="12:24" ht="15">
      <c r="L20" s="136" t="s">
        <v>359</v>
      </c>
      <c r="M20" s="137"/>
      <c r="N20" s="137"/>
      <c r="O20" s="138"/>
      <c r="P20" s="118"/>
      <c r="Q20" s="118">
        <v>14931</v>
      </c>
      <c r="R20" s="118">
        <v>3192.89</v>
      </c>
      <c r="S20" s="118"/>
      <c r="T20" s="122">
        <f>+$R$20</f>
        <v>3192.89</v>
      </c>
      <c r="U20" s="122">
        <f>+$R$20</f>
        <v>3192.89</v>
      </c>
      <c r="V20" s="122">
        <f>+$R$20</f>
        <v>3192.89</v>
      </c>
      <c r="W20" s="122">
        <f>+$R$20</f>
        <v>3192.89</v>
      </c>
      <c r="X20" s="122">
        <f>+$R$20</f>
        <v>3192.89</v>
      </c>
    </row>
    <row r="21" spans="12:24" ht="15">
      <c r="L21" s="136" t="s">
        <v>359</v>
      </c>
      <c r="M21" s="137"/>
      <c r="N21" s="137"/>
      <c r="O21" s="138"/>
      <c r="P21" s="118">
        <v>14931.01</v>
      </c>
      <c r="Q21" s="118">
        <v>44204</v>
      </c>
      <c r="R21" s="118"/>
      <c r="S21" s="117">
        <v>0.2139</v>
      </c>
      <c r="T21" s="122">
        <f>+IF(D11&lt;$P$21,0,IF(D11&gt;$Q$21,(($Q$21-$P$21)*$S$21),((D11-$P$21)*$S$21)))</f>
        <v>0</v>
      </c>
      <c r="U21" s="122">
        <f>+IF(E11&lt;$P$21,0,IF(E11&gt;$Q$21,(($Q$21-$P$21)*$S$21),((E11-$P$21)*$S$21)))</f>
        <v>0</v>
      </c>
      <c r="V21" s="122">
        <f>+IF(F11&lt;$P$21,0,IF(F11&gt;$Q$21,(($Q$21-$P$21)*$S$21),((F11-$P$21)*$S$21)))</f>
        <v>1167.6779610000062</v>
      </c>
      <c r="W21" s="122">
        <f>+IF(G11&lt;$P$21,0,IF(G11&gt;$Q$21,(($Q$21-$P$21)*$S$21),((G11-$P$21)*$S$21)))</f>
        <v>1726.9220684104528</v>
      </c>
      <c r="X21" s="122">
        <f>+IF(H11&lt;$P$21,0,IF(H11&gt;$Q$21,(($Q$21-$P$21)*$S$21),((H11-$P$21)*$S$21)))</f>
        <v>1756.2696179691152</v>
      </c>
    </row>
    <row r="22" spans="12:24" ht="15">
      <c r="L22" s="136" t="s">
        <v>359</v>
      </c>
      <c r="M22" s="137"/>
      <c r="N22" s="137"/>
      <c r="O22" s="138"/>
      <c r="P22" s="118">
        <v>44204.01</v>
      </c>
      <c r="Q22" s="116"/>
      <c r="R22" s="117"/>
      <c r="S22" s="117">
        <v>0.2239</v>
      </c>
      <c r="T22" s="122">
        <f>+IF(D11&lt;$P$22,0,(D11-$P$22)*$S$22)</f>
        <v>0</v>
      </c>
      <c r="U22" s="122">
        <f>+IF(E11&lt;$P$22,0,(E11-$P$22)*$S$22)</f>
        <v>0</v>
      </c>
      <c r="V22" s="122">
        <f>+IF(F11&lt;$P$22,0,(F11-$P$22)*$S$22)</f>
        <v>0</v>
      </c>
      <c r="W22" s="122">
        <f>+IF(G11&lt;$P$22,0,(G11-$P$22)*$S$22)</f>
        <v>0</v>
      </c>
      <c r="X22" s="122">
        <f>+IF(H11&lt;$P$22,0,(H11-$P$22)*$S$22)</f>
        <v>0</v>
      </c>
    </row>
    <row r="23" spans="4:24" ht="15">
      <c r="D23" s="114"/>
      <c r="S23" s="8" t="s">
        <v>15</v>
      </c>
      <c r="T23" s="120">
        <f>SUM(T20:T22)</f>
        <v>3192.89</v>
      </c>
      <c r="U23" s="120">
        <f>SUM(U20:U22)</f>
        <v>3192.89</v>
      </c>
      <c r="V23" s="120">
        <f>SUM(V20:V22)</f>
        <v>4360.567961000006</v>
      </c>
      <c r="W23" s="120">
        <f>SUM(W20:W22)</f>
        <v>4919.812068410452</v>
      </c>
      <c r="X23" s="120">
        <f>SUM(X20:X22)</f>
        <v>4949.159617969115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9" t="str">
        <f>+SP!C3</f>
        <v>Anno 1</v>
      </c>
      <c r="D2" s="9" t="str">
        <f>+SP!D3</f>
        <v>Anno 2</v>
      </c>
      <c r="E2" s="9" t="str">
        <f>+SP!E3</f>
        <v>Anno 3</v>
      </c>
      <c r="F2" s="9" t="str">
        <f>+SP!F3</f>
        <v>Anno 4</v>
      </c>
      <c r="G2" s="9" t="str">
        <f>+SP!G3</f>
        <v>Anno 5</v>
      </c>
    </row>
    <row r="3" spans="2:7" ht="15">
      <c r="B3" t="s">
        <v>36</v>
      </c>
      <c r="C3" s="27">
        <f>+MCL!D55+finanziamento!E33+Input!D22+'Mutuo invitalia'!E33+Input!D140</f>
        <v>322000</v>
      </c>
      <c r="D3" s="27">
        <f>+MCL!E55+finanziamento!F33+Input!E22+C3+'Mutuo invitalia'!F33+Input!E140</f>
        <v>680800</v>
      </c>
      <c r="E3" s="27">
        <f>+MCL!F55+finanziamento!G33+Input!F22+D3+'Mutuo invitalia'!G33+Input!F140</f>
        <v>1130920</v>
      </c>
      <c r="F3" s="27">
        <f>+MCL!G55+finanziamento!H33+Input!G22+E3+'Mutuo invitalia'!H33+Input!G140</f>
        <v>1590720</v>
      </c>
      <c r="G3" s="27">
        <f>+MCL!H55+finanziamento!I33+Input!H22+F3+'Mutuo invitalia'!I33+Input!H140</f>
        <v>2050520</v>
      </c>
    </row>
    <row r="4" spans="2:7" ht="15">
      <c r="B4" t="s">
        <v>61</v>
      </c>
      <c r="C4" s="27">
        <f>+MCL!M55+Inve!M20+Personale!D23+finanziamento!E34+'Altri costi'!D51+Iva!C27+Irap!E23+Input!D23+MCL!D75+Input!D123+'Mutuo invitalia'!E34</f>
        <v>318996</v>
      </c>
      <c r="D4" s="27">
        <f>+MCL!N55+Inve!N20+Personale!E23+finanziamento!F34+'Altri costi'!E51+Iva!D27+Irap!F23+Input!E23+C4+MCL!E75+Input!E123-Input!D123+'Mutuo invitalia'!F34</f>
        <v>691007.42936</v>
      </c>
      <c r="E4" s="27">
        <f>+MCL!O55+Inve!O20+Personale!F23+finanziamento!G34+'Altri costi'!F51+Iva!E27+Irap!G23+Input!F23+D4+MCL!F75+Input!F123-Input!E123+'Mutuo invitalia'!G34</f>
        <v>1126147.422677903</v>
      </c>
      <c r="F4" s="27">
        <f>+MCL!P55+Inve!P20+Personale!G23+finanziamento!H34+'Altri costi'!G51+Iva!F27+Irap!H23+Input!G23+E4+MCL!G75+Input!G123-Input!F123+'Mutuo invitalia'!H34</f>
        <v>1555379.300483058</v>
      </c>
      <c r="G4" s="27">
        <f>+MCL!Q55+Inve!Q20+Personale!H23+finanziamento!I34+'Altri costi'!H51+Iva!G27+Irap!I23+Input!H23+F4+MCL!H75+Input!H123-Input!G123+'Mutuo invitalia'!I34</f>
        <v>1984756.544254501</v>
      </c>
    </row>
    <row r="6" spans="2:7" ht="15">
      <c r="B6" t="s">
        <v>332</v>
      </c>
      <c r="C6" s="87">
        <f>+IF((C3-C4)&gt;0,(C3-C4),0)</f>
        <v>3004</v>
      </c>
      <c r="D6" s="87">
        <f>+IF((D3-D4)&gt;0,(D3-D4),0)</f>
        <v>0</v>
      </c>
      <c r="E6" s="87">
        <f>+IF((E3-E4)&gt;0,(E3-E4),0)</f>
        <v>4772.5773220970295</v>
      </c>
      <c r="F6" s="87">
        <f>+IF((F3-F4)&gt;0,(F3-F4),0)</f>
        <v>35340.699516942026</v>
      </c>
      <c r="G6" s="87">
        <f>+IF((G3-G4)&gt;0,(G3-G4),0)</f>
        <v>65763.45574549912</v>
      </c>
    </row>
    <row r="7" spans="2:7" ht="15">
      <c r="B7" t="s">
        <v>333</v>
      </c>
      <c r="C7" s="87">
        <f>+IF((C3-C4)&lt;0,-(C3-C4),0)</f>
        <v>0</v>
      </c>
      <c r="D7" s="87">
        <f>+IF((D3-D4)&lt;0,-(D3-D4),0)</f>
        <v>10207.429359999951</v>
      </c>
      <c r="E7" s="87">
        <f>+IF((E3-E4)&lt;0,-(E3-E4),0)</f>
        <v>0</v>
      </c>
      <c r="F7" s="87">
        <f>+IF((F3-F4)&lt;0,-(F3-F4),0)</f>
        <v>0</v>
      </c>
      <c r="G7" s="87">
        <f>+IF((G3-G4)&lt;0,-(G3-G4),0)</f>
        <v>0</v>
      </c>
    </row>
    <row r="9" spans="2:7" ht="15">
      <c r="B9" t="s">
        <v>334</v>
      </c>
      <c r="C9" s="87">
        <f>+C7*Input!$D$116</f>
        <v>0</v>
      </c>
      <c r="D9" s="87">
        <f>+D7*Input!$D$116</f>
        <v>510.37146799999755</v>
      </c>
      <c r="E9" s="87">
        <f>+E7*Input!$D$116</f>
        <v>0</v>
      </c>
      <c r="F9" s="87">
        <f>+F7*Input!$D$116</f>
        <v>0</v>
      </c>
      <c r="G9" s="87">
        <f>+G7*Input!$D$116</f>
        <v>0</v>
      </c>
    </row>
    <row r="10" spans="2:7" ht="15">
      <c r="B10" t="s">
        <v>341</v>
      </c>
      <c r="C10" s="87">
        <f>+C6*Input!D118</f>
        <v>90.11999999999999</v>
      </c>
      <c r="D10" s="87">
        <f>+D6*Input!E118</f>
        <v>0</v>
      </c>
      <c r="E10" s="87">
        <f>+E6*Input!F118</f>
        <v>0</v>
      </c>
      <c r="F10" s="87">
        <f>+F6*Input!G118</f>
        <v>0</v>
      </c>
      <c r="G10" s="87">
        <f>+G6*Input!H118</f>
        <v>0</v>
      </c>
    </row>
    <row r="12" ht="15">
      <c r="B12" t="s">
        <v>344</v>
      </c>
    </row>
    <row r="13" spans="2:7" ht="15">
      <c r="B13" t="s">
        <v>334</v>
      </c>
      <c r="C13" s="87">
        <f>+C7*Input!$D$116</f>
        <v>0</v>
      </c>
      <c r="D13" s="87">
        <f>+D7*Input!$D$116+C13</f>
        <v>510.37146799999755</v>
      </c>
      <c r="E13" s="87">
        <f>+E7*Input!$D$116+D13</f>
        <v>510.37146799999755</v>
      </c>
      <c r="F13" s="87">
        <f>+F7*Input!$D$116+E13</f>
        <v>510.37146799999755</v>
      </c>
      <c r="G13" s="87">
        <f>+G7*Input!$D$116+F13</f>
        <v>510.37146799999755</v>
      </c>
    </row>
    <row r="14" spans="2:7" ht="15">
      <c r="B14" t="s">
        <v>341</v>
      </c>
      <c r="C14" s="87">
        <f>+C6*Input!D118</f>
        <v>90.11999999999999</v>
      </c>
      <c r="D14" s="87">
        <f>+D6*Input!E118+C14</f>
        <v>90.11999999999999</v>
      </c>
      <c r="E14" s="87">
        <f>+E6*Input!F118+D14</f>
        <v>90.11999999999999</v>
      </c>
      <c r="F14" s="87">
        <f>+F6*Input!G118+E14</f>
        <v>90.11999999999999</v>
      </c>
      <c r="G14" s="87">
        <f>+G6*Input!H118+F14</f>
        <v>90.11999999999999</v>
      </c>
    </row>
    <row r="16" spans="2:7" ht="15">
      <c r="B16" t="s">
        <v>336</v>
      </c>
      <c r="C16" s="87">
        <f>+C13</f>
        <v>0</v>
      </c>
      <c r="D16" s="87">
        <f aca="true" t="shared" si="0" ref="D16:G17">+D13</f>
        <v>510.37146799999755</v>
      </c>
      <c r="E16" s="87">
        <f t="shared" si="0"/>
        <v>510.37146799999755</v>
      </c>
      <c r="F16" s="87">
        <f t="shared" si="0"/>
        <v>510.37146799999755</v>
      </c>
      <c r="G16" s="87">
        <f t="shared" si="0"/>
        <v>510.37146799999755</v>
      </c>
    </row>
    <row r="17" spans="2:7" ht="15">
      <c r="B17" t="s">
        <v>342</v>
      </c>
      <c r="C17" s="87">
        <f>+C14</f>
        <v>90.11999999999999</v>
      </c>
      <c r="D17" s="87">
        <f t="shared" si="0"/>
        <v>90.11999999999999</v>
      </c>
      <c r="E17" s="87">
        <f t="shared" si="0"/>
        <v>90.11999999999999</v>
      </c>
      <c r="F17" s="87">
        <f t="shared" si="0"/>
        <v>90.11999999999999</v>
      </c>
      <c r="G17" s="87">
        <f t="shared" si="0"/>
        <v>90.11999999999999</v>
      </c>
    </row>
    <row r="18" spans="3:7" ht="15">
      <c r="C18" s="87"/>
      <c r="D18" s="87"/>
      <c r="E18" s="87"/>
      <c r="F18" s="87"/>
      <c r="G18" s="87"/>
    </row>
    <row r="19" spans="2:7" ht="15">
      <c r="B19" t="s">
        <v>343</v>
      </c>
      <c r="C19" s="87"/>
      <c r="D19" s="87"/>
      <c r="E19" s="87"/>
      <c r="F19" s="87"/>
      <c r="G19" s="87"/>
    </row>
    <row r="20" spans="2:7" ht="15">
      <c r="B20" t="s">
        <v>36</v>
      </c>
      <c r="C20" s="87">
        <f>+C3+C17</f>
        <v>322090.12</v>
      </c>
      <c r="D20" s="87">
        <f>+D3+D17</f>
        <v>680890.12</v>
      </c>
      <c r="E20" s="87">
        <f>+E3+E17</f>
        <v>1131010.12</v>
      </c>
      <c r="F20" s="87">
        <f>+F3+F17</f>
        <v>1590810.12</v>
      </c>
      <c r="G20" s="87">
        <f>+G3+G17</f>
        <v>2050610.12</v>
      </c>
    </row>
    <row r="21" spans="2:7" ht="15">
      <c r="B21" t="s">
        <v>61</v>
      </c>
      <c r="C21" s="87">
        <f>+C4+C16</f>
        <v>318996</v>
      </c>
      <c r="D21" s="87">
        <f>+D4+D16</f>
        <v>691517.800828</v>
      </c>
      <c r="E21" s="87">
        <f>+E4+E16</f>
        <v>1126657.794145903</v>
      </c>
      <c r="F21" s="87">
        <f>+F4+F16</f>
        <v>1555889.6719510579</v>
      </c>
      <c r="G21" s="87">
        <f>+G4+G16</f>
        <v>1985266.915722501</v>
      </c>
    </row>
    <row r="23" spans="2:7" ht="15">
      <c r="B23" t="s">
        <v>332</v>
      </c>
      <c r="C23" s="87">
        <f>+IF((C20-C21)&gt;0,(C20-C21),0)</f>
        <v>3094.1199999999953</v>
      </c>
      <c r="D23" s="87">
        <f>+IF((D20-D21)&gt;0,(D20-D21),0)</f>
        <v>0</v>
      </c>
      <c r="E23" s="87">
        <f>+IF((E20-E21)&gt;0,(E20-E21),0)</f>
        <v>4352.325854097027</v>
      </c>
      <c r="F23" s="87">
        <f>+IF((F20-F21)&gt;0,(F20-F21),0)</f>
        <v>34920.44804894226</v>
      </c>
      <c r="G23" s="87">
        <f>+IF((G20-G21)&gt;0,(G20-G21),0)</f>
        <v>65343.20427749911</v>
      </c>
    </row>
    <row r="24" spans="2:7" ht="15">
      <c r="B24" t="s">
        <v>333</v>
      </c>
      <c r="C24" s="87">
        <f>+IF((C20-C21)&lt;0,-(C20-C21),0)</f>
        <v>0</v>
      </c>
      <c r="D24" s="87">
        <f>+IF((D20-D21)&lt;0,-(D20-D21),0)</f>
        <v>10627.680827999953</v>
      </c>
      <c r="E24" s="87">
        <f>+IF((E20-E21)&lt;0,-(E20-E21),0)</f>
        <v>0</v>
      </c>
      <c r="F24" s="87">
        <f>+IF((F20-F21)&lt;0,-(F20-F21),0)</f>
        <v>0</v>
      </c>
      <c r="G24" s="87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111.421875" style="0" customWidth="1"/>
  </cols>
  <sheetData>
    <row r="1" ht="51">
      <c r="A1" s="141" t="s">
        <v>404</v>
      </c>
    </row>
    <row r="2" ht="15">
      <c r="A2" s="140"/>
    </row>
    <row r="3" ht="15">
      <c r="A3" s="142" t="s">
        <v>405</v>
      </c>
    </row>
    <row r="4" ht="15">
      <c r="A4" s="143"/>
    </row>
    <row r="5" ht="25.5">
      <c r="A5" s="141" t="s">
        <v>406</v>
      </c>
    </row>
    <row r="6" ht="15">
      <c r="A6" s="141" t="s">
        <v>407</v>
      </c>
    </row>
    <row r="7" ht="15">
      <c r="A7" s="140"/>
    </row>
    <row r="8" ht="15">
      <c r="A8" s="142" t="s">
        <v>408</v>
      </c>
    </row>
    <row r="9" ht="15">
      <c r="A9" s="140"/>
    </row>
    <row r="10" ht="63.75">
      <c r="A10" s="142" t="s">
        <v>409</v>
      </c>
    </row>
    <row r="11" ht="15">
      <c r="A11" s="140"/>
    </row>
    <row r="12" ht="15">
      <c r="A12" s="142" t="s">
        <v>410</v>
      </c>
    </row>
    <row r="13" ht="15">
      <c r="A13" s="140"/>
    </row>
    <row r="14" ht="25.5">
      <c r="A14" s="142" t="s">
        <v>411</v>
      </c>
    </row>
    <row r="15" ht="15">
      <c r="A15" s="143"/>
    </row>
    <row r="16" ht="15">
      <c r="A16" s="141" t="s">
        <v>412</v>
      </c>
    </row>
    <row r="17" ht="15">
      <c r="A17" s="144"/>
    </row>
    <row r="18" ht="15">
      <c r="A18" s="142" t="s">
        <v>413</v>
      </c>
    </row>
    <row r="19" ht="15">
      <c r="A19" s="142" t="s">
        <v>414</v>
      </c>
    </row>
    <row r="20" ht="15">
      <c r="A20" s="142" t="s">
        <v>415</v>
      </c>
    </row>
    <row r="21" ht="38.25">
      <c r="A21" s="141" t="s">
        <v>416</v>
      </c>
    </row>
    <row r="22" ht="15">
      <c r="A22" s="144"/>
    </row>
    <row r="23" ht="15">
      <c r="A23" s="142" t="s">
        <v>417</v>
      </c>
    </row>
    <row r="24" ht="15">
      <c r="A24" s="142" t="s">
        <v>418</v>
      </c>
    </row>
    <row r="25" ht="15">
      <c r="A25" s="142" t="s">
        <v>419</v>
      </c>
    </row>
    <row r="26" ht="15">
      <c r="A26" s="142" t="s">
        <v>420</v>
      </c>
    </row>
    <row r="27" ht="38.25">
      <c r="A27" s="142" t="s">
        <v>421</v>
      </c>
    </row>
    <row r="28" ht="15">
      <c r="A28" s="142"/>
    </row>
    <row r="29" ht="25.5">
      <c r="A29" s="146" t="s">
        <v>422</v>
      </c>
    </row>
    <row r="30" ht="15">
      <c r="A30" s="147"/>
    </row>
    <row r="31" ht="15">
      <c r="A31" s="148" t="s">
        <v>423</v>
      </c>
    </row>
    <row r="32" ht="15">
      <c r="A32" s="148" t="s">
        <v>424</v>
      </c>
    </row>
    <row r="33" ht="25.5">
      <c r="A33" s="148" t="s">
        <v>425</v>
      </c>
    </row>
    <row r="34" ht="38.25">
      <c r="A34" s="148" t="s">
        <v>426</v>
      </c>
    </row>
    <row r="35" ht="15">
      <c r="A35" s="1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L47"/>
  <sheetViews>
    <sheetView showGridLines="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6" sqref="E46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7" t="s">
        <v>347</v>
      </c>
    </row>
    <row r="3" spans="3:7" ht="15">
      <c r="C3" s="9" t="str">
        <f>+Input!I27</f>
        <v>Anno 1</v>
      </c>
      <c r="D3" s="9" t="str">
        <f>+Input!J27</f>
        <v>Anno 2</v>
      </c>
      <c r="E3" s="9" t="str">
        <f>+Input!K27</f>
        <v>Anno 3</v>
      </c>
      <c r="F3" s="9" t="str">
        <f>+Input!L27</f>
        <v>Anno 4</v>
      </c>
      <c r="G3" s="9" t="str">
        <f>+Input!M27</f>
        <v>Anno 5</v>
      </c>
    </row>
    <row r="4" spans="2:12" ht="15">
      <c r="B4" s="8" t="s">
        <v>32</v>
      </c>
      <c r="C4" s="37">
        <f>+Banca!C23</f>
        <v>3094.1199999999953</v>
      </c>
      <c r="D4" s="37">
        <f>+Banca!D23</f>
        <v>0</v>
      </c>
      <c r="E4" s="37">
        <f>+Banca!E23</f>
        <v>4352.325854097027</v>
      </c>
      <c r="F4" s="37">
        <f>+Banca!F23</f>
        <v>34920.44804894226</v>
      </c>
      <c r="G4" s="37">
        <f>+Banca!G23</f>
        <v>65343.20427749911</v>
      </c>
      <c r="H4" s="27"/>
      <c r="I4" s="27"/>
      <c r="L4" s="27"/>
    </row>
    <row r="5" spans="2:12" ht="15">
      <c r="B5" s="8"/>
      <c r="C5" s="28"/>
      <c r="D5" s="28"/>
      <c r="E5" s="28"/>
      <c r="F5" s="28"/>
      <c r="G5" s="28"/>
      <c r="H5" s="27"/>
      <c r="I5" s="27"/>
      <c r="L5" s="27"/>
    </row>
    <row r="6" spans="2:12" ht="15">
      <c r="B6" s="8" t="s">
        <v>327</v>
      </c>
      <c r="C6" s="37">
        <f>SUM(C7:C9)</f>
        <v>4116</v>
      </c>
      <c r="D6" s="37">
        <f>SUM(D7:D9)</f>
        <v>0</v>
      </c>
      <c r="E6" s="37">
        <f>SUM(E7:E9)</f>
        <v>0</v>
      </c>
      <c r="F6" s="37">
        <f>SUM(F7:F9)</f>
        <v>0</v>
      </c>
      <c r="G6" s="37">
        <f>SUM(G7:G9)</f>
        <v>0</v>
      </c>
      <c r="H6" s="27"/>
      <c r="I6" s="27"/>
      <c r="L6" s="27"/>
    </row>
    <row r="7" spans="2:12" ht="15">
      <c r="B7" t="s">
        <v>17</v>
      </c>
      <c r="C7" s="28">
        <f>+MCL!D27</f>
        <v>0</v>
      </c>
      <c r="D7" s="28">
        <f>+MCL!E27</f>
        <v>0</v>
      </c>
      <c r="E7" s="28">
        <f>+MCL!F27</f>
        <v>0</v>
      </c>
      <c r="F7" s="28">
        <f>+MCL!G27</f>
        <v>0</v>
      </c>
      <c r="G7" s="28">
        <f>+MCL!H27</f>
        <v>0</v>
      </c>
      <c r="I7" s="27"/>
      <c r="L7" s="27"/>
    </row>
    <row r="8" spans="2:8" ht="15">
      <c r="B8" t="s">
        <v>23</v>
      </c>
      <c r="C8" s="28">
        <f>+Iva!C25</f>
        <v>4116</v>
      </c>
      <c r="D8" s="28">
        <f>+Iva!D25</f>
        <v>0</v>
      </c>
      <c r="E8" s="28">
        <f>+Iva!E25</f>
        <v>0</v>
      </c>
      <c r="F8" s="28">
        <f>+Iva!F25</f>
        <v>0</v>
      </c>
      <c r="G8" s="28">
        <f>+Iva!G25</f>
        <v>0</v>
      </c>
      <c r="H8" s="27"/>
    </row>
    <row r="9" spans="2:8" ht="15">
      <c r="B9" t="s">
        <v>298</v>
      </c>
      <c r="C9" s="28">
        <f>+Irap!E21</f>
        <v>0</v>
      </c>
      <c r="D9" s="28">
        <f>+Irap!F21</f>
        <v>0</v>
      </c>
      <c r="E9" s="28">
        <f>+Irap!G21</f>
        <v>0</v>
      </c>
      <c r="F9" s="28">
        <f>+Irap!H21</f>
        <v>0</v>
      </c>
      <c r="G9" s="28">
        <f>+Irap!I21</f>
        <v>0</v>
      </c>
      <c r="H9" s="27"/>
    </row>
    <row r="10" spans="3:8" ht="15">
      <c r="C10" s="28"/>
      <c r="D10" s="28"/>
      <c r="E10" s="28"/>
      <c r="F10" s="28"/>
      <c r="G10" s="28"/>
      <c r="H10" s="27"/>
    </row>
    <row r="11" spans="2:8" ht="15">
      <c r="B11" s="8" t="s">
        <v>38</v>
      </c>
      <c r="C11" s="37">
        <f>+MCL!M13</f>
        <v>0</v>
      </c>
      <c r="D11" s="37">
        <f>+MCL!N13</f>
        <v>0</v>
      </c>
      <c r="E11" s="37">
        <f>+MCL!O13</f>
        <v>0</v>
      </c>
      <c r="F11" s="37">
        <f>+MCL!P13</f>
        <v>0</v>
      </c>
      <c r="G11" s="37">
        <f>+MCL!Q13</f>
        <v>0</v>
      </c>
      <c r="H11" s="27"/>
    </row>
    <row r="13" spans="2:7" ht="15">
      <c r="B13" s="9" t="s">
        <v>39</v>
      </c>
      <c r="C13" s="37">
        <f>+C14+C15-C16-C17</f>
        <v>57600</v>
      </c>
      <c r="D13" s="37">
        <f>+D14+D15-D16-D17</f>
        <v>43200</v>
      </c>
      <c r="E13" s="37">
        <f>+E14+E15-E16-E17</f>
        <v>28800</v>
      </c>
      <c r="F13" s="37">
        <f>+F14+F15-F16-F17</f>
        <v>14400</v>
      </c>
      <c r="G13" s="37">
        <f>+G14+G15-G16-G17</f>
        <v>0</v>
      </c>
    </row>
    <row r="14" spans="2:7" ht="15">
      <c r="B14" t="s">
        <v>53</v>
      </c>
      <c r="C14" s="28">
        <f>+Input!E55</f>
        <v>72000</v>
      </c>
      <c r="D14" s="28">
        <f>+Input!F55+C14</f>
        <v>72000</v>
      </c>
      <c r="E14" s="28">
        <f>+Input!G55+D14</f>
        <v>72000</v>
      </c>
      <c r="F14" s="28">
        <f>+Input!H55+E14</f>
        <v>72000</v>
      </c>
      <c r="G14" s="28">
        <f>+Input!I55+F14</f>
        <v>72000</v>
      </c>
    </row>
    <row r="15" spans="2:7" ht="15">
      <c r="B15" t="s">
        <v>54</v>
      </c>
      <c r="C15" s="28">
        <f>+Input!E56</f>
        <v>0</v>
      </c>
      <c r="D15" s="28">
        <f>+Input!F56+C15</f>
        <v>0</v>
      </c>
      <c r="E15" s="28">
        <f>+Input!G56+D15</f>
        <v>0</v>
      </c>
      <c r="F15" s="28">
        <f>+Input!H56+E15</f>
        <v>0</v>
      </c>
      <c r="G15" s="28">
        <f>+Input!I56+F15</f>
        <v>0</v>
      </c>
    </row>
    <row r="16" spans="2:7" ht="15">
      <c r="B16" t="s">
        <v>55</v>
      </c>
      <c r="C16" s="28">
        <f>+Inve!D59</f>
        <v>14400</v>
      </c>
      <c r="D16" s="28">
        <f>+Inve!E59</f>
        <v>28800</v>
      </c>
      <c r="E16" s="28">
        <f>+Inve!F59</f>
        <v>43200</v>
      </c>
      <c r="F16" s="28">
        <f>+Inve!G59</f>
        <v>57600</v>
      </c>
      <c r="G16" s="28">
        <f>+Inve!H59</f>
        <v>72000</v>
      </c>
    </row>
    <row r="17" spans="2:7" ht="15">
      <c r="B17" t="s">
        <v>56</v>
      </c>
      <c r="C17" s="28">
        <f>+Inve!D60</f>
        <v>0</v>
      </c>
      <c r="D17" s="28">
        <f>+Inve!E60</f>
        <v>0</v>
      </c>
      <c r="E17" s="28">
        <f>+Inve!F60</f>
        <v>0</v>
      </c>
      <c r="F17" s="28">
        <f>+Inve!G60</f>
        <v>0</v>
      </c>
      <c r="G17" s="28">
        <f>+Inve!H60</f>
        <v>0</v>
      </c>
    </row>
    <row r="18" spans="3:7" ht="15">
      <c r="C18" s="28"/>
      <c r="D18" s="28"/>
      <c r="E18" s="28"/>
      <c r="F18" s="28"/>
      <c r="G18" s="28"/>
    </row>
    <row r="19" spans="2:7" ht="15">
      <c r="B19" t="s">
        <v>402</v>
      </c>
      <c r="C19" s="28">
        <f>+Input!D123</f>
        <v>35000</v>
      </c>
      <c r="D19" s="28">
        <f>+Input!E123</f>
        <v>35000</v>
      </c>
      <c r="E19" s="28">
        <f>+Input!F123</f>
        <v>50000</v>
      </c>
      <c r="F19" s="28">
        <f>+Input!G123</f>
        <v>50000</v>
      </c>
      <c r="G19" s="28">
        <f>+Input!H123</f>
        <v>50000</v>
      </c>
    </row>
    <row r="21" spans="2:12" ht="15">
      <c r="B21" s="8" t="s">
        <v>28</v>
      </c>
      <c r="C21" s="37">
        <f>+C13+C11+C6+C4+C19</f>
        <v>99810.12</v>
      </c>
      <c r="D21" s="37">
        <f>+D13+D11+D6+D4+D19</f>
        <v>78200</v>
      </c>
      <c r="E21" s="37">
        <f>+E13+E11+E6+E4+E19</f>
        <v>83152.32585409703</v>
      </c>
      <c r="F21" s="37">
        <f>+F13+F11+F6+F4+F19</f>
        <v>99320.44804894226</v>
      </c>
      <c r="G21" s="37">
        <f>+G13+G11+G6+G4+G19</f>
        <v>115343.20427749911</v>
      </c>
      <c r="H21" s="37"/>
      <c r="L21" s="27"/>
    </row>
    <row r="23" ht="15">
      <c r="D23" s="27"/>
    </row>
    <row r="24" spans="4:12" ht="15">
      <c r="D24" s="27"/>
      <c r="L24" s="27"/>
    </row>
    <row r="25" spans="2:8" ht="15">
      <c r="B25" s="8" t="s">
        <v>33</v>
      </c>
      <c r="C25" s="37">
        <f>+Banca!C24</f>
        <v>0</v>
      </c>
      <c r="D25" s="37">
        <f>+Banca!D24</f>
        <v>10627.680827999953</v>
      </c>
      <c r="E25" s="37">
        <f>+Banca!E24</f>
        <v>0</v>
      </c>
      <c r="F25" s="37">
        <f>+Banca!F24</f>
        <v>0</v>
      </c>
      <c r="G25" s="37">
        <f>+Banca!G24</f>
        <v>0</v>
      </c>
      <c r="H25" s="27"/>
    </row>
    <row r="26" spans="2:8" ht="15">
      <c r="B26" s="8"/>
      <c r="C26" s="28"/>
      <c r="D26" s="28"/>
      <c r="E26" s="28"/>
      <c r="F26" s="28"/>
      <c r="G26" s="28"/>
      <c r="H26" s="27"/>
    </row>
    <row r="27" spans="2:8" ht="15">
      <c r="B27" s="8" t="s">
        <v>328</v>
      </c>
      <c r="C27" s="37">
        <f>SUM(C28:C31)</f>
        <v>47622.71468</v>
      </c>
      <c r="D27" s="37">
        <f>SUM(D28:D31)</f>
        <v>1951.780832748003</v>
      </c>
      <c r="E27" s="37">
        <f>SUM(E28:E31)</f>
        <v>3887.065320000001</v>
      </c>
      <c r="F27" s="37">
        <f>SUM(F28:F31)</f>
        <v>4032.4312862880215</v>
      </c>
      <c r="G27" s="37">
        <f>SUM(G28:G31)</f>
        <v>4037.782171901803</v>
      </c>
      <c r="H27" s="27"/>
    </row>
    <row r="28" spans="2:12" ht="15">
      <c r="B28" t="s">
        <v>22</v>
      </c>
      <c r="C28" s="28">
        <f>+MCL!D41</f>
        <v>0</v>
      </c>
      <c r="D28" s="28">
        <f>+MCL!E41</f>
        <v>0</v>
      </c>
      <c r="E28" s="28">
        <f>+MCL!F41</f>
        <v>0</v>
      </c>
      <c r="F28" s="28">
        <f>+MCL!G41</f>
        <v>0</v>
      </c>
      <c r="G28" s="28">
        <f>+MCL!H41</f>
        <v>0</v>
      </c>
      <c r="L28" s="27"/>
    </row>
    <row r="29" spans="2:12" ht="15">
      <c r="B29" t="s">
        <v>62</v>
      </c>
      <c r="C29" s="28">
        <f>+Inve!M13</f>
        <v>47120</v>
      </c>
      <c r="D29" s="28">
        <f>+Inve!N13+C29</f>
        <v>0</v>
      </c>
      <c r="E29" s="28">
        <f>+Inve!O13+D29</f>
        <v>0</v>
      </c>
      <c r="F29" s="28">
        <f>+Inve!P13+E29</f>
        <v>0</v>
      </c>
      <c r="G29" s="28">
        <f>+Inve!Q13+F29</f>
        <v>0</v>
      </c>
      <c r="L29" s="27"/>
    </row>
    <row r="30" spans="2:12" ht="15">
      <c r="B30" t="s">
        <v>299</v>
      </c>
      <c r="C30" s="28">
        <f>+Irap!E20</f>
        <v>502.71468</v>
      </c>
      <c r="D30" s="28">
        <f>+Irap!F20</f>
        <v>943.7808327480012</v>
      </c>
      <c r="E30" s="28">
        <f>+Irap!G20</f>
        <v>2036.9653200000007</v>
      </c>
      <c r="F30" s="28">
        <f>+Irap!H20</f>
        <v>2138.9312862880197</v>
      </c>
      <c r="G30" s="28">
        <f>+Irap!I20</f>
        <v>2144.282171901801</v>
      </c>
      <c r="L30" s="27"/>
    </row>
    <row r="31" spans="2:8" ht="15">
      <c r="B31" t="s">
        <v>19</v>
      </c>
      <c r="C31" s="28">
        <f>+Iva!C26</f>
        <v>0</v>
      </c>
      <c r="D31" s="28">
        <f>+Iva!D26</f>
        <v>1008.0000000000018</v>
      </c>
      <c r="E31" s="28">
        <f>+Iva!E26</f>
        <v>1850.1000000000004</v>
      </c>
      <c r="F31" s="28">
        <f>+Iva!F26</f>
        <v>1893.5000000000018</v>
      </c>
      <c r="G31" s="28">
        <f>+Iva!G26</f>
        <v>1893.5000000000018</v>
      </c>
      <c r="H31" s="27"/>
    </row>
    <row r="32" spans="3:8" ht="15">
      <c r="C32" s="28"/>
      <c r="D32" s="28"/>
      <c r="E32" s="28"/>
      <c r="F32" s="28"/>
      <c r="G32" s="28"/>
      <c r="H32" s="27"/>
    </row>
    <row r="33" spans="2:8" ht="15">
      <c r="B33" s="8" t="s">
        <v>331</v>
      </c>
      <c r="C33" s="37">
        <f>SUM(C34:C38)</f>
        <v>82400</v>
      </c>
      <c r="D33" s="37">
        <f>SUM(D34:D38)</f>
        <v>104920</v>
      </c>
      <c r="E33" s="37">
        <f>SUM(E34:E38)</f>
        <v>100714.40219484501</v>
      </c>
      <c r="F33" s="37">
        <f>SUM(F34:F38)</f>
        <v>96374.29243358692</v>
      </c>
      <c r="G33" s="37">
        <f>SUM(G34:G38)</f>
        <v>91896.98047710367</v>
      </c>
      <c r="H33" s="27"/>
    </row>
    <row r="34" spans="2:8" ht="15">
      <c r="B34" t="s">
        <v>329</v>
      </c>
      <c r="C34" s="28">
        <f>+Personale!D22</f>
        <v>2400</v>
      </c>
      <c r="D34" s="28">
        <f>+Personale!E22+C34</f>
        <v>4920</v>
      </c>
      <c r="E34" s="28">
        <f>+Personale!F22+D34</f>
        <v>7440</v>
      </c>
      <c r="F34" s="28">
        <f>+Personale!G22+E34</f>
        <v>9960</v>
      </c>
      <c r="G34" s="28">
        <f>+Personale!H22+F34</f>
        <v>12480</v>
      </c>
      <c r="H34" s="27"/>
    </row>
    <row r="35" spans="2:8" ht="15">
      <c r="B35" t="s">
        <v>432</v>
      </c>
      <c r="C35" s="28">
        <f>+'Mutuo invitalia'!E22</f>
        <v>50000</v>
      </c>
      <c r="D35" s="28">
        <f>+'Mutuo invitalia'!F22</f>
        <v>50000</v>
      </c>
      <c r="E35" s="28">
        <f>+'Mutuo invitalia'!G22</f>
        <v>43274.40219484501</v>
      </c>
      <c r="F35" s="28">
        <f>+'Mutuo invitalia'!H22</f>
        <v>36414.29243358692</v>
      </c>
      <c r="G35" s="28">
        <f>+'Mutuo invitalia'!I22</f>
        <v>29416.98047710367</v>
      </c>
      <c r="H35" s="27"/>
    </row>
    <row r="36" spans="2:8" ht="15">
      <c r="B36" t="s">
        <v>223</v>
      </c>
      <c r="C36" s="104">
        <f>+finanziamento!E22</f>
        <v>0</v>
      </c>
      <c r="D36" s="104">
        <f>+finanziamento!F22</f>
        <v>0</v>
      </c>
      <c r="E36" s="104">
        <f>+finanziamento!G22</f>
        <v>0</v>
      </c>
      <c r="F36" s="104">
        <f>+finanziamento!H22</f>
        <v>0</v>
      </c>
      <c r="G36" s="104">
        <f>+finanziamento!I22</f>
        <v>0</v>
      </c>
      <c r="H36" s="27"/>
    </row>
    <row r="37" spans="2:8" ht="15">
      <c r="B37" t="s">
        <v>437</v>
      </c>
      <c r="C37" s="104">
        <f>+Input!D140</f>
        <v>30000</v>
      </c>
      <c r="D37" s="104">
        <f>+C37+Input!E140</f>
        <v>50000</v>
      </c>
      <c r="E37" s="104">
        <f>+D37+Input!F140</f>
        <v>50000</v>
      </c>
      <c r="F37" s="104">
        <f>+E37+Input!G140</f>
        <v>50000</v>
      </c>
      <c r="G37" s="104">
        <f>+F37+Input!H140</f>
        <v>50000</v>
      </c>
      <c r="H37" s="27"/>
    </row>
    <row r="38" spans="2:8" ht="15">
      <c r="B38" t="s">
        <v>330</v>
      </c>
      <c r="C38" s="104">
        <f>+Input!D22</f>
        <v>0</v>
      </c>
      <c r="D38" s="104">
        <f>+C38+Input!E22</f>
        <v>0</v>
      </c>
      <c r="E38" s="104">
        <f>+D38+Input!F22</f>
        <v>0</v>
      </c>
      <c r="F38" s="104">
        <f>+E38+Input!G22</f>
        <v>0</v>
      </c>
      <c r="G38" s="104">
        <f>+F38+Input!H22</f>
        <v>0</v>
      </c>
      <c r="H38" s="27"/>
    </row>
    <row r="40" spans="2:7" ht="15">
      <c r="B40" s="8" t="s">
        <v>250</v>
      </c>
      <c r="C40" s="37">
        <f>SUM(C41:C42)</f>
        <v>-30212.594680000002</v>
      </c>
      <c r="D40" s="37">
        <f>SUM(D41:D42)</f>
        <v>-39299.46166074797</v>
      </c>
      <c r="E40" s="37">
        <f>SUM(E41:E42)</f>
        <v>-21449.14166074794</v>
      </c>
      <c r="F40" s="37">
        <f>SUM(F41:F42)</f>
        <v>-1086.2756709328642</v>
      </c>
      <c r="G40" s="37">
        <f>SUM(G41:G42)</f>
        <v>19408.441628493598</v>
      </c>
    </row>
    <row r="41" spans="2:8" ht="15">
      <c r="B41" t="s">
        <v>31</v>
      </c>
      <c r="D41" s="28">
        <f>+C41+C42</f>
        <v>-30212.594680000002</v>
      </c>
      <c r="E41" s="28">
        <f>+D41+D42</f>
        <v>-39299.46166074797</v>
      </c>
      <c r="F41" s="28">
        <f>+E41+E42</f>
        <v>-21449.14166074794</v>
      </c>
      <c r="G41" s="28">
        <f>+F41+F42</f>
        <v>-1086.2756709328642</v>
      </c>
      <c r="H41" s="27"/>
    </row>
    <row r="42" spans="2:9" ht="15">
      <c r="B42" t="s">
        <v>30</v>
      </c>
      <c r="C42" s="28">
        <f>+'CE'!D51</f>
        <v>-30212.594680000002</v>
      </c>
      <c r="D42" s="28">
        <f>+'CE'!E51-Input!E23</f>
        <v>-9086.86698074797</v>
      </c>
      <c r="E42" s="28">
        <f>+'CE'!F51-Input!F23</f>
        <v>17850.32000000003</v>
      </c>
      <c r="F42" s="28">
        <f>+'CE'!G51-Input!G23</f>
        <v>20362.865989815076</v>
      </c>
      <c r="G42" s="28">
        <f>+'CE'!H51-Input!H23</f>
        <v>20494.717299426462</v>
      </c>
      <c r="H42" s="27"/>
      <c r="I42" s="27"/>
    </row>
    <row r="43" spans="2:8" ht="15">
      <c r="B43" s="8" t="s">
        <v>29</v>
      </c>
      <c r="C43" s="37">
        <f>+C25+C27+C33+C40</f>
        <v>99810.12</v>
      </c>
      <c r="D43" s="37">
        <f>+D25+D27+D33+D40</f>
        <v>78199.99999999999</v>
      </c>
      <c r="E43" s="37">
        <f>+E25+E27+E33+E40</f>
        <v>83152.32585409706</v>
      </c>
      <c r="F43" s="37">
        <f>+F25+F27+F33+F40</f>
        <v>99320.44804894207</v>
      </c>
      <c r="G43" s="37">
        <f>+G25+G27+G33+G40</f>
        <v>115343.20427749908</v>
      </c>
      <c r="H43" s="37"/>
    </row>
    <row r="45" spans="2:7" ht="15">
      <c r="B45" s="8" t="s">
        <v>323</v>
      </c>
      <c r="C45" s="27">
        <f>+C21-C43</f>
        <v>0</v>
      </c>
      <c r="D45" s="27">
        <f>+D21-D43</f>
        <v>0</v>
      </c>
      <c r="E45" s="27">
        <f>+E21-E43</f>
        <v>0</v>
      </c>
      <c r="F45" s="27">
        <f>+F21-F43</f>
        <v>1.8917489796876907E-10</v>
      </c>
      <c r="G45" s="27">
        <f>+G21-G43</f>
        <v>0</v>
      </c>
    </row>
    <row r="46" spans="3:7" ht="15">
      <c r="C46" s="27"/>
      <c r="D46" s="27"/>
      <c r="E46" s="27"/>
      <c r="F46" s="27"/>
      <c r="G46" s="27"/>
    </row>
    <row r="47" spans="5:7" ht="15">
      <c r="E47" s="27"/>
      <c r="F47" s="27"/>
      <c r="G47" s="27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H62"/>
  <sheetViews>
    <sheetView showGridLines="0" zoomScalePageLayoutView="0" workbookViewId="0" topLeftCell="A1">
      <pane xSplit="3" ySplit="2" topLeftCell="D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31" sqref="M31:N3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7" t="s">
        <v>347</v>
      </c>
    </row>
    <row r="2" spans="4:8" ht="15">
      <c r="D2" s="9" t="str">
        <f>+Input!I27</f>
        <v>Anno 1</v>
      </c>
      <c r="E2" s="9" t="str">
        <f>+Input!J27</f>
        <v>Anno 2</v>
      </c>
      <c r="F2" s="9" t="str">
        <f>+Input!K27</f>
        <v>Anno 3</v>
      </c>
      <c r="G2" s="9" t="str">
        <f>+Input!L27</f>
        <v>Anno 4</v>
      </c>
      <c r="H2" s="9" t="str">
        <f>+Input!M27</f>
        <v>Anno 5</v>
      </c>
    </row>
    <row r="3" spans="2:8" ht="15">
      <c r="B3" s="8" t="s">
        <v>0</v>
      </c>
      <c r="C3" s="8"/>
      <c r="D3" s="37">
        <f>+SUM(Input!I28:I36)</f>
        <v>200000</v>
      </c>
      <c r="E3" s="37">
        <f>+SUM(Input!J28:J36)</f>
        <v>280000</v>
      </c>
      <c r="F3" s="37">
        <f>+SUM(Input!K28:K36)</f>
        <v>372000</v>
      </c>
      <c r="G3" s="37">
        <f>+SUM(Input!L28:L36)</f>
        <v>380000</v>
      </c>
      <c r="H3" s="37">
        <f>+SUM(Input!M28:M36)</f>
        <v>380000</v>
      </c>
    </row>
    <row r="5" spans="2:8" ht="15">
      <c r="B5" s="8" t="s">
        <v>390</v>
      </c>
      <c r="D5" s="37">
        <f>+D6+D7</f>
        <v>138000</v>
      </c>
      <c r="E5" s="37">
        <f>+E6+E7</f>
        <v>193199.99999999997</v>
      </c>
      <c r="F5" s="37">
        <f>+F6+F7</f>
        <v>256679.99999999997</v>
      </c>
      <c r="G5" s="37">
        <f>+G6+G7</f>
        <v>262200</v>
      </c>
      <c r="H5" s="37">
        <f>+H6+H7</f>
        <v>262200</v>
      </c>
    </row>
    <row r="6" spans="2:8" ht="15">
      <c r="B6" t="s">
        <v>9</v>
      </c>
      <c r="C6" s="8"/>
      <c r="D6" s="37">
        <f>+MCL!D13</f>
        <v>138000</v>
      </c>
      <c r="E6" s="37">
        <f>+MCL!E13</f>
        <v>193199.99999999997</v>
      </c>
      <c r="F6" s="37">
        <f>+MCL!F13</f>
        <v>256679.99999999997</v>
      </c>
      <c r="G6" s="37">
        <f>+MCL!G13</f>
        <v>262200</v>
      </c>
      <c r="H6" s="37">
        <f>+MCL!H13</f>
        <v>262200</v>
      </c>
    </row>
    <row r="7" spans="2:8" ht="15">
      <c r="B7" t="s">
        <v>389</v>
      </c>
      <c r="C7" s="8"/>
      <c r="D7" s="37">
        <f>+MCL!D60</f>
        <v>0</v>
      </c>
      <c r="E7" s="37">
        <f>+MCL!E60</f>
        <v>0</v>
      </c>
      <c r="F7" s="37">
        <f>+MCL!F60</f>
        <v>0</v>
      </c>
      <c r="G7" s="37">
        <f>+MCL!G60</f>
        <v>0</v>
      </c>
      <c r="H7" s="37">
        <f>+MCL!H60</f>
        <v>0</v>
      </c>
    </row>
    <row r="8" spans="4:8" ht="15">
      <c r="D8" s="28"/>
      <c r="E8" s="28"/>
      <c r="F8" s="28"/>
      <c r="G8" s="28"/>
      <c r="H8" s="28"/>
    </row>
    <row r="9" spans="2:8" ht="15">
      <c r="B9" s="8" t="s">
        <v>324</v>
      </c>
      <c r="C9" s="8"/>
      <c r="D9" s="37">
        <f>+D3-D5</f>
        <v>62000</v>
      </c>
      <c r="E9" s="37">
        <f>+E3-E5</f>
        <v>86800.00000000003</v>
      </c>
      <c r="F9" s="37">
        <f>+F3-F5</f>
        <v>115320.00000000003</v>
      </c>
      <c r="G9" s="37">
        <f>+G3-G5</f>
        <v>117800</v>
      </c>
      <c r="H9" s="37">
        <f>+H3-H5</f>
        <v>117800</v>
      </c>
    </row>
    <row r="10" spans="2:8" ht="15">
      <c r="B10" t="s">
        <v>400</v>
      </c>
      <c r="D10" s="132">
        <f>+D9/D3</f>
        <v>0.31</v>
      </c>
      <c r="E10" s="132">
        <f>+E9/E3</f>
        <v>0.3100000000000001</v>
      </c>
      <c r="F10" s="132">
        <f>+F9/F3</f>
        <v>0.31000000000000005</v>
      </c>
      <c r="G10" s="132">
        <f>+G9/G3</f>
        <v>0.31</v>
      </c>
      <c r="H10" s="132">
        <f>+H9/H3</f>
        <v>0.31</v>
      </c>
    </row>
    <row r="12" spans="2:8" ht="15">
      <c r="B12" s="8" t="s">
        <v>225</v>
      </c>
      <c r="C12" s="8"/>
      <c r="D12" s="37">
        <f>SUM(D13:D33)</f>
        <v>34800</v>
      </c>
      <c r="E12" s="37">
        <f>SUM(E13:E33)</f>
        <v>34800</v>
      </c>
      <c r="F12" s="37">
        <f>SUM(F13:F33)</f>
        <v>34800</v>
      </c>
      <c r="G12" s="37">
        <f>SUM(G13:G33)</f>
        <v>34800</v>
      </c>
      <c r="H12" s="37">
        <f>SUM(H13:H33)</f>
        <v>34800</v>
      </c>
    </row>
    <row r="13" spans="2:8" ht="15">
      <c r="B13" t="str">
        <f>+Input!C92</f>
        <v>spese utenze</v>
      </c>
      <c r="D13" s="28">
        <f>+Input!F92</f>
        <v>6000</v>
      </c>
      <c r="E13" s="28">
        <f>+Input!G92</f>
        <v>6000</v>
      </c>
      <c r="F13" s="28">
        <f>+Input!H92</f>
        <v>6000</v>
      </c>
      <c r="G13" s="28">
        <f>+Input!I92</f>
        <v>6000</v>
      </c>
      <c r="H13" s="28">
        <f>+Input!J92</f>
        <v>6000</v>
      </c>
    </row>
    <row r="14" spans="2:8" ht="15">
      <c r="B14" t="str">
        <f>+Input!C93</f>
        <v>spese di rappresentanza</v>
      </c>
      <c r="D14" s="28">
        <f>+Input!F93</f>
        <v>0</v>
      </c>
      <c r="E14" s="28">
        <f>+Input!G93</f>
        <v>0</v>
      </c>
      <c r="F14" s="28">
        <f>+Input!H93</f>
        <v>0</v>
      </c>
      <c r="G14" s="28">
        <f>+Input!I93</f>
        <v>0</v>
      </c>
      <c r="H14" s="28">
        <f>+Input!J93</f>
        <v>0</v>
      </c>
    </row>
    <row r="15" spans="2:8" ht="15">
      <c r="B15" t="str">
        <f>+Input!C94</f>
        <v>spese di pubblicità e promozioni</v>
      </c>
      <c r="D15" s="28">
        <f>+Input!F94</f>
        <v>2000</v>
      </c>
      <c r="E15" s="28">
        <f>+Input!G94</f>
        <v>2000</v>
      </c>
      <c r="F15" s="28">
        <f>+Input!H94</f>
        <v>2000</v>
      </c>
      <c r="G15" s="28">
        <f>+Input!I94</f>
        <v>2000</v>
      </c>
      <c r="H15" s="28">
        <f>+Input!J94</f>
        <v>2000</v>
      </c>
    </row>
    <row r="16" spans="2:8" ht="15">
      <c r="B16" t="str">
        <f>+Input!C95</f>
        <v>beni strumentali inf. al milione</v>
      </c>
      <c r="D16" s="28">
        <f>+Input!F95</f>
        <v>0</v>
      </c>
      <c r="E16" s="28">
        <f>+Input!G95</f>
        <v>0</v>
      </c>
      <c r="F16" s="28">
        <f>+Input!H95</f>
        <v>0</v>
      </c>
      <c r="G16" s="28">
        <f>+Input!I95</f>
        <v>0</v>
      </c>
      <c r="H16" s="28">
        <f>+Input!J95</f>
        <v>0</v>
      </c>
    </row>
    <row r="17" spans="2:8" ht="15">
      <c r="B17" t="str">
        <f>+Input!C96</f>
        <v>spese di trasporto</v>
      </c>
      <c r="D17" s="28">
        <f>+Input!F96</f>
        <v>0</v>
      </c>
      <c r="E17" s="28">
        <f>+Input!G96</f>
        <v>0</v>
      </c>
      <c r="F17" s="28">
        <f>+Input!H96</f>
        <v>0</v>
      </c>
      <c r="G17" s="28">
        <f>+Input!I96</f>
        <v>0</v>
      </c>
      <c r="H17" s="28">
        <f>+Input!J96</f>
        <v>0</v>
      </c>
    </row>
    <row r="18" spans="2:8" ht="15">
      <c r="B18" t="str">
        <f>+Input!C97</f>
        <v>lavorazioni presso terzi</v>
      </c>
      <c r="D18" s="28">
        <f>+Input!F97</f>
        <v>0</v>
      </c>
      <c r="E18" s="28">
        <f>+Input!G97</f>
        <v>0</v>
      </c>
      <c r="F18" s="28">
        <f>+Input!H97</f>
        <v>0</v>
      </c>
      <c r="G18" s="28">
        <f>+Input!I97</f>
        <v>0</v>
      </c>
      <c r="H18" s="28">
        <f>+Input!J97</f>
        <v>0</v>
      </c>
    </row>
    <row r="19" spans="2:8" ht="15">
      <c r="B19" t="str">
        <f>+Input!C98</f>
        <v>consulenze legali, fiscali, notarili, ecc…</v>
      </c>
      <c r="D19" s="28">
        <f>+Input!F98</f>
        <v>600</v>
      </c>
      <c r="E19" s="28">
        <f>+Input!G98</f>
        <v>600</v>
      </c>
      <c r="F19" s="28">
        <f>+Input!H98</f>
        <v>600</v>
      </c>
      <c r="G19" s="28">
        <f>+Input!I98</f>
        <v>600</v>
      </c>
      <c r="H19" s="28">
        <f>+Input!J98</f>
        <v>600</v>
      </c>
    </row>
    <row r="20" spans="2:8" ht="15">
      <c r="B20" t="str">
        <f>+Input!C99</f>
        <v>compensi amministratori</v>
      </c>
      <c r="D20" s="28">
        <f>+Input!F99</f>
        <v>0</v>
      </c>
      <c r="E20" s="28">
        <f>+Input!G99</f>
        <v>0</v>
      </c>
      <c r="F20" s="28">
        <f>+Input!H99</f>
        <v>0</v>
      </c>
      <c r="G20" s="28">
        <f>+Input!I99</f>
        <v>0</v>
      </c>
      <c r="H20" s="28">
        <f>+Input!J99</f>
        <v>0</v>
      </c>
    </row>
    <row r="21" spans="2:8" ht="15">
      <c r="B21" t="str">
        <f>+Input!C100</f>
        <v>affitti </v>
      </c>
      <c r="D21" s="28">
        <f>+Input!F100</f>
        <v>24000</v>
      </c>
      <c r="E21" s="28">
        <f>+Input!G100</f>
        <v>24000</v>
      </c>
      <c r="F21" s="28">
        <f>+Input!H100</f>
        <v>24000</v>
      </c>
      <c r="G21" s="28">
        <f>+Input!I100</f>
        <v>24000</v>
      </c>
      <c r="H21" s="28">
        <f>+Input!J100</f>
        <v>24000</v>
      </c>
    </row>
    <row r="22" spans="2:8" ht="15">
      <c r="B22" t="str">
        <f>+Input!C101</f>
        <v>altri costi amministrativi</v>
      </c>
      <c r="D22" s="28">
        <f>+Input!F101</f>
        <v>0</v>
      </c>
      <c r="E22" s="28">
        <f>+Input!G101</f>
        <v>0</v>
      </c>
      <c r="F22" s="28">
        <f>+Input!H101</f>
        <v>0</v>
      </c>
      <c r="G22" s="28">
        <f>+Input!I101</f>
        <v>0</v>
      </c>
      <c r="H22" s="28">
        <f>+Input!J101</f>
        <v>0</v>
      </c>
    </row>
    <row r="23" spans="2:8" ht="15">
      <c r="B23" t="str">
        <f>+Input!C102</f>
        <v>Costi diversi</v>
      </c>
      <c r="D23" s="28">
        <f>+Input!F102</f>
        <v>1000</v>
      </c>
      <c r="E23" s="28">
        <f>+Input!G102</f>
        <v>1000</v>
      </c>
      <c r="F23" s="28">
        <f>+Input!H102</f>
        <v>1000</v>
      </c>
      <c r="G23" s="28">
        <f>+Input!I102</f>
        <v>1000</v>
      </c>
      <c r="H23" s="28">
        <f>+Input!J102</f>
        <v>1000</v>
      </c>
    </row>
    <row r="24" spans="2:8" ht="15">
      <c r="B24" t="str">
        <f>+Input!C103</f>
        <v>Premi assicurativi</v>
      </c>
      <c r="D24" s="28">
        <f>+Input!F103</f>
        <v>1000</v>
      </c>
      <c r="E24" s="28">
        <f>+Input!G103</f>
        <v>1000</v>
      </c>
      <c r="F24" s="28">
        <f>+Input!H103</f>
        <v>1000</v>
      </c>
      <c r="G24" s="28">
        <f>+Input!I103</f>
        <v>1000</v>
      </c>
      <c r="H24" s="28">
        <f>+Input!J103</f>
        <v>1000</v>
      </c>
    </row>
    <row r="25" spans="2:8" ht="15">
      <c r="B25" t="str">
        <f>+Input!C104</f>
        <v>Costo annuale fidejussione</v>
      </c>
      <c r="D25" s="28">
        <f>+Input!F104</f>
        <v>200</v>
      </c>
      <c r="E25" s="28">
        <f>+Input!G104</f>
        <v>200</v>
      </c>
      <c r="F25" s="28">
        <f>+Input!H104</f>
        <v>200</v>
      </c>
      <c r="G25" s="28">
        <f>+Input!I104</f>
        <v>200</v>
      </c>
      <c r="H25" s="28">
        <f>+Input!J104</f>
        <v>200</v>
      </c>
    </row>
    <row r="26" spans="2:8" ht="15">
      <c r="B26" t="str">
        <f>+Input!C105</f>
        <v>Altri costi 2</v>
      </c>
      <c r="D26" s="28">
        <f>+Input!F105</f>
        <v>0</v>
      </c>
      <c r="E26" s="28">
        <f>+Input!G105</f>
        <v>0</v>
      </c>
      <c r="F26" s="28">
        <f>+Input!H105</f>
        <v>0</v>
      </c>
      <c r="G26" s="28">
        <f>+Input!I105</f>
        <v>0</v>
      </c>
      <c r="H26" s="28">
        <f>+Input!J105</f>
        <v>0</v>
      </c>
    </row>
    <row r="27" spans="2:8" ht="15">
      <c r="B27" t="str">
        <f>+Input!C106</f>
        <v>Altri costi 3</v>
      </c>
      <c r="D27" s="28">
        <f>+Input!F106</f>
        <v>0</v>
      </c>
      <c r="E27" s="28">
        <f>+Input!G106</f>
        <v>0</v>
      </c>
      <c r="F27" s="28">
        <f>+Input!H106</f>
        <v>0</v>
      </c>
      <c r="G27" s="28">
        <f>+Input!I106</f>
        <v>0</v>
      </c>
      <c r="H27" s="28">
        <f>+Input!J106</f>
        <v>0</v>
      </c>
    </row>
    <row r="28" spans="2:8" ht="15">
      <c r="B28" t="str">
        <f>+Input!C107</f>
        <v>Altri costi 4</v>
      </c>
      <c r="D28" s="28">
        <f>+Input!F107</f>
        <v>0</v>
      </c>
      <c r="E28" s="28">
        <f>+Input!G107</f>
        <v>0</v>
      </c>
      <c r="F28" s="28">
        <f>+Input!H107</f>
        <v>0</v>
      </c>
      <c r="G28" s="28">
        <f>+Input!I107</f>
        <v>0</v>
      </c>
      <c r="H28" s="28">
        <f>+Input!J107</f>
        <v>0</v>
      </c>
    </row>
    <row r="29" spans="2:8" ht="15">
      <c r="B29" t="str">
        <f>+Input!C108</f>
        <v>Altri costi 5</v>
      </c>
      <c r="D29" s="28">
        <f>+Input!F108</f>
        <v>0</v>
      </c>
      <c r="E29" s="28">
        <f>+Input!G108</f>
        <v>0</v>
      </c>
      <c r="F29" s="28">
        <f>+Input!H108</f>
        <v>0</v>
      </c>
      <c r="G29" s="28">
        <f>+Input!I108</f>
        <v>0</v>
      </c>
      <c r="H29" s="28">
        <f>+Input!J108</f>
        <v>0</v>
      </c>
    </row>
    <row r="30" spans="2:8" ht="15">
      <c r="B30" t="str">
        <f>+Input!C109</f>
        <v>Altri costi 6</v>
      </c>
      <c r="D30" s="28">
        <f>+Input!F109</f>
        <v>0</v>
      </c>
      <c r="E30" s="28">
        <f>+Input!G109</f>
        <v>0</v>
      </c>
      <c r="F30" s="28">
        <f>+Input!H109</f>
        <v>0</v>
      </c>
      <c r="G30" s="28">
        <f>+Input!I109</f>
        <v>0</v>
      </c>
      <c r="H30" s="28">
        <f>+Input!J109</f>
        <v>0</v>
      </c>
    </row>
    <row r="31" spans="2:8" ht="15">
      <c r="B31" t="str">
        <f>+Input!C110</f>
        <v>Altri costi 7</v>
      </c>
      <c r="D31" s="28">
        <f>+Input!F110</f>
        <v>0</v>
      </c>
      <c r="E31" s="28">
        <f>+Input!G110</f>
        <v>0</v>
      </c>
      <c r="F31" s="28">
        <f>+Input!H110</f>
        <v>0</v>
      </c>
      <c r="G31" s="28">
        <f>+Input!I110</f>
        <v>0</v>
      </c>
      <c r="H31" s="28">
        <f>+Input!J110</f>
        <v>0</v>
      </c>
    </row>
    <row r="32" spans="2:8" ht="15">
      <c r="B32" t="str">
        <f>+Input!C111</f>
        <v>Altri costi 8</v>
      </c>
      <c r="D32" s="28">
        <f>+Input!F111</f>
        <v>0</v>
      </c>
      <c r="E32" s="28">
        <f>+Input!G111</f>
        <v>0</v>
      </c>
      <c r="F32" s="28">
        <f>+Input!H111</f>
        <v>0</v>
      </c>
      <c r="G32" s="28">
        <f>+Input!I111</f>
        <v>0</v>
      </c>
      <c r="H32" s="28">
        <f>+Input!J111</f>
        <v>0</v>
      </c>
    </row>
    <row r="33" spans="2:8" ht="15">
      <c r="B33" t="str">
        <f>+Input!C112</f>
        <v>Altri costi 9</v>
      </c>
      <c r="D33" s="28">
        <f>+Input!F112</f>
        <v>0</v>
      </c>
      <c r="E33" s="28">
        <f>+Input!G112</f>
        <v>0</v>
      </c>
      <c r="F33" s="28">
        <f>+Input!H112</f>
        <v>0</v>
      </c>
      <c r="G33" s="28">
        <f>+Input!I112</f>
        <v>0</v>
      </c>
      <c r="H33" s="28">
        <f>+Input!J112</f>
        <v>0</v>
      </c>
    </row>
    <row r="35" spans="2:8" ht="15">
      <c r="B35" s="8" t="s">
        <v>326</v>
      </c>
      <c r="C35" s="8"/>
      <c r="D35" s="37">
        <f>SUM(D36:D37)</f>
        <v>14400</v>
      </c>
      <c r="E35" s="37">
        <f>SUM(E36:E37)</f>
        <v>14400</v>
      </c>
      <c r="F35" s="37">
        <f>SUM(F36:F37)</f>
        <v>14400</v>
      </c>
      <c r="G35" s="37">
        <f>SUM(G36:G37)</f>
        <v>14400</v>
      </c>
      <c r="H35" s="37">
        <f>SUM(H36:H37)</f>
        <v>14400</v>
      </c>
    </row>
    <row r="36" spans="2:8" ht="15">
      <c r="B36" t="s">
        <v>51</v>
      </c>
      <c r="D36" s="28">
        <f>+Inve!D54</f>
        <v>14400</v>
      </c>
      <c r="E36" s="28">
        <f>+Inve!E54</f>
        <v>14400</v>
      </c>
      <c r="F36" s="28">
        <f>+Inve!F54</f>
        <v>14400</v>
      </c>
      <c r="G36" s="28">
        <f>+Inve!G54</f>
        <v>14400</v>
      </c>
      <c r="H36" s="28">
        <f>+Inve!H54</f>
        <v>14400</v>
      </c>
    </row>
    <row r="37" spans="2:8" ht="15">
      <c r="B37" t="s">
        <v>52</v>
      </c>
      <c r="D37" s="28">
        <f>+Inve!D55</f>
        <v>0</v>
      </c>
      <c r="E37" s="28">
        <f>+Inve!E55</f>
        <v>0</v>
      </c>
      <c r="F37" s="28">
        <f>+Inve!F55</f>
        <v>0</v>
      </c>
      <c r="G37" s="28">
        <f>+Inve!G55</f>
        <v>0</v>
      </c>
      <c r="H37" s="28">
        <f>+Inve!H55</f>
        <v>0</v>
      </c>
    </row>
    <row r="38" spans="4:8" ht="15">
      <c r="D38" s="28"/>
      <c r="E38" s="28"/>
      <c r="F38" s="28"/>
      <c r="G38" s="28"/>
      <c r="H38" s="28"/>
    </row>
    <row r="39" spans="2:8" ht="15">
      <c r="B39" s="8" t="s">
        <v>75</v>
      </c>
      <c r="C39" s="8"/>
      <c r="D39" s="37">
        <f>+Personale!D8</f>
        <v>42600</v>
      </c>
      <c r="E39" s="37">
        <f>+Personale!E8</f>
        <v>44730</v>
      </c>
      <c r="F39" s="37">
        <f>+Personale!F8</f>
        <v>44730</v>
      </c>
      <c r="G39" s="37">
        <f>+Personale!G8</f>
        <v>44730</v>
      </c>
      <c r="H39" s="37">
        <f>+Personale!H8</f>
        <v>44730</v>
      </c>
    </row>
    <row r="40" spans="4:8" ht="15">
      <c r="D40" s="28"/>
      <c r="E40" s="28"/>
      <c r="F40" s="28"/>
      <c r="G40" s="28"/>
      <c r="H40" s="28"/>
    </row>
    <row r="41" spans="2:8" ht="15">
      <c r="B41" s="8" t="s">
        <v>325</v>
      </c>
      <c r="C41" s="8"/>
      <c r="D41" s="37">
        <f>+D9-D12-D35-D39</f>
        <v>-29800</v>
      </c>
      <c r="E41" s="37">
        <f>+E9-E12-E35-E39</f>
        <v>-7129.999999999971</v>
      </c>
      <c r="F41" s="37">
        <f>+F9-F12-F35-F39</f>
        <v>21390.00000000003</v>
      </c>
      <c r="G41" s="37">
        <f>+G9-G12-G35-G39</f>
        <v>23870</v>
      </c>
      <c r="H41" s="37">
        <f>+H9-H12-H35-H39</f>
        <v>23870</v>
      </c>
    </row>
    <row r="42" spans="4:8" ht="15">
      <c r="D42" s="28"/>
      <c r="E42" s="28"/>
      <c r="F42" s="28"/>
      <c r="G42" s="28"/>
      <c r="H42" s="28"/>
    </row>
    <row r="43" spans="2:8" ht="15">
      <c r="B43" s="8" t="s">
        <v>340</v>
      </c>
      <c r="C43" s="8"/>
      <c r="D43" s="37">
        <f>-D44+D45</f>
        <v>90.11999999999999</v>
      </c>
      <c r="E43" s="37">
        <f>-E44+E45</f>
        <v>-510.37146799999755</v>
      </c>
      <c r="F43" s="37">
        <f>-F44+F45</f>
        <v>-1000.0000000000009</v>
      </c>
      <c r="G43" s="37">
        <f>-G44+G45</f>
        <v>-865.488043896901</v>
      </c>
      <c r="H43" s="37">
        <f>-H44+H45</f>
        <v>-728.285848671739</v>
      </c>
    </row>
    <row r="44" spans="2:8" ht="15">
      <c r="B44" t="s">
        <v>129</v>
      </c>
      <c r="D44" s="28">
        <f>+finanziamento!E28+Banca!C9+'Mutuo invitalia'!E28</f>
        <v>0</v>
      </c>
      <c r="E44" s="28">
        <f>+finanziamento!F28+Banca!D9+'Mutuo invitalia'!F28</f>
        <v>510.37146799999755</v>
      </c>
      <c r="F44" s="28">
        <f>+finanziamento!G28+Banca!E9+'Mutuo invitalia'!G28</f>
        <v>1000.0000000000009</v>
      </c>
      <c r="G44" s="28">
        <f>+finanziamento!H28+Banca!F9+'Mutuo invitalia'!H28</f>
        <v>865.488043896901</v>
      </c>
      <c r="H44" s="28">
        <f>+finanziamento!I28+Banca!G9+'Mutuo invitalia'!I28</f>
        <v>728.285848671739</v>
      </c>
    </row>
    <row r="45" spans="2:8" ht="15">
      <c r="B45" t="s">
        <v>339</v>
      </c>
      <c r="D45" s="28">
        <f>+Banca!C10</f>
        <v>90.11999999999999</v>
      </c>
      <c r="E45" s="28">
        <f>+Banca!D10</f>
        <v>0</v>
      </c>
      <c r="F45" s="28">
        <f>+Banca!E10</f>
        <v>0</v>
      </c>
      <c r="G45" s="28">
        <f>+Banca!F10</f>
        <v>0</v>
      </c>
      <c r="H45" s="28">
        <f>+Banca!G10</f>
        <v>0</v>
      </c>
    </row>
    <row r="47" spans="2:8" ht="15">
      <c r="B47" s="8" t="s">
        <v>248</v>
      </c>
      <c r="C47" s="8"/>
      <c r="D47" s="37">
        <f>+D41+D43</f>
        <v>-29709.88</v>
      </c>
      <c r="E47" s="37">
        <f>+E41+E43</f>
        <v>-7640.371467999968</v>
      </c>
      <c r="F47" s="37">
        <f>+F41+F43</f>
        <v>20390.00000000003</v>
      </c>
      <c r="G47" s="37">
        <f>+G41+G43</f>
        <v>23004.5119561031</v>
      </c>
      <c r="H47" s="37">
        <f>+H41+H43</f>
        <v>23141.714151328262</v>
      </c>
    </row>
    <row r="49" spans="2:8" ht="15">
      <c r="B49" t="s">
        <v>291</v>
      </c>
      <c r="D49" s="37">
        <f>+Irap!E16</f>
        <v>502.71468</v>
      </c>
      <c r="E49" s="37">
        <f>+Irap!F16</f>
        <v>1446.4955127480011</v>
      </c>
      <c r="F49" s="37">
        <f>+Irap!G16</f>
        <v>2539.680000000001</v>
      </c>
      <c r="G49" s="37">
        <f>+Irap!H16</f>
        <v>2641.645966288021</v>
      </c>
      <c r="H49" s="37">
        <f>+Irap!I16</f>
        <v>2646.996851901802</v>
      </c>
    </row>
    <row r="51" spans="2:8" ht="15">
      <c r="B51" s="8" t="s">
        <v>297</v>
      </c>
      <c r="D51" s="37">
        <f>+D47-D49</f>
        <v>-30212.594680000002</v>
      </c>
      <c r="E51" s="37">
        <f>+E47-E49</f>
        <v>-9086.86698074797</v>
      </c>
      <c r="F51" s="37">
        <f>+F47-F49</f>
        <v>17850.32000000003</v>
      </c>
      <c r="G51" s="37">
        <f>+G47-G49</f>
        <v>20362.865989815076</v>
      </c>
      <c r="H51" s="37">
        <f>+H47-H49</f>
        <v>20494.717299426462</v>
      </c>
    </row>
    <row r="52" spans="4:8" ht="15">
      <c r="D52" s="37"/>
      <c r="E52" s="37"/>
      <c r="F52" s="37"/>
      <c r="G52" s="37"/>
      <c r="H52" s="37"/>
    </row>
    <row r="53" spans="4:8" ht="15">
      <c r="D53" s="37"/>
      <c r="E53" s="37"/>
      <c r="F53" s="37"/>
      <c r="G53" s="37"/>
      <c r="H53" s="37"/>
    </row>
    <row r="54" ht="15.75" thickBot="1"/>
    <row r="55" spans="2:8" ht="15">
      <c r="B55" s="10"/>
      <c r="C55" s="11"/>
      <c r="D55" s="11"/>
      <c r="E55" s="11"/>
      <c r="F55" s="11"/>
      <c r="G55" s="11"/>
      <c r="H55" s="12"/>
    </row>
    <row r="56" spans="2:8" ht="15">
      <c r="B56" s="13" t="s">
        <v>356</v>
      </c>
      <c r="C56" s="14"/>
      <c r="D56" s="19"/>
      <c r="E56" s="19"/>
      <c r="F56" s="19"/>
      <c r="G56" s="19"/>
      <c r="H56" s="17"/>
    </row>
    <row r="57" spans="2:8" ht="15">
      <c r="B57" s="18" t="s">
        <v>355</v>
      </c>
      <c r="C57" s="123">
        <f>+Input!D20</f>
        <v>1</v>
      </c>
      <c r="D57" s="36">
        <f>+'Irpef socio'!G27</f>
        <v>0</v>
      </c>
      <c r="E57" s="36">
        <f>+'Irpef socio'!I27</f>
        <v>0</v>
      </c>
      <c r="F57" s="36">
        <f>+'Irpef socio'!K27</f>
        <v>4905.300000000008</v>
      </c>
      <c r="G57" s="36">
        <f>+'Irpef socio'!M27</f>
        <v>5611.218228147836</v>
      </c>
      <c r="H57" s="124">
        <f>+'Irpef socio'!O27</f>
        <v>5648.262820858631</v>
      </c>
    </row>
    <row r="58" spans="2:8" ht="15">
      <c r="B58" s="18" t="s">
        <v>366</v>
      </c>
      <c r="C58" s="123">
        <f>+Input!D20</f>
        <v>1</v>
      </c>
      <c r="D58" s="36">
        <f>+'Inps socio'!T23</f>
        <v>3192.89</v>
      </c>
      <c r="E58" s="36">
        <f>+'Inps socio'!U23</f>
        <v>3192.89</v>
      </c>
      <c r="F58" s="36">
        <f>+'Inps socio'!V23</f>
        <v>4360.567961000006</v>
      </c>
      <c r="G58" s="36">
        <f>+'Inps socio'!W23</f>
        <v>4919.812068410452</v>
      </c>
      <c r="H58" s="124">
        <f>+'Inps socio'!X23</f>
        <v>4949.159617969115</v>
      </c>
    </row>
    <row r="59" spans="2:8" ht="15">
      <c r="B59" s="125" t="s">
        <v>354</v>
      </c>
      <c r="C59" s="123">
        <f>+Input!D20</f>
        <v>1</v>
      </c>
      <c r="D59" s="36">
        <f>+(D51*$C$59)-D57-D58</f>
        <v>-33405.48468</v>
      </c>
      <c r="E59" s="36">
        <f>+(E51*$C$59)-E57-E58</f>
        <v>-12279.756980747969</v>
      </c>
      <c r="F59" s="36">
        <f>+(F51*$C$59)-F57-F58</f>
        <v>8584.452039000014</v>
      </c>
      <c r="G59" s="36">
        <f>+(G51*$C$59)-G57-G58</f>
        <v>9831.835693256788</v>
      </c>
      <c r="H59" s="124">
        <f>+(H51*$C$59)-H57-H58</f>
        <v>9897.294860598715</v>
      </c>
    </row>
    <row r="60" spans="2:8" ht="15">
      <c r="B60" s="18"/>
      <c r="C60" s="19"/>
      <c r="D60" s="19"/>
      <c r="E60" s="19"/>
      <c r="F60" s="19"/>
      <c r="G60" s="19"/>
      <c r="H60" s="17"/>
    </row>
    <row r="61" spans="2:8" ht="15">
      <c r="B61" s="18"/>
      <c r="C61" s="19"/>
      <c r="D61" s="19"/>
      <c r="E61" s="19"/>
      <c r="F61" s="19"/>
      <c r="G61" s="19"/>
      <c r="H61" s="17"/>
    </row>
    <row r="62" spans="2:8" ht="15.75" thickBot="1">
      <c r="B62" s="20"/>
      <c r="C62" s="21"/>
      <c r="D62" s="21"/>
      <c r="E62" s="21"/>
      <c r="F62" s="21"/>
      <c r="G62" s="21"/>
      <c r="H62" s="22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G42"/>
  <sheetViews>
    <sheetView showGridLines="0" zoomScalePageLayoutView="0" workbookViewId="0" topLeftCell="A14">
      <selection activeCell="E42" sqref="E42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7" t="s">
        <v>347</v>
      </c>
      <c r="C1" s="9" t="str">
        <f>+SP!C3</f>
        <v>Anno 1</v>
      </c>
      <c r="D1" s="9" t="str">
        <f>+SP!D3</f>
        <v>Anno 2</v>
      </c>
      <c r="E1" s="9" t="str">
        <f>+SP!E3</f>
        <v>Anno 3</v>
      </c>
      <c r="F1" s="9" t="str">
        <f>+SP!F3</f>
        <v>Anno 4</v>
      </c>
      <c r="G1" s="9" t="str">
        <f>+SP!G3</f>
        <v>Anno 5</v>
      </c>
    </row>
    <row r="2" ht="15">
      <c r="B2" t="s">
        <v>300</v>
      </c>
    </row>
    <row r="3" spans="2:7" ht="15">
      <c r="B3" s="8" t="s">
        <v>301</v>
      </c>
      <c r="C3" s="103">
        <f>+'CE'!D41</f>
        <v>-29800</v>
      </c>
      <c r="D3" s="103">
        <f>+'CE'!E41</f>
        <v>-7129.999999999971</v>
      </c>
      <c r="E3" s="103">
        <f>+'CE'!F41</f>
        <v>21390.00000000003</v>
      </c>
      <c r="F3" s="103">
        <f>+'CE'!G41</f>
        <v>23870</v>
      </c>
      <c r="G3" s="103">
        <f>+'CE'!H41</f>
        <v>23870</v>
      </c>
    </row>
    <row r="4" spans="2:7" ht="15">
      <c r="B4" t="s">
        <v>302</v>
      </c>
      <c r="C4" s="27">
        <f>+SP!C34</f>
        <v>2400</v>
      </c>
      <c r="D4" s="27">
        <f>+SP!D34-SP!C34</f>
        <v>2520</v>
      </c>
      <c r="E4" s="27">
        <f>+SP!E34-SP!D34</f>
        <v>2520</v>
      </c>
      <c r="F4" s="27">
        <f>+SP!F34-SP!E34</f>
        <v>2520</v>
      </c>
      <c r="G4" s="27">
        <f>+SP!G34-SP!F34</f>
        <v>2520</v>
      </c>
    </row>
    <row r="5" spans="2:7" ht="15">
      <c r="B5" t="s">
        <v>303</v>
      </c>
      <c r="C5" s="27">
        <f>+'CE'!D35</f>
        <v>14400</v>
      </c>
      <c r="D5" s="27">
        <f>+'CE'!E35</f>
        <v>14400</v>
      </c>
      <c r="E5" s="27">
        <f>+'CE'!F35</f>
        <v>14400</v>
      </c>
      <c r="F5" s="27">
        <f>+'CE'!G35</f>
        <v>14400</v>
      </c>
      <c r="G5" s="27">
        <f>+'CE'!H35</f>
        <v>14400</v>
      </c>
    </row>
    <row r="6" spans="2:7" ht="15">
      <c r="B6" t="s">
        <v>304</v>
      </c>
      <c r="C6" s="103">
        <f>+C3+C4+C5</f>
        <v>-13000</v>
      </c>
      <c r="D6" s="103">
        <f>+D3+D4+D5</f>
        <v>9790.00000000003</v>
      </c>
      <c r="E6" s="103">
        <f>+E3+E4+E5</f>
        <v>38310.00000000003</v>
      </c>
      <c r="F6" s="103">
        <f>+F3+F4+F5</f>
        <v>40790</v>
      </c>
      <c r="G6" s="103">
        <f>+G3+G4+G5</f>
        <v>40790</v>
      </c>
    </row>
    <row r="8" spans="2:7" ht="15">
      <c r="B8" s="8" t="s">
        <v>305</v>
      </c>
      <c r="C8" s="103">
        <f>SUM(C9:C13)</f>
        <v>-3613.28532</v>
      </c>
      <c r="D8" s="103">
        <f>SUM(D9:D13)</f>
        <v>5565.066152748003</v>
      </c>
      <c r="E8" s="103">
        <f>SUM(E9:E13)</f>
        <v>1935.2844872519981</v>
      </c>
      <c r="F8" s="103">
        <f>SUM(F9:F13)</f>
        <v>145.36596628802045</v>
      </c>
      <c r="G8" s="103">
        <f>SUM(G9:G13)</f>
        <v>5.350885613781429</v>
      </c>
    </row>
    <row r="9" spans="2:7" ht="15">
      <c r="B9" t="s">
        <v>306</v>
      </c>
      <c r="C9" s="27">
        <f>-SP!C7</f>
        <v>0</v>
      </c>
      <c r="D9" s="27">
        <f>+SP!C7-SP!D7</f>
        <v>0</v>
      </c>
      <c r="E9" s="27">
        <f>+SP!D7-SP!E7</f>
        <v>0</v>
      </c>
      <c r="F9" s="27">
        <f>+SP!E7-SP!F7</f>
        <v>0</v>
      </c>
      <c r="G9" s="27">
        <f>+SP!F7-SP!G7</f>
        <v>0</v>
      </c>
    </row>
    <row r="10" spans="2:7" ht="15">
      <c r="B10" t="s">
        <v>307</v>
      </c>
      <c r="C10" s="27">
        <f>-SP!C8+SP!C31</f>
        <v>-4116</v>
      </c>
      <c r="D10" s="27">
        <f>+SP!C8-SP!D8+SP!D31-SP!C31</f>
        <v>5124.000000000002</v>
      </c>
      <c r="E10" s="27">
        <f>+SP!D8-SP!E8+SP!E31-SP!D31</f>
        <v>842.0999999999985</v>
      </c>
      <c r="F10" s="27">
        <f>+SP!E8-SP!F8+SP!F31-SP!E31</f>
        <v>43.400000000001455</v>
      </c>
      <c r="G10" s="27">
        <f>+SP!F8-SP!G8+SP!G31-SP!F31</f>
        <v>0</v>
      </c>
    </row>
    <row r="11" spans="2:7" ht="15">
      <c r="B11" t="s">
        <v>308</v>
      </c>
      <c r="C11" s="27">
        <f>-SP!C11</f>
        <v>0</v>
      </c>
      <c r="D11" s="27">
        <f>+SP!C11-SP!D11</f>
        <v>0</v>
      </c>
      <c r="E11" s="27">
        <f>+SP!D11-SP!E11</f>
        <v>0</v>
      </c>
      <c r="F11" s="27">
        <f>+SP!E11-SP!F11</f>
        <v>0</v>
      </c>
      <c r="G11" s="27">
        <f>+SP!F11-SP!G11</f>
        <v>0</v>
      </c>
    </row>
    <row r="12" spans="2:7" ht="15">
      <c r="B12" t="s">
        <v>309</v>
      </c>
      <c r="C12" s="27">
        <f>+SP!C28</f>
        <v>0</v>
      </c>
      <c r="D12" s="27">
        <f>+SP!D28-SP!C28</f>
        <v>0</v>
      </c>
      <c r="E12" s="27">
        <f>+SP!E28-SP!D28</f>
        <v>0</v>
      </c>
      <c r="F12" s="27">
        <f>+SP!F28-SP!E28</f>
        <v>0</v>
      </c>
      <c r="G12" s="27">
        <f>+SP!G28-SP!F28</f>
        <v>0</v>
      </c>
    </row>
    <row r="13" spans="2:7" ht="15">
      <c r="B13" t="s">
        <v>307</v>
      </c>
      <c r="C13" s="27">
        <f>+SP!C30-SP!C9</f>
        <v>502.71468</v>
      </c>
      <c r="D13" s="27">
        <f>+SP!D30-SP!C30+SP!C9-SP!D9</f>
        <v>441.06615274800123</v>
      </c>
      <c r="E13" s="27">
        <f>+SP!E30-SP!D30+SP!D9-SP!E9</f>
        <v>1093.1844872519996</v>
      </c>
      <c r="F13" s="27">
        <f>+SP!F30-SP!E30+SP!E9-SP!F9</f>
        <v>101.96596628801899</v>
      </c>
      <c r="G13" s="27">
        <f>+SP!G30-SP!F30+SP!F9-SP!G9</f>
        <v>5.350885613781429</v>
      </c>
    </row>
    <row r="14" ht="15">
      <c r="A14" s="107"/>
    </row>
    <row r="15" spans="2:7" ht="15">
      <c r="B15" s="8" t="s">
        <v>310</v>
      </c>
      <c r="C15" s="103">
        <f>+C6+C8</f>
        <v>-16613.28532</v>
      </c>
      <c r="D15" s="103">
        <f>+D6+D8</f>
        <v>15355.066152748033</v>
      </c>
      <c r="E15" s="103">
        <f>+E6+E8</f>
        <v>40245.28448725203</v>
      </c>
      <c r="F15" s="103">
        <f>+F6+F8</f>
        <v>40935.36596628802</v>
      </c>
      <c r="G15" s="103">
        <f>+G6+G8</f>
        <v>40795.35088561378</v>
      </c>
    </row>
    <row r="17" spans="2:7" ht="15">
      <c r="B17" s="8" t="s">
        <v>311</v>
      </c>
      <c r="C17" s="103">
        <f>SUM(C18:C19)</f>
        <v>-72000</v>
      </c>
      <c r="D17" s="103">
        <f>SUM(D18:D19)</f>
        <v>0</v>
      </c>
      <c r="E17" s="103">
        <f>SUM(E18:E19)</f>
        <v>0</v>
      </c>
      <c r="F17" s="103">
        <f>SUM(F18:F19)</f>
        <v>0</v>
      </c>
      <c r="G17" s="103">
        <f>SUM(G18:G19)</f>
        <v>0</v>
      </c>
    </row>
    <row r="18" spans="2:7" ht="15">
      <c r="B18" t="s">
        <v>312</v>
      </c>
      <c r="C18" s="27">
        <f>-SP!C14</f>
        <v>-72000</v>
      </c>
      <c r="D18" s="27">
        <f>+SP!C14-SP!D14</f>
        <v>0</v>
      </c>
      <c r="E18" s="27">
        <f>+SP!D14-SP!E14</f>
        <v>0</v>
      </c>
      <c r="F18" s="27">
        <f>+SP!E14-SP!F14</f>
        <v>0</v>
      </c>
      <c r="G18" s="27">
        <f>+SP!F14-SP!G14</f>
        <v>0</v>
      </c>
    </row>
    <row r="19" spans="2:7" ht="15">
      <c r="B19" t="s">
        <v>313</v>
      </c>
      <c r="C19" s="27">
        <f>-SP!C15</f>
        <v>0</v>
      </c>
      <c r="D19" s="27">
        <f>+SP!C15-SP!D15</f>
        <v>0</v>
      </c>
      <c r="E19" s="27">
        <f>+SP!D15-SP!E15</f>
        <v>0</v>
      </c>
      <c r="F19" s="27">
        <f>+SP!E15-SP!F15</f>
        <v>0</v>
      </c>
      <c r="G19" s="27">
        <f>+SP!F15-SP!G15</f>
        <v>0</v>
      </c>
    </row>
    <row r="20" spans="3:7" ht="15">
      <c r="C20" s="27"/>
      <c r="D20" s="27"/>
      <c r="E20" s="27"/>
      <c r="F20" s="27"/>
      <c r="G20" s="27"/>
    </row>
    <row r="21" spans="2:7" ht="15">
      <c r="B21" s="139" t="s">
        <v>403</v>
      </c>
      <c r="C21" s="103">
        <f>-SP!C19</f>
        <v>-35000</v>
      </c>
      <c r="D21" s="103">
        <f>+SP!C19-SP!D19</f>
        <v>0</v>
      </c>
      <c r="E21" s="103">
        <f>+SP!D19-SP!E19</f>
        <v>-15000</v>
      </c>
      <c r="F21" s="103">
        <f>+SP!E19-SP!F19</f>
        <v>0</v>
      </c>
      <c r="G21" s="103">
        <f>+SP!F19-SP!G19</f>
        <v>0</v>
      </c>
    </row>
    <row r="23" spans="2:7" ht="15">
      <c r="B23" s="8" t="s">
        <v>314</v>
      </c>
      <c r="C23" s="103">
        <f>+C15+C17+C21</f>
        <v>-123613.28532</v>
      </c>
      <c r="D23" s="103">
        <f>+D15+D17+D21</f>
        <v>15355.066152748033</v>
      </c>
      <c r="E23" s="103">
        <f>+E15+E17+E21</f>
        <v>25245.28448725203</v>
      </c>
      <c r="F23" s="103">
        <f>+F15+F17+F21</f>
        <v>40935.36596628802</v>
      </c>
      <c r="G23" s="103">
        <f>+G15+G17+G21</f>
        <v>40795.35088561378</v>
      </c>
    </row>
    <row r="25" spans="2:7" ht="15">
      <c r="B25" t="s">
        <v>315</v>
      </c>
      <c r="C25" s="103">
        <f>SUM(C26:C30)</f>
        <v>127120</v>
      </c>
      <c r="D25" s="103">
        <f>SUM(D26:D30)</f>
        <v>-27120</v>
      </c>
      <c r="E25" s="103">
        <f>SUM(E26:E30)</f>
        <v>-6725.59780515499</v>
      </c>
      <c r="F25" s="103">
        <f>SUM(F26:F30)</f>
        <v>-6860.1097612580925</v>
      </c>
      <c r="G25" s="103">
        <f>SUM(G26:G30)</f>
        <v>-6997.311956483249</v>
      </c>
    </row>
    <row r="26" spans="2:7" ht="15">
      <c r="B26" t="s">
        <v>316</v>
      </c>
      <c r="C26" s="27">
        <f>+SP!C36</f>
        <v>0</v>
      </c>
      <c r="D26" s="27">
        <f>+SP!D36-SP!C36</f>
        <v>0</v>
      </c>
      <c r="E26" s="27">
        <f>+SP!E36-SP!D36</f>
        <v>0</v>
      </c>
      <c r="F26" s="27">
        <f>+SP!F36-SP!E36</f>
        <v>0</v>
      </c>
      <c r="G26" s="27">
        <f>+SP!G36-SP!F36</f>
        <v>0</v>
      </c>
    </row>
    <row r="27" spans="2:7" ht="15">
      <c r="B27" t="s">
        <v>317</v>
      </c>
      <c r="C27" s="27">
        <f>+SP!C38</f>
        <v>0</v>
      </c>
      <c r="D27" s="27">
        <f>+SP!D38-SP!C38</f>
        <v>0</v>
      </c>
      <c r="E27" s="27">
        <f>+SP!E38-SP!D38</f>
        <v>0</v>
      </c>
      <c r="F27" s="27">
        <f>+SP!F38-SP!E38</f>
        <v>0</v>
      </c>
      <c r="G27" s="27">
        <f>+SP!G38-SP!F38</f>
        <v>0</v>
      </c>
    </row>
    <row r="28" spans="2:7" ht="15">
      <c r="B28" t="s">
        <v>433</v>
      </c>
      <c r="C28" s="27">
        <f>+SP!C35</f>
        <v>50000</v>
      </c>
      <c r="D28" s="27">
        <f>+SP!D35-SP!C35</f>
        <v>0</v>
      </c>
      <c r="E28" s="27">
        <f>+SP!E35-SP!D35</f>
        <v>-6725.59780515499</v>
      </c>
      <c r="F28" s="27">
        <f>+SP!F35-SP!E35</f>
        <v>-6860.1097612580925</v>
      </c>
      <c r="G28" s="27">
        <f>+SP!G35-SP!F35</f>
        <v>-6997.311956483249</v>
      </c>
    </row>
    <row r="29" spans="2:7" ht="15">
      <c r="B29" t="s">
        <v>318</v>
      </c>
      <c r="C29" s="27">
        <f>+SP!C29</f>
        <v>47120</v>
      </c>
      <c r="D29" s="27">
        <f>+SP!D29-SP!C29</f>
        <v>-47120</v>
      </c>
      <c r="E29" s="27">
        <f>+SP!E29-SP!D29</f>
        <v>0</v>
      </c>
      <c r="F29" s="27">
        <f>+SP!F29-SP!E29</f>
        <v>0</v>
      </c>
      <c r="G29" s="27">
        <f>+SP!G29-SP!F29</f>
        <v>0</v>
      </c>
    </row>
    <row r="30" spans="2:7" ht="15">
      <c r="B30" t="s">
        <v>439</v>
      </c>
      <c r="C30" s="27">
        <f>+SP!C37</f>
        <v>30000</v>
      </c>
      <c r="D30" s="27">
        <f>+SP!D37-SP!C37</f>
        <v>20000</v>
      </c>
      <c r="E30" s="27">
        <f>+SP!E37-SP!D37</f>
        <v>0</v>
      </c>
      <c r="F30" s="27">
        <f>+SP!F37-SP!E37</f>
        <v>0</v>
      </c>
      <c r="G30" s="27">
        <f>+SP!G37-SP!F37</f>
        <v>0</v>
      </c>
    </row>
    <row r="32" spans="2:7" ht="15">
      <c r="B32" t="s">
        <v>319</v>
      </c>
      <c r="C32" s="103">
        <f>+'CE'!D43</f>
        <v>90.11999999999999</v>
      </c>
      <c r="D32" s="103">
        <f>+'CE'!E43</f>
        <v>-510.37146799999755</v>
      </c>
      <c r="E32" s="103">
        <f>+'CE'!F43</f>
        <v>-1000.0000000000009</v>
      </c>
      <c r="F32" s="103">
        <f>+'CE'!G43</f>
        <v>-865.488043896901</v>
      </c>
      <c r="G32" s="103">
        <f>+'CE'!H43</f>
        <v>-728.285848671739</v>
      </c>
    </row>
    <row r="33" spans="2:7" ht="15">
      <c r="B33" t="s">
        <v>320</v>
      </c>
      <c r="C33" s="103">
        <f>-'CE'!D49</f>
        <v>-502.71468</v>
      </c>
      <c r="D33" s="103">
        <f>-'CE'!E49</f>
        <v>-1446.4955127480011</v>
      </c>
      <c r="E33" s="103">
        <f>-'CE'!F49</f>
        <v>-2539.680000000001</v>
      </c>
      <c r="F33" s="103">
        <f>-'CE'!G49</f>
        <v>-2641.645966288021</v>
      </c>
      <c r="G33" s="103">
        <f>-'CE'!H49</f>
        <v>-2646.996851901802</v>
      </c>
    </row>
    <row r="34" spans="3:7" ht="15">
      <c r="C34" s="103"/>
      <c r="D34" s="103"/>
      <c r="E34" s="103"/>
      <c r="F34" s="103"/>
      <c r="G34" s="103"/>
    </row>
    <row r="36" spans="2:7" ht="15">
      <c r="B36" t="s">
        <v>321</v>
      </c>
      <c r="C36" s="103">
        <f>+SP!C41</f>
        <v>0</v>
      </c>
      <c r="D36" s="103">
        <f>+SP!D41-SP!C41-SP!C42</f>
        <v>0</v>
      </c>
      <c r="E36" s="103">
        <f>+SP!E41-SP!D41-SP!D42</f>
        <v>0</v>
      </c>
      <c r="F36" s="103">
        <f>+SP!F41-SP!E41-SP!E42</f>
        <v>0</v>
      </c>
      <c r="G36" s="103">
        <f>+SP!G41-SP!F41-SP!F42</f>
        <v>0</v>
      </c>
    </row>
    <row r="38" spans="2:7" ht="15">
      <c r="B38" s="8" t="s">
        <v>322</v>
      </c>
      <c r="C38" s="103">
        <f>+C23+C25+C32+C33+C36</f>
        <v>3094.1200000000044</v>
      </c>
      <c r="D38" s="103">
        <f>+D23+D25+D32+D33+D36</f>
        <v>-13721.800827999965</v>
      </c>
      <c r="E38" s="103">
        <f>+E23+E25+E32+E33+E36</f>
        <v>14980.006682097039</v>
      </c>
      <c r="F38" s="103">
        <f>+F23+F25+F32+F33+F36</f>
        <v>30568.12219484501</v>
      </c>
      <c r="G38" s="103">
        <f>+G23+G25+G32+G33+G36</f>
        <v>30422.756228556995</v>
      </c>
    </row>
    <row r="40" spans="2:7" ht="15">
      <c r="B40" t="s">
        <v>323</v>
      </c>
      <c r="C40" s="27">
        <f>+SP!C4-SP!C25</f>
        <v>3094.1199999999953</v>
      </c>
      <c r="D40" s="27">
        <f>-(+SP!D25-SP!C25+SP!C4-SP!D4)</f>
        <v>-13721.800827999949</v>
      </c>
      <c r="E40" s="27">
        <f>-(+SP!E25-SP!D25+SP!D4-SP!E4)</f>
        <v>14980.00668209698</v>
      </c>
      <c r="F40" s="27">
        <f>-(+SP!F25-SP!E25+SP!E4-SP!F4)</f>
        <v>30568.12219484523</v>
      </c>
      <c r="G40" s="27">
        <f>-(+SP!G25-SP!F25+SP!F4-SP!G4)</f>
        <v>30422.756228556857</v>
      </c>
    </row>
    <row r="42" spans="3:7" ht="15">
      <c r="C42" s="27"/>
      <c r="D42" s="27"/>
      <c r="E42" s="27"/>
      <c r="F42" s="27"/>
      <c r="G42" s="27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A82"/>
  <sheetViews>
    <sheetView showGridLines="0" zoomScalePageLayoutView="0" workbookViewId="0" topLeftCell="A1">
      <selection activeCell="D4" sqref="D4"/>
    </sheetView>
  </sheetViews>
  <sheetFormatPr defaultColWidth="9.140625" defaultRowHeight="15"/>
  <cols>
    <col min="2" max="2" width="3.8515625" style="0" customWidth="1"/>
    <col min="3" max="3" width="20.7109375" style="0" customWidth="1"/>
    <col min="4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27" ht="15">
      <c r="B2" s="10"/>
      <c r="C2" s="11"/>
      <c r="D2" s="11"/>
      <c r="E2" s="11"/>
      <c r="F2" s="11"/>
      <c r="G2" s="11"/>
      <c r="H2" s="11"/>
      <c r="I2" s="12"/>
      <c r="K2" s="32"/>
      <c r="L2" s="11"/>
      <c r="M2" s="11"/>
      <c r="N2" s="11"/>
      <c r="O2" s="11"/>
      <c r="P2" s="11"/>
      <c r="Q2" s="11"/>
      <c r="R2" s="12"/>
      <c r="T2" s="32"/>
      <c r="U2" s="11"/>
      <c r="V2" s="11"/>
      <c r="W2" s="11"/>
      <c r="X2" s="11"/>
      <c r="Y2" s="11"/>
      <c r="Z2" s="11"/>
      <c r="AA2" s="12"/>
    </row>
    <row r="3" spans="2:27" ht="15">
      <c r="B3" s="18"/>
      <c r="C3" s="14" t="s">
        <v>16</v>
      </c>
      <c r="D3" s="15" t="str">
        <f>+Input!I27</f>
        <v>Anno 1</v>
      </c>
      <c r="E3" s="15" t="str">
        <f>+Input!J27</f>
        <v>Anno 2</v>
      </c>
      <c r="F3" s="15" t="str">
        <f>+Input!K27</f>
        <v>Anno 3</v>
      </c>
      <c r="G3" s="15" t="str">
        <f>+Input!L27</f>
        <v>Anno 4</v>
      </c>
      <c r="H3" s="15" t="str">
        <f>+Input!M27</f>
        <v>Anno 5</v>
      </c>
      <c r="I3" s="17"/>
      <c r="K3" s="33"/>
      <c r="L3" s="14" t="s">
        <v>14</v>
      </c>
      <c r="M3" s="15" t="str">
        <f>+D3</f>
        <v>Anno 1</v>
      </c>
      <c r="N3" s="15" t="str">
        <f>+E3</f>
        <v>Anno 2</v>
      </c>
      <c r="O3" s="15" t="str">
        <f>+F3</f>
        <v>Anno 3</v>
      </c>
      <c r="P3" s="15" t="str">
        <f>+G3</f>
        <v>Anno 4</v>
      </c>
      <c r="Q3" s="15" t="str">
        <f>+H3</f>
        <v>Anno 5</v>
      </c>
      <c r="R3" s="17"/>
      <c r="T3" s="33"/>
      <c r="U3" s="14" t="s">
        <v>21</v>
      </c>
      <c r="V3" s="15" t="str">
        <f>+M3</f>
        <v>Anno 1</v>
      </c>
      <c r="W3" s="15" t="str">
        <f>+N3</f>
        <v>Anno 2</v>
      </c>
      <c r="X3" s="15" t="str">
        <f>+O3</f>
        <v>Anno 3</v>
      </c>
      <c r="Y3" s="15" t="str">
        <f>+P3</f>
        <v>Anno 4</v>
      </c>
      <c r="Z3" s="15" t="str">
        <f>+Q3</f>
        <v>Anno 5</v>
      </c>
      <c r="AA3" s="17"/>
    </row>
    <row r="4" spans="2:27" ht="15">
      <c r="B4" s="18"/>
      <c r="C4" s="19" t="str">
        <f>+Input!C41</f>
        <v>Mp xTipologia 1</v>
      </c>
      <c r="D4" s="35">
        <f>+Input!I28*(1-(Input!$E28))</f>
        <v>138000</v>
      </c>
      <c r="E4" s="35">
        <f>+Input!J28*(1-(Input!$E28))</f>
        <v>193199.99999999997</v>
      </c>
      <c r="F4" s="35">
        <f>+Input!K28*(1-(Input!$E28))</f>
        <v>256679.99999999997</v>
      </c>
      <c r="G4" s="35">
        <f>+Input!L28*(1-(Input!$E28))</f>
        <v>262200</v>
      </c>
      <c r="H4" s="35">
        <f>+Input!M28*(1-(Input!$E28))</f>
        <v>262200</v>
      </c>
      <c r="I4" s="17"/>
      <c r="K4" s="33"/>
      <c r="L4" s="19" t="str">
        <f aca="true" t="shared" si="0" ref="L4:L12">+C4</f>
        <v>Mp xTipologia 1</v>
      </c>
      <c r="M4" s="31">
        <f>+D4*(Input!$F41/360)</f>
        <v>0</v>
      </c>
      <c r="N4" s="31">
        <f>+E4*(Input!$F41/360)</f>
        <v>0</v>
      </c>
      <c r="O4" s="31">
        <f>+F4*(Input!$F41/360)</f>
        <v>0</v>
      </c>
      <c r="P4" s="31">
        <f>+G4*(Input!$F41/360)</f>
        <v>0</v>
      </c>
      <c r="Q4" s="31">
        <f>+H4*(Input!$F41/360)</f>
        <v>0</v>
      </c>
      <c r="R4" s="34"/>
      <c r="T4" s="33"/>
      <c r="U4" s="19" t="str">
        <f aca="true" t="shared" si="1" ref="U4:U12">+L4</f>
        <v>Mp xTipologia 1</v>
      </c>
      <c r="V4" s="31">
        <f>+D4+M4</f>
        <v>138000</v>
      </c>
      <c r="W4" s="31">
        <f>+E4+N4-M4</f>
        <v>193199.99999999997</v>
      </c>
      <c r="X4" s="31">
        <f aca="true" t="shared" si="2" ref="X4:Z12">+F4+O4-N4</f>
        <v>256679.99999999997</v>
      </c>
      <c r="Y4" s="31">
        <f t="shared" si="2"/>
        <v>262200</v>
      </c>
      <c r="Z4" s="31">
        <f t="shared" si="2"/>
        <v>262200</v>
      </c>
      <c r="AA4" s="34"/>
    </row>
    <row r="5" spans="2:27" ht="15">
      <c r="B5" s="18"/>
      <c r="C5" s="19" t="str">
        <f>+Input!C42</f>
        <v>Mp xTipologia 2</v>
      </c>
      <c r="D5" s="35">
        <f>+Input!I29*(1-(Input!$E29))</f>
        <v>0</v>
      </c>
      <c r="E5" s="35">
        <f>+Input!J29*(1-(Input!$E29))</f>
        <v>0</v>
      </c>
      <c r="F5" s="35">
        <f>+Input!K29*(1-(Input!$E29))</f>
        <v>0</v>
      </c>
      <c r="G5" s="35">
        <f>+Input!L29*(1-(Input!$E29))</f>
        <v>0</v>
      </c>
      <c r="H5" s="35">
        <f>+Input!M29*(1-(Input!$E29))</f>
        <v>0</v>
      </c>
      <c r="I5" s="17"/>
      <c r="K5" s="33"/>
      <c r="L5" s="19" t="str">
        <f t="shared" si="0"/>
        <v>Mp xTipologia 2</v>
      </c>
      <c r="M5" s="31">
        <f>+D5*(Input!$F42/360)</f>
        <v>0</v>
      </c>
      <c r="N5" s="31">
        <f>+E5*(Input!$F42/360)</f>
        <v>0</v>
      </c>
      <c r="O5" s="31">
        <f>+F5*(Input!$F42/360)</f>
        <v>0</v>
      </c>
      <c r="P5" s="31">
        <f>+G5*(Input!$F42/360)</f>
        <v>0</v>
      </c>
      <c r="Q5" s="31">
        <f>+H5*(Input!$F42/360)</f>
        <v>0</v>
      </c>
      <c r="R5" s="34"/>
      <c r="T5" s="33"/>
      <c r="U5" s="19" t="str">
        <f t="shared" si="1"/>
        <v>Mp xTipologia 2</v>
      </c>
      <c r="V5" s="31">
        <f aca="true" t="shared" si="3" ref="V5:V12">+D5+M5</f>
        <v>0</v>
      </c>
      <c r="W5" s="31">
        <f aca="true" t="shared" si="4" ref="W5:W12">+E5+N5-M5</f>
        <v>0</v>
      </c>
      <c r="X5" s="31">
        <f t="shared" si="2"/>
        <v>0</v>
      </c>
      <c r="Y5" s="31">
        <f t="shared" si="2"/>
        <v>0</v>
      </c>
      <c r="Z5" s="31">
        <f t="shared" si="2"/>
        <v>0</v>
      </c>
      <c r="AA5" s="34"/>
    </row>
    <row r="6" spans="2:27" ht="15">
      <c r="B6" s="18"/>
      <c r="C6" s="19" t="str">
        <f>+Input!C43</f>
        <v>Mp xTipologia 3</v>
      </c>
      <c r="D6" s="35">
        <f>+Input!I30*(1-(Input!$E30))</f>
        <v>0</v>
      </c>
      <c r="E6" s="35">
        <f>+Input!J30*(1-(Input!$E30))</f>
        <v>0</v>
      </c>
      <c r="F6" s="35">
        <f>+Input!K30*(1-(Input!$E30))</f>
        <v>0</v>
      </c>
      <c r="G6" s="35">
        <f>+Input!L30*(1-(Input!$E30))</f>
        <v>0</v>
      </c>
      <c r="H6" s="35">
        <f>+Input!M30*(1-(Input!$E30))</f>
        <v>0</v>
      </c>
      <c r="I6" s="17"/>
      <c r="K6" s="33"/>
      <c r="L6" s="19" t="str">
        <f t="shared" si="0"/>
        <v>Mp xTipologia 3</v>
      </c>
      <c r="M6" s="31">
        <f>+D6*(Input!$F43/360)</f>
        <v>0</v>
      </c>
      <c r="N6" s="31">
        <f>+E6*(Input!$F43/360)</f>
        <v>0</v>
      </c>
      <c r="O6" s="31">
        <f>+F6*(Input!$F43/360)</f>
        <v>0</v>
      </c>
      <c r="P6" s="31">
        <f>+G6*(Input!$F43/360)</f>
        <v>0</v>
      </c>
      <c r="Q6" s="31">
        <f>+H6*(Input!$F43/360)</f>
        <v>0</v>
      </c>
      <c r="R6" s="34"/>
      <c r="T6" s="33"/>
      <c r="U6" s="19" t="str">
        <f t="shared" si="1"/>
        <v>Mp xTipologia 3</v>
      </c>
      <c r="V6" s="31">
        <f t="shared" si="3"/>
        <v>0</v>
      </c>
      <c r="W6" s="31">
        <f t="shared" si="4"/>
        <v>0</v>
      </c>
      <c r="X6" s="31">
        <f t="shared" si="2"/>
        <v>0</v>
      </c>
      <c r="Y6" s="31">
        <f t="shared" si="2"/>
        <v>0</v>
      </c>
      <c r="Z6" s="31">
        <f t="shared" si="2"/>
        <v>0</v>
      </c>
      <c r="AA6" s="34"/>
    </row>
    <row r="7" spans="2:27" ht="15">
      <c r="B7" s="18"/>
      <c r="C7" s="19" t="str">
        <f>+Input!C44</f>
        <v>Mp xTipologia 4</v>
      </c>
      <c r="D7" s="35">
        <f>+Input!I31*(1-(Input!$E31))</f>
        <v>0</v>
      </c>
      <c r="E7" s="35">
        <f>+Input!J31*(1-(Input!$E31))</f>
        <v>0</v>
      </c>
      <c r="F7" s="35">
        <f>+Input!K31*(1-(Input!$E31))</f>
        <v>0</v>
      </c>
      <c r="G7" s="35">
        <f>+Input!L31*(1-(Input!$E31))</f>
        <v>0</v>
      </c>
      <c r="H7" s="35">
        <f>+Input!M31*(1-(Input!$E31))</f>
        <v>0</v>
      </c>
      <c r="I7" s="17"/>
      <c r="K7" s="33"/>
      <c r="L7" s="19" t="str">
        <f t="shared" si="0"/>
        <v>Mp xTipologia 4</v>
      </c>
      <c r="M7" s="31">
        <f>+D7*(Input!$F44/360)</f>
        <v>0</v>
      </c>
      <c r="N7" s="31">
        <f>+E7*(Input!$F44/360)</f>
        <v>0</v>
      </c>
      <c r="O7" s="31">
        <f>+F7*(Input!$F44/360)</f>
        <v>0</v>
      </c>
      <c r="P7" s="31">
        <f>+G7*(Input!$F44/360)</f>
        <v>0</v>
      </c>
      <c r="Q7" s="31">
        <f>+H7*(Input!$F44/360)</f>
        <v>0</v>
      </c>
      <c r="R7" s="34"/>
      <c r="T7" s="33"/>
      <c r="U7" s="19" t="str">
        <f t="shared" si="1"/>
        <v>Mp xTipologia 4</v>
      </c>
      <c r="V7" s="31">
        <f t="shared" si="3"/>
        <v>0</v>
      </c>
      <c r="W7" s="31">
        <f t="shared" si="4"/>
        <v>0</v>
      </c>
      <c r="X7" s="31">
        <f t="shared" si="2"/>
        <v>0</v>
      </c>
      <c r="Y7" s="31">
        <f t="shared" si="2"/>
        <v>0</v>
      </c>
      <c r="Z7" s="31">
        <f t="shared" si="2"/>
        <v>0</v>
      </c>
      <c r="AA7" s="34"/>
    </row>
    <row r="8" spans="2:27" ht="15">
      <c r="B8" s="18"/>
      <c r="C8" s="19" t="str">
        <f>+Input!C45</f>
        <v>Mp xTipologia 5</v>
      </c>
      <c r="D8" s="35">
        <f>+Input!I32*(1-(Input!$E32))</f>
        <v>0</v>
      </c>
      <c r="E8" s="35">
        <f>+Input!J32*(1-(Input!$E32))</f>
        <v>0</v>
      </c>
      <c r="F8" s="35">
        <f>+Input!K32*(1-(Input!$E32))</f>
        <v>0</v>
      </c>
      <c r="G8" s="35">
        <f>+Input!L32*(1-(Input!$E32))</f>
        <v>0</v>
      </c>
      <c r="H8" s="35">
        <f>+Input!M32*(1-(Input!$E32))</f>
        <v>0</v>
      </c>
      <c r="I8" s="17"/>
      <c r="K8" s="33"/>
      <c r="L8" s="19" t="str">
        <f t="shared" si="0"/>
        <v>Mp xTipologia 5</v>
      </c>
      <c r="M8" s="31">
        <f>+D8*(Input!$F45/360)</f>
        <v>0</v>
      </c>
      <c r="N8" s="31">
        <f>+E8*(Input!$F45/360)</f>
        <v>0</v>
      </c>
      <c r="O8" s="31">
        <f>+F8*(Input!$F45/360)</f>
        <v>0</v>
      </c>
      <c r="P8" s="31">
        <f>+G8*(Input!$F45/360)</f>
        <v>0</v>
      </c>
      <c r="Q8" s="31">
        <f>+H8*(Input!$F45/360)</f>
        <v>0</v>
      </c>
      <c r="R8" s="34"/>
      <c r="T8" s="33"/>
      <c r="U8" s="19" t="str">
        <f t="shared" si="1"/>
        <v>Mp xTipologia 5</v>
      </c>
      <c r="V8" s="31">
        <f t="shared" si="3"/>
        <v>0</v>
      </c>
      <c r="W8" s="31">
        <f t="shared" si="4"/>
        <v>0</v>
      </c>
      <c r="X8" s="31">
        <f t="shared" si="2"/>
        <v>0</v>
      </c>
      <c r="Y8" s="31">
        <f t="shared" si="2"/>
        <v>0</v>
      </c>
      <c r="Z8" s="31">
        <f t="shared" si="2"/>
        <v>0</v>
      </c>
      <c r="AA8" s="34"/>
    </row>
    <row r="9" spans="2:27" ht="15">
      <c r="B9" s="18"/>
      <c r="C9" s="19" t="str">
        <f>+Input!C46</f>
        <v>Mp xTipologia 6</v>
      </c>
      <c r="D9" s="35">
        <f>+Input!I33*(1-(Input!$E33))</f>
        <v>0</v>
      </c>
      <c r="E9" s="35">
        <f>+Input!J33*(1-(Input!$E33))</f>
        <v>0</v>
      </c>
      <c r="F9" s="35">
        <f>+Input!K33*(1-(Input!$E33))</f>
        <v>0</v>
      </c>
      <c r="G9" s="35">
        <f>+Input!L33*(1-(Input!$E33))</f>
        <v>0</v>
      </c>
      <c r="H9" s="35">
        <f>+Input!M33*(1-(Input!$E33))</f>
        <v>0</v>
      </c>
      <c r="I9" s="17"/>
      <c r="K9" s="33"/>
      <c r="L9" s="19" t="str">
        <f t="shared" si="0"/>
        <v>Mp xTipologia 6</v>
      </c>
      <c r="M9" s="31">
        <f>+D9*(Input!$F46/360)</f>
        <v>0</v>
      </c>
      <c r="N9" s="31">
        <f>+E9*(Input!$F46/360)</f>
        <v>0</v>
      </c>
      <c r="O9" s="31">
        <f>+F9*(Input!$F46/360)</f>
        <v>0</v>
      </c>
      <c r="P9" s="31">
        <f>+G9*(Input!$F46/360)</f>
        <v>0</v>
      </c>
      <c r="Q9" s="31">
        <f>+H9*(Input!$F46/360)</f>
        <v>0</v>
      </c>
      <c r="R9" s="34"/>
      <c r="T9" s="33"/>
      <c r="U9" s="19" t="str">
        <f t="shared" si="1"/>
        <v>Mp xTipologia 6</v>
      </c>
      <c r="V9" s="31">
        <f t="shared" si="3"/>
        <v>0</v>
      </c>
      <c r="W9" s="31">
        <f t="shared" si="4"/>
        <v>0</v>
      </c>
      <c r="X9" s="31">
        <f t="shared" si="2"/>
        <v>0</v>
      </c>
      <c r="Y9" s="31">
        <f t="shared" si="2"/>
        <v>0</v>
      </c>
      <c r="Z9" s="31">
        <f t="shared" si="2"/>
        <v>0</v>
      </c>
      <c r="AA9" s="34"/>
    </row>
    <row r="10" spans="2:27" ht="15">
      <c r="B10" s="18"/>
      <c r="C10" s="19" t="str">
        <f>+Input!C47</f>
        <v>Mp xTipologia 7</v>
      </c>
      <c r="D10" s="35">
        <f>+Input!I34*(1-(Input!$E34))</f>
        <v>0</v>
      </c>
      <c r="E10" s="35">
        <f>+Input!J34*(1-(Input!$E34))</f>
        <v>0</v>
      </c>
      <c r="F10" s="35">
        <f>+Input!K34*(1-(Input!$E34))</f>
        <v>0</v>
      </c>
      <c r="G10" s="35">
        <f>+Input!L34*(1-(Input!$E34))</f>
        <v>0</v>
      </c>
      <c r="H10" s="35">
        <f>+Input!M34*(1-(Input!$E34))</f>
        <v>0</v>
      </c>
      <c r="I10" s="17"/>
      <c r="K10" s="33"/>
      <c r="L10" s="19" t="str">
        <f t="shared" si="0"/>
        <v>Mp xTipologia 7</v>
      </c>
      <c r="M10" s="31">
        <f>+D10*(Input!$F47/360)</f>
        <v>0</v>
      </c>
      <c r="N10" s="31">
        <f>+E10*(Input!$F47/360)</f>
        <v>0</v>
      </c>
      <c r="O10" s="31">
        <f>+F10*(Input!$F47/360)</f>
        <v>0</v>
      </c>
      <c r="P10" s="31">
        <f>+G10*(Input!$F47/360)</f>
        <v>0</v>
      </c>
      <c r="Q10" s="31">
        <f>+H10*(Input!$F47/360)</f>
        <v>0</v>
      </c>
      <c r="R10" s="34"/>
      <c r="T10" s="33"/>
      <c r="U10" s="19" t="str">
        <f t="shared" si="1"/>
        <v>Mp xTipologia 7</v>
      </c>
      <c r="V10" s="31">
        <f t="shared" si="3"/>
        <v>0</v>
      </c>
      <c r="W10" s="31">
        <f t="shared" si="4"/>
        <v>0</v>
      </c>
      <c r="X10" s="31">
        <f t="shared" si="2"/>
        <v>0</v>
      </c>
      <c r="Y10" s="31">
        <f t="shared" si="2"/>
        <v>0</v>
      </c>
      <c r="Z10" s="31">
        <f t="shared" si="2"/>
        <v>0</v>
      </c>
      <c r="AA10" s="34"/>
    </row>
    <row r="11" spans="2:27" ht="15">
      <c r="B11" s="18"/>
      <c r="C11" s="19" t="str">
        <f>+Input!C48</f>
        <v>Mp xTipologia 8</v>
      </c>
      <c r="D11" s="35">
        <f>+Input!I35*(1-(Input!$E35))</f>
        <v>0</v>
      </c>
      <c r="E11" s="35">
        <f>+Input!J35*(1-(Input!$E35))</f>
        <v>0</v>
      </c>
      <c r="F11" s="35">
        <f>+Input!K35*(1-(Input!$E35))</f>
        <v>0</v>
      </c>
      <c r="G11" s="35">
        <f>+Input!L35*(1-(Input!$E35))</f>
        <v>0</v>
      </c>
      <c r="H11" s="35">
        <f>+Input!M35*(1-(Input!$E35))</f>
        <v>0</v>
      </c>
      <c r="I11" s="17"/>
      <c r="K11" s="18"/>
      <c r="L11" s="19" t="str">
        <f t="shared" si="0"/>
        <v>Mp xTipologia 8</v>
      </c>
      <c r="M11" s="31">
        <f>+D11*(Input!$F48/360)</f>
        <v>0</v>
      </c>
      <c r="N11" s="31">
        <f>+E11*(Input!$F48/360)</f>
        <v>0</v>
      </c>
      <c r="O11" s="31">
        <f>+F11*(Input!$F48/360)</f>
        <v>0</v>
      </c>
      <c r="P11" s="31">
        <f>+G11*(Input!$F48/360)</f>
        <v>0</v>
      </c>
      <c r="Q11" s="31">
        <f>+H11*(Input!$F48/360)</f>
        <v>0</v>
      </c>
      <c r="R11" s="34"/>
      <c r="T11" s="18"/>
      <c r="U11" s="19" t="str">
        <f t="shared" si="1"/>
        <v>Mp xTipologia 8</v>
      </c>
      <c r="V11" s="31">
        <f t="shared" si="3"/>
        <v>0</v>
      </c>
      <c r="W11" s="31">
        <f t="shared" si="4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4"/>
    </row>
    <row r="12" spans="2:27" ht="15">
      <c r="B12" s="18"/>
      <c r="C12" s="19" t="str">
        <f>+Input!C49</f>
        <v>Mp xTipologia 9</v>
      </c>
      <c r="D12" s="35">
        <f>+Input!I36*(1-(Input!$E36))</f>
        <v>0</v>
      </c>
      <c r="E12" s="35">
        <f>+Input!J36*(1-(Input!$E36))</f>
        <v>0</v>
      </c>
      <c r="F12" s="35">
        <f>+Input!K36*(1-(Input!$E36))</f>
        <v>0</v>
      </c>
      <c r="G12" s="35">
        <f>+Input!L36*(1-(Input!$E36))</f>
        <v>0</v>
      </c>
      <c r="H12" s="35">
        <f>+Input!M36*(1-(Input!$E36))</f>
        <v>0</v>
      </c>
      <c r="I12" s="17"/>
      <c r="K12" s="18"/>
      <c r="L12" s="19" t="str">
        <f t="shared" si="0"/>
        <v>Mp xTipologia 9</v>
      </c>
      <c r="M12" s="31">
        <f>+D12*(Input!$F49/360)</f>
        <v>0</v>
      </c>
      <c r="N12" s="31">
        <f>+E12*(Input!$F49/360)</f>
        <v>0</v>
      </c>
      <c r="O12" s="31">
        <f>+F12*(Input!$F49/360)</f>
        <v>0</v>
      </c>
      <c r="P12" s="31">
        <f>+G12*(Input!$F49/360)</f>
        <v>0</v>
      </c>
      <c r="Q12" s="31">
        <f>+H12*(Input!$F49/360)</f>
        <v>0</v>
      </c>
      <c r="R12" s="34"/>
      <c r="T12" s="18"/>
      <c r="U12" s="19" t="str">
        <f t="shared" si="1"/>
        <v>Mp xTipologia 9</v>
      </c>
      <c r="V12" s="31">
        <f t="shared" si="3"/>
        <v>0</v>
      </c>
      <c r="W12" s="31">
        <f t="shared" si="4"/>
        <v>0</v>
      </c>
      <c r="X12" s="31">
        <f t="shared" si="2"/>
        <v>0</v>
      </c>
      <c r="Y12" s="31">
        <f t="shared" si="2"/>
        <v>0</v>
      </c>
      <c r="Z12" s="31">
        <f t="shared" si="2"/>
        <v>0</v>
      </c>
      <c r="AA12" s="34"/>
    </row>
    <row r="13" spans="2:27" ht="15">
      <c r="B13" s="18"/>
      <c r="C13" s="14" t="s">
        <v>15</v>
      </c>
      <c r="D13" s="36">
        <f>SUM(D4:D12)</f>
        <v>138000</v>
      </c>
      <c r="E13" s="36">
        <f>SUM(E4:E12)</f>
        <v>193199.99999999997</v>
      </c>
      <c r="F13" s="36">
        <f>SUM(F4:F12)</f>
        <v>256679.99999999997</v>
      </c>
      <c r="G13" s="36">
        <f>SUM(G4:G12)</f>
        <v>262200</v>
      </c>
      <c r="H13" s="36">
        <f>SUM(H4:H12)</f>
        <v>262200</v>
      </c>
      <c r="I13" s="17"/>
      <c r="K13" s="18"/>
      <c r="L13" s="14" t="s">
        <v>15</v>
      </c>
      <c r="M13" s="36">
        <f>SUM(M4:M12)</f>
        <v>0</v>
      </c>
      <c r="N13" s="36">
        <f>SUM(N4:N12)</f>
        <v>0</v>
      </c>
      <c r="O13" s="36">
        <f>SUM(O4:O12)</f>
        <v>0</v>
      </c>
      <c r="P13" s="36">
        <f>SUM(P4:P12)</f>
        <v>0</v>
      </c>
      <c r="Q13" s="36">
        <f>SUM(Q4:Q12)</f>
        <v>0</v>
      </c>
      <c r="R13" s="34"/>
      <c r="T13" s="18"/>
      <c r="U13" s="14" t="s">
        <v>15</v>
      </c>
      <c r="V13" s="36">
        <f>SUM(V4:V12)</f>
        <v>138000</v>
      </c>
      <c r="W13" s="36">
        <f>SUM(W4:W12)</f>
        <v>193199.99999999997</v>
      </c>
      <c r="X13" s="36">
        <f>SUM(X4:X12)</f>
        <v>256679.99999999997</v>
      </c>
      <c r="Y13" s="36">
        <f>SUM(Y4:Y12)</f>
        <v>262200</v>
      </c>
      <c r="Z13" s="36">
        <f>SUM(Z4:Z12)</f>
        <v>262200</v>
      </c>
      <c r="AA13" s="34"/>
    </row>
    <row r="14" spans="2:27" ht="15.75" thickBot="1">
      <c r="B14" s="20"/>
      <c r="C14" s="21"/>
      <c r="D14" s="21"/>
      <c r="E14" s="21"/>
      <c r="F14" s="21"/>
      <c r="G14" s="21"/>
      <c r="H14" s="21"/>
      <c r="I14" s="22"/>
      <c r="K14" s="20"/>
      <c r="L14" s="21"/>
      <c r="M14" s="21"/>
      <c r="N14" s="21"/>
      <c r="O14" s="21"/>
      <c r="P14" s="21"/>
      <c r="Q14" s="21"/>
      <c r="R14" s="22"/>
      <c r="T14" s="20"/>
      <c r="U14" s="21"/>
      <c r="V14" s="21"/>
      <c r="W14" s="21"/>
      <c r="X14" s="21"/>
      <c r="Y14" s="21"/>
      <c r="Z14" s="21"/>
      <c r="AA14" s="22"/>
    </row>
    <row r="15" ht="15.75" thickBot="1">
      <c r="V15" s="87"/>
    </row>
    <row r="16" spans="2:27" ht="15">
      <c r="B16" s="10"/>
      <c r="C16" s="11"/>
      <c r="D16" s="11"/>
      <c r="E16" s="11"/>
      <c r="F16" s="11"/>
      <c r="G16" s="11"/>
      <c r="H16" s="11"/>
      <c r="I16" s="12"/>
      <c r="K16" s="10"/>
      <c r="L16" s="11"/>
      <c r="M16" s="11"/>
      <c r="N16" s="11"/>
      <c r="O16" s="11"/>
      <c r="P16" s="11"/>
      <c r="Q16" s="11"/>
      <c r="R16" s="12"/>
      <c r="T16" s="10"/>
      <c r="U16" s="11"/>
      <c r="V16" s="11"/>
      <c r="W16" s="11"/>
      <c r="X16" s="11"/>
      <c r="Y16" s="11"/>
      <c r="Z16" s="11"/>
      <c r="AA16" s="12"/>
    </row>
    <row r="17" spans="2:27" ht="15">
      <c r="B17" s="18"/>
      <c r="C17" s="14" t="s">
        <v>17</v>
      </c>
      <c r="D17" s="15" t="str">
        <f>+D3</f>
        <v>Anno 1</v>
      </c>
      <c r="E17" s="15" t="str">
        <f>+E3</f>
        <v>Anno 2</v>
      </c>
      <c r="F17" s="15" t="str">
        <f>+F3</f>
        <v>Anno 3</v>
      </c>
      <c r="G17" s="15" t="str">
        <f>+G3</f>
        <v>Anno 4</v>
      </c>
      <c r="H17" s="15" t="str">
        <f>+H3</f>
        <v>Anno 5</v>
      </c>
      <c r="I17" s="38"/>
      <c r="K17" s="18"/>
      <c r="L17" s="14" t="s">
        <v>18</v>
      </c>
      <c r="M17" s="15" t="str">
        <f>+M3</f>
        <v>Anno 1</v>
      </c>
      <c r="N17" s="15" t="str">
        <f>+N3</f>
        <v>Anno 2</v>
      </c>
      <c r="O17" s="15" t="str">
        <f>+O3</f>
        <v>Anno 3</v>
      </c>
      <c r="P17" s="15" t="str">
        <f>+P3</f>
        <v>Anno 4</v>
      </c>
      <c r="Q17" s="15" t="str">
        <f>+Q3</f>
        <v>Anno 5</v>
      </c>
      <c r="R17" s="38"/>
      <c r="T17" s="18"/>
      <c r="U17" s="14" t="s">
        <v>369</v>
      </c>
      <c r="V17" s="15" t="str">
        <f>+V3</f>
        <v>Anno 1</v>
      </c>
      <c r="W17" s="15" t="str">
        <f>+W3</f>
        <v>Anno 2</v>
      </c>
      <c r="X17" s="15" t="str">
        <f>+X3</f>
        <v>Anno 3</v>
      </c>
      <c r="Y17" s="15" t="str">
        <f>+Y3</f>
        <v>Anno 4</v>
      </c>
      <c r="Z17" s="15" t="str">
        <f>+Z3</f>
        <v>Anno 5</v>
      </c>
      <c r="AA17" s="38"/>
    </row>
    <row r="18" spans="2:27" ht="15">
      <c r="B18" s="18"/>
      <c r="C18" s="19" t="str">
        <f>+C4</f>
        <v>Mp xTipologia 1</v>
      </c>
      <c r="D18" s="35">
        <f>+IF(Input!$G28=0,0,IF(Input!$G28=30,((Input!I28+M18)/12),IF(Input!$G28=60,(Input!I28+M18)/6,IF(Input!$G28=90,(Input!I28+M18)/4,IF(Input!$G28=120,(Input!I28+M18)/3,IF(Input!$G28=150,(Input!I28+M18)*0.416667,Input!I28/2))))))</f>
        <v>0</v>
      </c>
      <c r="E18" s="35">
        <f>+IF(Input!$G28=0,0,IF(Input!$G28=30,((Input!J28+N18)/12),IF(Input!$G28=60,(Input!J28+N18)/6,IF(Input!$G28=90,(Input!J28+N18)/4,IF(Input!$G28=120,(Input!J28+N18)/3,IF(Input!$G28=150,(Input!J28+N18)*0.416667,Input!J28/2))))))</f>
        <v>0</v>
      </c>
      <c r="F18" s="35">
        <f>+IF(Input!$G28=0,0,IF(Input!$G28=30,((Input!K28+O18)/12),IF(Input!$G28=60,(Input!K28+O18)/6,IF(Input!$G28=90,(Input!K28+O18)/4,IF(Input!$G28=120,(Input!K28+O18)/3,IF(Input!$G28=150,(Input!K28+O18)*0.416667,Input!K28/2))))))</f>
        <v>0</v>
      </c>
      <c r="G18" s="35">
        <f>+IF(Input!$G28=0,0,IF(Input!$G28=30,((Input!L28+P18)/12),IF(Input!$G28=60,(Input!L28+P18)/6,IF(Input!$G28=90,(Input!L28+P18)/4,IF(Input!$G28=120,(Input!L28+P18)/3,IF(Input!$G28=150,(Input!L28+P18)*0.416667,Input!L28/2))))))</f>
        <v>0</v>
      </c>
      <c r="H18" s="35">
        <f>+IF(Input!$G28=0,0,IF(Input!$G28=30,((Input!M28+Q18)/12),IF(Input!$G28=60,(Input!M28+Q18)/6,IF(Input!$G28=90,(Input!M28+Q18)/4,IF(Input!$G28=120,(Input!M28+Q18)/3,IF(Input!$G28=150,(Input!M28+Q18)*0.416667,Input!M28/2))))))</f>
        <v>0</v>
      </c>
      <c r="I18" s="17"/>
      <c r="K18" s="18"/>
      <c r="L18" s="19" t="str">
        <f>+L4</f>
        <v>Mp xTipologia 1</v>
      </c>
      <c r="M18" s="35">
        <f>+Input!$F28*Input!I28</f>
        <v>42000</v>
      </c>
      <c r="N18" s="35">
        <f>+Input!$F28*Input!J28</f>
        <v>58800</v>
      </c>
      <c r="O18" s="35">
        <f>+Input!$F28*Input!K28</f>
        <v>78120</v>
      </c>
      <c r="P18" s="35">
        <f>+Input!$F28*Input!L28</f>
        <v>79800</v>
      </c>
      <c r="Q18" s="35">
        <f>+Input!$F28*Input!M28</f>
        <v>79800</v>
      </c>
      <c r="R18" s="17"/>
      <c r="T18" s="18"/>
      <c r="U18" s="19" t="str">
        <f>+U4</f>
        <v>Mp xTipologia 1</v>
      </c>
      <c r="V18" s="35">
        <f>+M18/12</f>
        <v>3500</v>
      </c>
      <c r="W18" s="35">
        <f aca="true" t="shared" si="5" ref="W18:Z26">+N18/12</f>
        <v>4900</v>
      </c>
      <c r="X18" s="35">
        <f t="shared" si="5"/>
        <v>6510</v>
      </c>
      <c r="Y18" s="35">
        <f t="shared" si="5"/>
        <v>6650</v>
      </c>
      <c r="Z18" s="35">
        <f t="shared" si="5"/>
        <v>6650</v>
      </c>
      <c r="AA18" s="17"/>
    </row>
    <row r="19" spans="2:27" ht="15">
      <c r="B19" s="18"/>
      <c r="C19" s="19" t="str">
        <f aca="true" t="shared" si="6" ref="C19:C26">+C5</f>
        <v>Mp xTipologia 2</v>
      </c>
      <c r="D19" s="35">
        <f>+IF(Input!$G29=0,0,IF(Input!$G29=30,(Input!I29/12),IF(Input!$G29=60,Input!I29/6,IF(Input!$G29=90,(Input!I29/4),IF(Input!$G29=120,Input!I29/3,IF(Input!$G29=150,Input!I29*0.416667,Input!I29/2))))))</f>
        <v>0</v>
      </c>
      <c r="E19" s="35">
        <f>+IF(Input!$G29=0,0,IF(Input!$G29=30,(Input!J29/12),IF(Input!$G29=60,Input!J29/6,IF(Input!$G29=90,(Input!J29/4),IF(Input!$G29=120,Input!J29/3,IF(Input!$G29=150,Input!J29*0.416667,Input!J29/2))))))</f>
        <v>0</v>
      </c>
      <c r="F19" s="35">
        <f>+IF(Input!$G29=0,0,IF(Input!$G29=30,(Input!K29/12),IF(Input!$G29=60,Input!K29/6,IF(Input!$G29=90,(Input!K29/4),IF(Input!$G29=120,Input!K29/3,IF(Input!$G29=150,Input!K29*0.416667,Input!K29/2))))))</f>
        <v>0</v>
      </c>
      <c r="G19" s="35">
        <f>+IF(Input!$G29=0,0,IF(Input!$G29=30,(Input!L29/12),IF(Input!$G29=60,Input!L29/6,IF(Input!$G29=90,(Input!L29/4),IF(Input!$G29=120,Input!L29/3,IF(Input!$G29=150,Input!L29*0.416667,Input!L29/2))))))</f>
        <v>0</v>
      </c>
      <c r="H19" s="35">
        <f>+IF(Input!$G29=0,0,IF(Input!$G29=30,(Input!M29/12),IF(Input!$G29=60,Input!M29/6,IF(Input!$G29=90,(Input!M29/4),IF(Input!$G29=120,Input!M29/3,IF(Input!$G29=150,Input!M29*0.416667,Input!M29/2))))))</f>
        <v>0</v>
      </c>
      <c r="I19" s="17"/>
      <c r="K19" s="18"/>
      <c r="L19" s="19" t="str">
        <f aca="true" t="shared" si="7" ref="L19:L26">+L5</f>
        <v>Mp xTipologia 2</v>
      </c>
      <c r="M19" s="35">
        <f>+Input!$F29*Input!I29</f>
        <v>0</v>
      </c>
      <c r="N19" s="35">
        <f>+Input!$F29*Input!J29</f>
        <v>0</v>
      </c>
      <c r="O19" s="35">
        <f>+Input!$F29*Input!K29</f>
        <v>0</v>
      </c>
      <c r="P19" s="35">
        <f>+Input!$F29*Input!L29</f>
        <v>0</v>
      </c>
      <c r="Q19" s="35">
        <f>+Input!$F29*Input!M29</f>
        <v>0</v>
      </c>
      <c r="R19" s="17"/>
      <c r="T19" s="18"/>
      <c r="U19" s="19" t="str">
        <f aca="true" t="shared" si="8" ref="U19:U26">+U5</f>
        <v>Mp xTipologia 2</v>
      </c>
      <c r="V19" s="35">
        <f aca="true" t="shared" si="9" ref="V19:V26">+M19/12</f>
        <v>0</v>
      </c>
      <c r="W19" s="35">
        <f t="shared" si="5"/>
        <v>0</v>
      </c>
      <c r="X19" s="35">
        <f t="shared" si="5"/>
        <v>0</v>
      </c>
      <c r="Y19" s="35">
        <f t="shared" si="5"/>
        <v>0</v>
      </c>
      <c r="Z19" s="35">
        <f t="shared" si="5"/>
        <v>0</v>
      </c>
      <c r="AA19" s="17"/>
    </row>
    <row r="20" spans="2:27" ht="15">
      <c r="B20" s="18"/>
      <c r="C20" s="19" t="str">
        <f t="shared" si="6"/>
        <v>Mp xTipologia 3</v>
      </c>
      <c r="D20" s="35">
        <f>+IF(Input!$G30=0,0,IF(Input!$G30=30,(Input!I30/12),IF(Input!$G30=60,Input!I30/6,IF(Input!$G30=90,(Input!I30/4),IF(Input!$G30=120,Input!I30/3,IF(Input!$G30=150,Input!I30*0.416667,Input!I30/2))))))</f>
        <v>0</v>
      </c>
      <c r="E20" s="35">
        <f>+IF(Input!$G30=0,0,IF(Input!$G30=30,(Input!J30/12),IF(Input!$G30=60,Input!J30/6,IF(Input!$G30=90,(Input!J30/4),IF(Input!$G30=120,Input!J30/3,IF(Input!$G30=150,Input!J30*0.416667,Input!J30/2))))))</f>
        <v>0</v>
      </c>
      <c r="F20" s="35">
        <f>+IF(Input!$G30=0,0,IF(Input!$G30=30,(Input!K30/12),IF(Input!$G30=60,Input!K30/6,IF(Input!$G30=90,(Input!K30/4),IF(Input!$G30=120,Input!K30/3,IF(Input!$G30=150,Input!K30*0.416667,Input!K30/2))))))</f>
        <v>0</v>
      </c>
      <c r="G20" s="35">
        <f>+IF(Input!$G30=0,0,IF(Input!$G30=30,(Input!L30/12),IF(Input!$G30=60,Input!L30/6,IF(Input!$G30=90,(Input!L30/4),IF(Input!$G30=120,Input!L30/3,IF(Input!$G30=150,Input!L30*0.416667,Input!L30/2))))))</f>
        <v>0</v>
      </c>
      <c r="H20" s="35">
        <f>+IF(Input!$G30=0,0,IF(Input!$G30=30,(Input!M30/12),IF(Input!$G30=60,Input!M30/6,IF(Input!$G30=90,(Input!M30/4),IF(Input!$G30=120,Input!M30/3,IF(Input!$G30=150,Input!M30*0.416667,Input!M30/2))))))</f>
        <v>0</v>
      </c>
      <c r="I20" s="17"/>
      <c r="K20" s="18"/>
      <c r="L20" s="19" t="str">
        <f t="shared" si="7"/>
        <v>Mp xTipologia 3</v>
      </c>
      <c r="M20" s="35">
        <f>+Input!$F30*Input!I30</f>
        <v>0</v>
      </c>
      <c r="N20" s="35">
        <f>+Input!$F30*Input!J30</f>
        <v>0</v>
      </c>
      <c r="O20" s="35">
        <f>+Input!$F30*Input!K30</f>
        <v>0</v>
      </c>
      <c r="P20" s="35">
        <f>+Input!$F30*Input!L30</f>
        <v>0</v>
      </c>
      <c r="Q20" s="35">
        <f>+Input!$F30*Input!M30</f>
        <v>0</v>
      </c>
      <c r="R20" s="17"/>
      <c r="T20" s="18"/>
      <c r="U20" s="19" t="str">
        <f t="shared" si="8"/>
        <v>Mp xTipologia 3</v>
      </c>
      <c r="V20" s="35">
        <f t="shared" si="9"/>
        <v>0</v>
      </c>
      <c r="W20" s="35">
        <f t="shared" si="5"/>
        <v>0</v>
      </c>
      <c r="X20" s="35">
        <f t="shared" si="5"/>
        <v>0</v>
      </c>
      <c r="Y20" s="35">
        <f t="shared" si="5"/>
        <v>0</v>
      </c>
      <c r="Z20" s="35">
        <f t="shared" si="5"/>
        <v>0</v>
      </c>
      <c r="AA20" s="17"/>
    </row>
    <row r="21" spans="2:27" ht="15">
      <c r="B21" s="18"/>
      <c r="C21" s="19" t="str">
        <f t="shared" si="6"/>
        <v>Mp xTipologia 4</v>
      </c>
      <c r="D21" s="35">
        <f>+IF(Input!$G31=0,0,IF(Input!$G31=30,(Input!I31/12),IF(Input!$G31=60,Input!I31/6,IF(Input!$G31=90,(Input!I31/4),IF(Input!$G31=120,Input!I31/3,IF(Input!$G31=150,Input!I31*0.416667,Input!I31/2))))))</f>
        <v>0</v>
      </c>
      <c r="E21" s="35">
        <f>+IF(Input!$G31=0,0,IF(Input!$G31=30,(Input!J31/12),IF(Input!$G31=60,Input!J31/6,IF(Input!$G31=90,(Input!J31/4),IF(Input!$G31=120,Input!J31/3,IF(Input!$G31=150,Input!J31*0.416667,Input!J31/2))))))</f>
        <v>0</v>
      </c>
      <c r="F21" s="35">
        <f>+IF(Input!$G31=0,0,IF(Input!$G31=30,(Input!K31/12),IF(Input!$G31=60,Input!K31/6,IF(Input!$G31=90,(Input!K31/4),IF(Input!$G31=120,Input!K31/3,IF(Input!$G31=150,Input!K31*0.416667,Input!K31/2))))))</f>
        <v>0</v>
      </c>
      <c r="G21" s="35">
        <f>+IF(Input!$G31=0,0,IF(Input!$G31=30,(Input!L31/12),IF(Input!$G31=60,Input!L31/6,IF(Input!$G31=90,(Input!L31/4),IF(Input!$G31=120,Input!L31/3,IF(Input!$G31=150,Input!L31*0.416667,Input!L31/2))))))</f>
        <v>0</v>
      </c>
      <c r="H21" s="35">
        <f>+IF(Input!$G31=0,0,IF(Input!$G31=30,(Input!M31/12),IF(Input!$G31=60,Input!M31/6,IF(Input!$G31=90,(Input!M31/4),IF(Input!$G31=120,Input!M31/3,IF(Input!$G31=150,Input!M31*0.416667,Input!M31/2))))))</f>
        <v>0</v>
      </c>
      <c r="I21" s="17"/>
      <c r="K21" s="18"/>
      <c r="L21" s="19" t="str">
        <f t="shared" si="7"/>
        <v>Mp xTipologia 4</v>
      </c>
      <c r="M21" s="35">
        <f>+Input!$F31*Input!I31</f>
        <v>0</v>
      </c>
      <c r="N21" s="35">
        <f>+Input!$F31*Input!J31</f>
        <v>0</v>
      </c>
      <c r="O21" s="35">
        <f>+Input!$F31*Input!K31</f>
        <v>0</v>
      </c>
      <c r="P21" s="35">
        <f>+Input!$F31*Input!L31</f>
        <v>0</v>
      </c>
      <c r="Q21" s="35">
        <f>+Input!$F31*Input!M31</f>
        <v>0</v>
      </c>
      <c r="R21" s="17"/>
      <c r="T21" s="18"/>
      <c r="U21" s="19" t="str">
        <f t="shared" si="8"/>
        <v>Mp xTipologia 4</v>
      </c>
      <c r="V21" s="35">
        <f t="shared" si="9"/>
        <v>0</v>
      </c>
      <c r="W21" s="35">
        <f t="shared" si="5"/>
        <v>0</v>
      </c>
      <c r="X21" s="35">
        <f t="shared" si="5"/>
        <v>0</v>
      </c>
      <c r="Y21" s="35">
        <f t="shared" si="5"/>
        <v>0</v>
      </c>
      <c r="Z21" s="35">
        <f t="shared" si="5"/>
        <v>0</v>
      </c>
      <c r="AA21" s="17"/>
    </row>
    <row r="22" spans="2:27" ht="15">
      <c r="B22" s="18"/>
      <c r="C22" s="19" t="str">
        <f t="shared" si="6"/>
        <v>Mp xTipologia 5</v>
      </c>
      <c r="D22" s="35">
        <f>+IF(Input!$G32=0,0,IF(Input!$G32=30,(Input!I32/12),IF(Input!$G32=60,Input!I32/6,IF(Input!$G32=90,(Input!I32/4),IF(Input!$G32=120,Input!I32/3,IF(Input!$G32=150,Input!I32*0.416667,Input!I32/2))))))</f>
        <v>0</v>
      </c>
      <c r="E22" s="35">
        <f>+IF(Input!$G32=0,0,IF(Input!$G32=30,(Input!J32/12),IF(Input!$G32=60,Input!J32/6,IF(Input!$G32=90,(Input!J32/4),IF(Input!$G32=120,Input!J32/3,IF(Input!$G32=150,Input!J32*0.416667,Input!J32/2))))))</f>
        <v>0</v>
      </c>
      <c r="F22" s="35">
        <f>+IF(Input!$G32=0,0,IF(Input!$G32=30,(Input!K32/12),IF(Input!$G32=60,Input!K32/6,IF(Input!$G32=90,(Input!K32/4),IF(Input!$G32=120,Input!K32/3,IF(Input!$G32=150,Input!K32*0.416667,Input!K32/2))))))</f>
        <v>0</v>
      </c>
      <c r="G22" s="35">
        <f>+IF(Input!$G32=0,0,IF(Input!$G32=30,(Input!L32/12),IF(Input!$G32=60,Input!L32/6,IF(Input!$G32=90,(Input!L32/4),IF(Input!$G32=120,Input!L32/3,IF(Input!$G32=150,Input!L32*0.416667,Input!L32/2))))))</f>
        <v>0</v>
      </c>
      <c r="H22" s="35">
        <f>+IF(Input!$G32=0,0,IF(Input!$G32=30,(Input!M32/12),IF(Input!$G32=60,Input!M32/6,IF(Input!$G32=90,(Input!M32/4),IF(Input!$G32=120,Input!M32/3,IF(Input!$G32=150,Input!M32*0.416667,Input!M32/2))))))</f>
        <v>0</v>
      </c>
      <c r="I22" s="17"/>
      <c r="K22" s="18"/>
      <c r="L22" s="19" t="str">
        <f t="shared" si="7"/>
        <v>Mp xTipologia 5</v>
      </c>
      <c r="M22" s="35">
        <f>+Input!$F32*Input!I32</f>
        <v>0</v>
      </c>
      <c r="N22" s="35">
        <f>+Input!$F32*Input!J32</f>
        <v>0</v>
      </c>
      <c r="O22" s="35">
        <f>+Input!$F32*Input!K32</f>
        <v>0</v>
      </c>
      <c r="P22" s="35">
        <f>+Input!$F32*Input!L32</f>
        <v>0</v>
      </c>
      <c r="Q22" s="35">
        <f>+Input!$F32*Input!M32</f>
        <v>0</v>
      </c>
      <c r="R22" s="17"/>
      <c r="T22" s="18"/>
      <c r="U22" s="19" t="str">
        <f t="shared" si="8"/>
        <v>Mp xTipologia 5</v>
      </c>
      <c r="V22" s="35">
        <f t="shared" si="9"/>
        <v>0</v>
      </c>
      <c r="W22" s="35">
        <f t="shared" si="5"/>
        <v>0</v>
      </c>
      <c r="X22" s="35">
        <f t="shared" si="5"/>
        <v>0</v>
      </c>
      <c r="Y22" s="35">
        <f t="shared" si="5"/>
        <v>0</v>
      </c>
      <c r="Z22" s="35">
        <f t="shared" si="5"/>
        <v>0</v>
      </c>
      <c r="AA22" s="17"/>
    </row>
    <row r="23" spans="2:27" ht="15">
      <c r="B23" s="18"/>
      <c r="C23" s="19" t="str">
        <f t="shared" si="6"/>
        <v>Mp xTipologia 6</v>
      </c>
      <c r="D23" s="35">
        <f>+IF(Input!$G33=0,0,IF(Input!$G33=30,(Input!I33/12),IF(Input!$G33=60,Input!I33/6,IF(Input!$G33=90,(Input!I33/4),IF(Input!$G33=120,Input!I33/3,IF(Input!$G33=150,Input!I33*0.416667,Input!I33/2))))))</f>
        <v>0</v>
      </c>
      <c r="E23" s="35">
        <f>+IF(Input!$G33=0,0,IF(Input!$G33=30,(Input!J33/12),IF(Input!$G33=60,Input!J33/6,IF(Input!$G33=90,(Input!J33/4),IF(Input!$G33=120,Input!J33/3,IF(Input!$G33=150,Input!J33*0.416667,Input!J33/2))))))</f>
        <v>0</v>
      </c>
      <c r="F23" s="35">
        <f>+IF(Input!$G33=0,0,IF(Input!$G33=30,(Input!K33/12),IF(Input!$G33=60,Input!K33/6,IF(Input!$G33=90,(Input!K33/4),IF(Input!$G33=120,Input!K33/3,IF(Input!$G33=150,Input!K33*0.416667,Input!K33/2))))))</f>
        <v>0</v>
      </c>
      <c r="G23" s="35">
        <f>+IF(Input!$G33=0,0,IF(Input!$G33=30,(Input!L33/12),IF(Input!$G33=60,Input!L33/6,IF(Input!$G33=90,(Input!L33/4),IF(Input!$G33=120,Input!L33/3,IF(Input!$G33=150,Input!L33*0.416667,Input!L33/2))))))</f>
        <v>0</v>
      </c>
      <c r="H23" s="35">
        <f>+IF(Input!$G33=0,0,IF(Input!$G33=30,(Input!M33/12),IF(Input!$G33=60,Input!M33/6,IF(Input!$G33=90,(Input!M33/4),IF(Input!$G33=120,Input!M33/3,IF(Input!$G33=150,Input!M33*0.416667,Input!M33/2))))))</f>
        <v>0</v>
      </c>
      <c r="I23" s="17"/>
      <c r="K23" s="18"/>
      <c r="L23" s="19" t="str">
        <f t="shared" si="7"/>
        <v>Mp xTipologia 6</v>
      </c>
      <c r="M23" s="35">
        <f>+Input!$F33*Input!I33</f>
        <v>0</v>
      </c>
      <c r="N23" s="35">
        <f>+Input!$F33*Input!J33</f>
        <v>0</v>
      </c>
      <c r="O23" s="35">
        <f>+Input!$F33*Input!K33</f>
        <v>0</v>
      </c>
      <c r="P23" s="35">
        <f>+Input!$F33*Input!L33</f>
        <v>0</v>
      </c>
      <c r="Q23" s="35">
        <f>+Input!$F33*Input!M33</f>
        <v>0</v>
      </c>
      <c r="R23" s="17"/>
      <c r="T23" s="18"/>
      <c r="U23" s="19" t="str">
        <f t="shared" si="8"/>
        <v>Mp xTipologia 6</v>
      </c>
      <c r="V23" s="35">
        <f t="shared" si="9"/>
        <v>0</v>
      </c>
      <c r="W23" s="35">
        <f t="shared" si="5"/>
        <v>0</v>
      </c>
      <c r="X23" s="35">
        <f t="shared" si="5"/>
        <v>0</v>
      </c>
      <c r="Y23" s="35">
        <f t="shared" si="5"/>
        <v>0</v>
      </c>
      <c r="Z23" s="35">
        <f t="shared" si="5"/>
        <v>0</v>
      </c>
      <c r="AA23" s="17"/>
    </row>
    <row r="24" spans="2:27" ht="15">
      <c r="B24" s="18"/>
      <c r="C24" s="19" t="str">
        <f t="shared" si="6"/>
        <v>Mp xTipologia 7</v>
      </c>
      <c r="D24" s="35">
        <f>+IF(Input!$G34=0,0,IF(Input!$G34=30,(Input!I34/12),IF(Input!$G34=60,Input!I34/6,IF(Input!$G34=90,(Input!I34/4),IF(Input!$G34=120,Input!I34/3,IF(Input!$G34=150,Input!I34*0.416667,Input!I34/2))))))</f>
        <v>0</v>
      </c>
      <c r="E24" s="35">
        <f>+IF(Input!$G34=0,0,IF(Input!$G34=30,(Input!J34/12),IF(Input!$G34=60,Input!J34/6,IF(Input!$G34=90,(Input!J34/4),IF(Input!$G34=120,Input!J34/3,IF(Input!$G34=150,Input!J34*0.416667,Input!J34/2))))))</f>
        <v>0</v>
      </c>
      <c r="F24" s="35">
        <f>+IF(Input!$G34=0,0,IF(Input!$G34=30,(Input!K34/12),IF(Input!$G34=60,Input!K34/6,IF(Input!$G34=90,(Input!K34/4),IF(Input!$G34=120,Input!K34/3,IF(Input!$G34=150,Input!K34*0.416667,Input!K34/2))))))</f>
        <v>0</v>
      </c>
      <c r="G24" s="35">
        <f>+IF(Input!$G34=0,0,IF(Input!$G34=30,(Input!L34/12),IF(Input!$G34=60,Input!L34/6,IF(Input!$G34=90,(Input!L34/4),IF(Input!$G34=120,Input!L34/3,IF(Input!$G34=150,Input!L34*0.416667,Input!L34/2))))))</f>
        <v>0</v>
      </c>
      <c r="H24" s="35">
        <f>+IF(Input!$G34=0,0,IF(Input!$G34=30,(Input!M34/12),IF(Input!$G34=60,Input!M34/6,IF(Input!$G34=90,(Input!M34/4),IF(Input!$G34=120,Input!M34/3,IF(Input!$G34=150,Input!M34*0.416667,Input!M34/2))))))</f>
        <v>0</v>
      </c>
      <c r="I24" s="17"/>
      <c r="K24" s="18"/>
      <c r="L24" s="19" t="str">
        <f t="shared" si="7"/>
        <v>Mp xTipologia 7</v>
      </c>
      <c r="M24" s="35">
        <f>+Input!$F34*Input!I34</f>
        <v>0</v>
      </c>
      <c r="N24" s="35">
        <f>+Input!$F34*Input!J34</f>
        <v>0</v>
      </c>
      <c r="O24" s="35">
        <f>+Input!$F34*Input!K34</f>
        <v>0</v>
      </c>
      <c r="P24" s="35">
        <f>+Input!$F34*Input!L34</f>
        <v>0</v>
      </c>
      <c r="Q24" s="35">
        <f>+Input!$F34*Input!M34</f>
        <v>0</v>
      </c>
      <c r="R24" s="17"/>
      <c r="T24" s="18"/>
      <c r="U24" s="19" t="str">
        <f t="shared" si="8"/>
        <v>Mp xTipologia 7</v>
      </c>
      <c r="V24" s="35">
        <f t="shared" si="9"/>
        <v>0</v>
      </c>
      <c r="W24" s="35">
        <f t="shared" si="5"/>
        <v>0</v>
      </c>
      <c r="X24" s="35">
        <f t="shared" si="5"/>
        <v>0</v>
      </c>
      <c r="Y24" s="35">
        <f t="shared" si="5"/>
        <v>0</v>
      </c>
      <c r="Z24" s="35">
        <f t="shared" si="5"/>
        <v>0</v>
      </c>
      <c r="AA24" s="17"/>
    </row>
    <row r="25" spans="2:27" ht="15">
      <c r="B25" s="18"/>
      <c r="C25" s="19" t="str">
        <f t="shared" si="6"/>
        <v>Mp xTipologia 8</v>
      </c>
      <c r="D25" s="35">
        <f>+IF(Input!$G35=0,0,IF(Input!$G35=30,(Input!I35/12),IF(Input!$G35=60,Input!I35/6,IF(Input!$G35=90,(Input!I35/4),IF(Input!$G35=120,Input!I35/3,IF(Input!$G35=150,Input!I35*0.416667,Input!I35/2))))))</f>
        <v>0</v>
      </c>
      <c r="E25" s="35">
        <f>+IF(Input!$G35=0,0,IF(Input!$G35=30,(Input!J35/12),IF(Input!$G35=60,Input!J35/6,IF(Input!$G35=90,(Input!J35/4),IF(Input!$G35=120,Input!J35/3,IF(Input!$G35=150,Input!J35*0.416667,Input!J35/2))))))</f>
        <v>0</v>
      </c>
      <c r="F25" s="35">
        <f>+IF(Input!$G35=0,0,IF(Input!$G35=30,(Input!K35/12),IF(Input!$G35=60,Input!K35/6,IF(Input!$G35=90,(Input!K35/4),IF(Input!$G35=120,Input!K35/3,IF(Input!$G35=150,Input!K35*0.416667,Input!K35/2))))))</f>
        <v>0</v>
      </c>
      <c r="G25" s="35">
        <f>+IF(Input!$G35=0,0,IF(Input!$G35=30,(Input!L35/12),IF(Input!$G35=60,Input!L35/6,IF(Input!$G35=90,(Input!L35/4),IF(Input!$G35=120,Input!L35/3,IF(Input!$G35=150,Input!L35*0.416667,Input!L35/2))))))</f>
        <v>0</v>
      </c>
      <c r="H25" s="35">
        <f>+IF(Input!$G35=0,0,IF(Input!$G35=30,(Input!M35/12),IF(Input!$G35=60,Input!M35/6,IF(Input!$G35=90,(Input!M35/4),IF(Input!$G35=120,Input!M35/3,IF(Input!$G35=150,Input!M35*0.416667,Input!M35/2))))))</f>
        <v>0</v>
      </c>
      <c r="I25" s="17"/>
      <c r="K25" s="18"/>
      <c r="L25" s="19" t="str">
        <f t="shared" si="7"/>
        <v>Mp xTipologia 8</v>
      </c>
      <c r="M25" s="35">
        <f>+Input!$F35*Input!I35</f>
        <v>0</v>
      </c>
      <c r="N25" s="35">
        <f>+Input!$F35*Input!J35</f>
        <v>0</v>
      </c>
      <c r="O25" s="35">
        <f>+Input!$F35*Input!K35</f>
        <v>0</v>
      </c>
      <c r="P25" s="35">
        <f>+Input!$F35*Input!L35</f>
        <v>0</v>
      </c>
      <c r="Q25" s="35">
        <f>+Input!$F35*Input!M35</f>
        <v>0</v>
      </c>
      <c r="R25" s="17"/>
      <c r="T25" s="18"/>
      <c r="U25" s="19" t="str">
        <f t="shared" si="8"/>
        <v>Mp xTipologia 8</v>
      </c>
      <c r="V25" s="35">
        <f t="shared" si="9"/>
        <v>0</v>
      </c>
      <c r="W25" s="35">
        <f t="shared" si="5"/>
        <v>0</v>
      </c>
      <c r="X25" s="35">
        <f t="shared" si="5"/>
        <v>0</v>
      </c>
      <c r="Y25" s="35">
        <f t="shared" si="5"/>
        <v>0</v>
      </c>
      <c r="Z25" s="35">
        <f t="shared" si="5"/>
        <v>0</v>
      </c>
      <c r="AA25" s="17"/>
    </row>
    <row r="26" spans="2:27" ht="15">
      <c r="B26" s="18"/>
      <c r="C26" s="19" t="str">
        <f t="shared" si="6"/>
        <v>Mp xTipologia 9</v>
      </c>
      <c r="D26" s="35">
        <f>+IF(Input!$G36=0,0,IF(Input!$G36=30,(Input!I36/12),IF(Input!$G36=60,Input!I36/6,IF(Input!$G36=90,(Input!I36/4),IF(Input!$G36=120,Input!I36/3,IF(Input!$G36=150,Input!I36*0.416667,Input!I36/2))))))</f>
        <v>0</v>
      </c>
      <c r="E26" s="35">
        <f>+IF(Input!$G36=0,0,IF(Input!$G36=30,(Input!J36/12),IF(Input!$G36=60,Input!J36/6,IF(Input!$G36=90,(Input!J36/4),IF(Input!$G36=120,Input!J36/3,IF(Input!$G36=150,Input!J36*0.416667,Input!J36/2))))))</f>
        <v>0</v>
      </c>
      <c r="F26" s="35">
        <f>+IF(Input!$G36=0,0,IF(Input!$G36=30,(Input!K36/12),IF(Input!$G36=60,Input!K36/6,IF(Input!$G36=90,(Input!K36/4),IF(Input!$G36=120,Input!K36/3,IF(Input!$G36=150,Input!K36*0.416667,Input!K36/2))))))</f>
        <v>0</v>
      </c>
      <c r="G26" s="35">
        <f>+IF(Input!$G36=0,0,IF(Input!$G36=30,(Input!L36/12),IF(Input!$G36=60,Input!L36/6,IF(Input!$G36=90,(Input!L36/4),IF(Input!$G36=120,Input!L36/3,IF(Input!$G36=150,Input!L36*0.416667,Input!L36/2))))))</f>
        <v>0</v>
      </c>
      <c r="H26" s="35">
        <f>+IF(Input!$G36=0,0,IF(Input!$G36=30,(Input!M36/12),IF(Input!$G36=60,Input!M36/6,IF(Input!$G36=90,(Input!M36/4),IF(Input!$G36=120,Input!M36/3,IF(Input!$G36=150,Input!M36*0.416667,Input!M36/2))))))</f>
        <v>0</v>
      </c>
      <c r="I26" s="17"/>
      <c r="K26" s="18"/>
      <c r="L26" s="19" t="str">
        <f t="shared" si="7"/>
        <v>Mp xTipologia 9</v>
      </c>
      <c r="M26" s="35">
        <f>+Input!$F36*Input!I36</f>
        <v>0</v>
      </c>
      <c r="N26" s="35">
        <f>+Input!$F36*Input!J36</f>
        <v>0</v>
      </c>
      <c r="O26" s="35">
        <f>+Input!$F36*Input!K36</f>
        <v>0</v>
      </c>
      <c r="P26" s="35">
        <f>+Input!$F36*Input!L36</f>
        <v>0</v>
      </c>
      <c r="Q26" s="35">
        <f>+Input!$F36*Input!M36</f>
        <v>0</v>
      </c>
      <c r="R26" s="17"/>
      <c r="T26" s="18"/>
      <c r="U26" s="19" t="str">
        <f t="shared" si="8"/>
        <v>Mp xTipologia 9</v>
      </c>
      <c r="V26" s="35">
        <f t="shared" si="9"/>
        <v>0</v>
      </c>
      <c r="W26" s="35">
        <f t="shared" si="5"/>
        <v>0</v>
      </c>
      <c r="X26" s="35">
        <f t="shared" si="5"/>
        <v>0</v>
      </c>
      <c r="Y26" s="35">
        <f t="shared" si="5"/>
        <v>0</v>
      </c>
      <c r="Z26" s="35">
        <f t="shared" si="5"/>
        <v>0</v>
      </c>
      <c r="AA26" s="17"/>
    </row>
    <row r="27" spans="2:27" ht="15">
      <c r="B27" s="18"/>
      <c r="C27" s="14" t="s">
        <v>27</v>
      </c>
      <c r="D27" s="36">
        <f>SUM(D18:D26)</f>
        <v>0</v>
      </c>
      <c r="E27" s="36">
        <f>SUM(E18:E26)</f>
        <v>0</v>
      </c>
      <c r="F27" s="36">
        <f>SUM(F18:F26)</f>
        <v>0</v>
      </c>
      <c r="G27" s="36">
        <f>SUM(G18:G26)</f>
        <v>0</v>
      </c>
      <c r="H27" s="36">
        <f>SUM(H18:H26)</f>
        <v>0</v>
      </c>
      <c r="I27" s="17"/>
      <c r="K27" s="18"/>
      <c r="L27" s="14" t="s">
        <v>24</v>
      </c>
      <c r="M27" s="36">
        <f>SUM(M18:M26)</f>
        <v>42000</v>
      </c>
      <c r="N27" s="36">
        <f>SUM(N18:N26)</f>
        <v>58800</v>
      </c>
      <c r="O27" s="36">
        <f>SUM(O18:O26)</f>
        <v>78120</v>
      </c>
      <c r="P27" s="36">
        <f>SUM(P18:P26)</f>
        <v>79800</v>
      </c>
      <c r="Q27" s="36">
        <f>SUM(Q18:Q26)</f>
        <v>79800</v>
      </c>
      <c r="R27" s="17"/>
      <c r="T27" s="18"/>
      <c r="U27" s="14" t="s">
        <v>371</v>
      </c>
      <c r="V27" s="36">
        <f>SUM(V18:V26)</f>
        <v>3500</v>
      </c>
      <c r="W27" s="36">
        <f>SUM(W18:W26)</f>
        <v>4900</v>
      </c>
      <c r="X27" s="36">
        <f>SUM(X18:X26)</f>
        <v>6510</v>
      </c>
      <c r="Y27" s="36">
        <f>SUM(Y18:Y26)</f>
        <v>6650</v>
      </c>
      <c r="Z27" s="36">
        <f>SUM(Z18:Z26)</f>
        <v>6650</v>
      </c>
      <c r="AA27" s="17"/>
    </row>
    <row r="28" spans="2:27" ht="15.75" thickBot="1">
      <c r="B28" s="20"/>
      <c r="C28" s="21"/>
      <c r="D28" s="21"/>
      <c r="E28" s="21"/>
      <c r="F28" s="21"/>
      <c r="G28" s="21"/>
      <c r="H28" s="21"/>
      <c r="I28" s="22"/>
      <c r="K28" s="20"/>
      <c r="L28" s="21"/>
      <c r="M28" s="21"/>
      <c r="N28" s="21"/>
      <c r="O28" s="21"/>
      <c r="P28" s="21"/>
      <c r="Q28" s="21"/>
      <c r="R28" s="22"/>
      <c r="T28" s="20"/>
      <c r="U28" s="21"/>
      <c r="V28" s="21"/>
      <c r="W28" s="21"/>
      <c r="X28" s="21"/>
      <c r="Y28" s="21"/>
      <c r="Z28" s="21"/>
      <c r="AA28" s="22"/>
    </row>
    <row r="29" ht="15.75" thickBot="1"/>
    <row r="30" spans="2:27" ht="15">
      <c r="B30" s="10"/>
      <c r="C30" s="11"/>
      <c r="D30" s="11"/>
      <c r="E30" s="11"/>
      <c r="F30" s="11"/>
      <c r="G30" s="11"/>
      <c r="H30" s="11"/>
      <c r="I30" s="12"/>
      <c r="K30" s="10"/>
      <c r="L30" s="11"/>
      <c r="M30" s="11"/>
      <c r="N30" s="11"/>
      <c r="O30" s="11"/>
      <c r="P30" s="11"/>
      <c r="Q30" s="11"/>
      <c r="R30" s="12"/>
      <c r="T30" s="10"/>
      <c r="U30" s="11"/>
      <c r="V30" s="11"/>
      <c r="W30" s="11"/>
      <c r="X30" s="11"/>
      <c r="Y30" s="11"/>
      <c r="Z30" s="11"/>
      <c r="AA30" s="12"/>
    </row>
    <row r="31" spans="2:27" ht="15">
      <c r="B31" s="18"/>
      <c r="C31" s="14" t="s">
        <v>20</v>
      </c>
      <c r="D31" s="15" t="str">
        <f>+D17</f>
        <v>Anno 1</v>
      </c>
      <c r="E31" s="15" t="str">
        <f>+E17</f>
        <v>Anno 2</v>
      </c>
      <c r="F31" s="15" t="str">
        <f>+F17</f>
        <v>Anno 3</v>
      </c>
      <c r="G31" s="15" t="str">
        <f>+G17</f>
        <v>Anno 4</v>
      </c>
      <c r="H31" s="15" t="str">
        <f>+H17</f>
        <v>Anno 5</v>
      </c>
      <c r="I31" s="38"/>
      <c r="K31" s="18"/>
      <c r="L31" s="14" t="s">
        <v>23</v>
      </c>
      <c r="M31" s="15" t="str">
        <f>+M17</f>
        <v>Anno 1</v>
      </c>
      <c r="N31" s="15" t="str">
        <f>+N17</f>
        <v>Anno 2</v>
      </c>
      <c r="O31" s="15" t="str">
        <f>+O17</f>
        <v>Anno 3</v>
      </c>
      <c r="P31" s="15" t="str">
        <f>+P17</f>
        <v>Anno 4</v>
      </c>
      <c r="Q31" s="15" t="str">
        <f>+Q17</f>
        <v>Anno 5</v>
      </c>
      <c r="R31" s="38"/>
      <c r="T31" s="18"/>
      <c r="U31" s="14" t="s">
        <v>370</v>
      </c>
      <c r="V31" s="15" t="str">
        <f>+V17</f>
        <v>Anno 1</v>
      </c>
      <c r="W31" s="15" t="str">
        <f>+W17</f>
        <v>Anno 2</v>
      </c>
      <c r="X31" s="15" t="str">
        <f>+X17</f>
        <v>Anno 3</v>
      </c>
      <c r="Y31" s="15" t="str">
        <f>+Y17</f>
        <v>Anno 4</v>
      </c>
      <c r="Z31" s="15" t="str">
        <f>+Z17</f>
        <v>Anno 5</v>
      </c>
      <c r="AA31" s="38"/>
    </row>
    <row r="32" spans="2:27" ht="15">
      <c r="B32" s="18"/>
      <c r="C32" s="19" t="str">
        <f>+C18</f>
        <v>Mp xTipologia 1</v>
      </c>
      <c r="D32" s="35">
        <f>+IF(Input!$G41=0,0,IF(Input!$G41=30,(V4+M32)/12,IF(Input!$G41=60,(V4+M32)/6,IF(Input!$G41=90,(V4+M32)/4,IF(Input!$G41=120,(V4+M32)/3,IF(Input!$G41=150,(V4+M32)*0.416667,(V4+M32)/2))))))</f>
        <v>0</v>
      </c>
      <c r="E32" s="35">
        <f>+IF(Input!$G41=0,0,IF(Input!$G41=30,(W4+N32)/12,IF(Input!$G41=60,(W4+N32)/6,IF(Input!$G41=90,(W4+N32)/4,IF(Input!$G41=120,(W4+N32)/3,IF(Input!$G41=150,(W4+N32)*0.416667,(W4+N32)/2))))))</f>
        <v>0</v>
      </c>
      <c r="F32" s="35">
        <f>+IF(Input!$G41=0,0,IF(Input!$G41=30,(X4+O32)/12,IF(Input!$G41=60,(X4+O32)/6,IF(Input!$G41=90,(X4+O32)/4,IF(Input!$G41=120,(X4+O32)/3,IF(Input!$G41=150,(X4+O32)*0.416667,(X4+O32)/2))))))</f>
        <v>0</v>
      </c>
      <c r="G32" s="35">
        <f>+IF(Input!$G41=0,0,IF(Input!$G41=30,(Y4+P32)/12,IF(Input!$G41=60,(Y4+P32)/6,IF(Input!$G41=90,(Y4+P32)/4,IF(Input!$G41=120,(Y4+P32)/3,IF(Input!$G41=150,(Y4+P32)*0.416667,(Y4+P32)/2))))))</f>
        <v>0</v>
      </c>
      <c r="H32" s="35">
        <f>+IF(Input!$G41=0,0,IF(Input!$G41=30,(Z4+Q32)/12,IF(Input!$G41=60,(Z4+Q32)/6,IF(Input!$G41=90,(Z4+Q32)/4,IF(Input!$G41=120,(Z4+Q32)/3,IF(Input!$G41=150,(Z4+Q32)*0.416667,(Z4+Q32)/2))))))</f>
        <v>0</v>
      </c>
      <c r="I32" s="17"/>
      <c r="K32" s="18"/>
      <c r="L32" s="19" t="str">
        <f>+L18</f>
        <v>Mp xTipologia 1</v>
      </c>
      <c r="M32" s="35">
        <f>+MCL!V4*Input!$E41</f>
        <v>28980</v>
      </c>
      <c r="N32" s="35">
        <f>+MCL!W4*Input!$E41</f>
        <v>40571.99999999999</v>
      </c>
      <c r="O32" s="35">
        <f>+MCL!X4*Input!$E41</f>
        <v>53902.79999999999</v>
      </c>
      <c r="P32" s="35">
        <f>+MCL!Y4*Input!$E41</f>
        <v>55062</v>
      </c>
      <c r="Q32" s="35">
        <f>+MCL!Z4*Input!$E41</f>
        <v>55062</v>
      </c>
      <c r="R32" s="17"/>
      <c r="T32" s="18"/>
      <c r="U32" s="19" t="str">
        <f>+U18</f>
        <v>Mp xTipologia 1</v>
      </c>
      <c r="V32" s="35">
        <f>+M32/12</f>
        <v>2415</v>
      </c>
      <c r="W32" s="35">
        <f aca="true" t="shared" si="10" ref="W32:W40">+N32/12</f>
        <v>3380.9999999999995</v>
      </c>
      <c r="X32" s="35">
        <f aca="true" t="shared" si="11" ref="X32:X40">+O32/12</f>
        <v>4491.899999999999</v>
      </c>
      <c r="Y32" s="35">
        <f aca="true" t="shared" si="12" ref="Y32:Y40">+P32/12</f>
        <v>4588.5</v>
      </c>
      <c r="Z32" s="35">
        <f aca="true" t="shared" si="13" ref="Z32:Z40">+Q32/12</f>
        <v>4588.5</v>
      </c>
      <c r="AA32" s="17"/>
    </row>
    <row r="33" spans="2:27" ht="15">
      <c r="B33" s="18"/>
      <c r="C33" s="19" t="str">
        <f aca="true" t="shared" si="14" ref="C33:C40">+C19</f>
        <v>Mp xTipologia 2</v>
      </c>
      <c r="D33" s="35">
        <f>+IF(Input!$G42=0,0,IF(Input!$G42=30,(V5+M33)/12,IF(Input!$G42=60,(V5+M33)/6,IF(Input!$G42=90,(V5+M33)/4,IF(Input!$G42=120,(V5+M33)/3,IF(Input!$G42=150,(V5+M33)*0.416667,(V5+M33)/2))))))</f>
        <v>0</v>
      </c>
      <c r="E33" s="35">
        <f>+IF(Input!$G42=0,0,IF(Input!$G42=30,(W5+N33)/12,IF(Input!$G42=60,(W5+N33)/6,IF(Input!$G42=90,(W5+N33)/4,IF(Input!$G42=120,(W5+N33)/3,IF(Input!$G42=150,(W5+N33)*0.416667,(W5+N33)/2))))))</f>
        <v>0</v>
      </c>
      <c r="F33" s="35">
        <f>+IF(Input!$G42=0,0,IF(Input!$G42=30,(X5+O33)/12,IF(Input!$G42=60,(X5+O33)/6,IF(Input!$G42=90,(X5+O33)/4,IF(Input!$G42=120,(X5+O33)/3,IF(Input!$G42=150,(X5+O33)*0.416667,(X5+O33)/2))))))</f>
        <v>0</v>
      </c>
      <c r="G33" s="35">
        <f>+IF(Input!$G42=0,0,IF(Input!$G42=30,(Y5+P33)/12,IF(Input!$G42=60,(Y5+P33)/6,IF(Input!$G42=90,(Y5+P33)/4,IF(Input!$G42=120,(Y5+P33)/3,IF(Input!$G42=150,(Y5+P33)*0.416667,(Y5+P33)/2))))))</f>
        <v>0</v>
      </c>
      <c r="H33" s="35">
        <f>+IF(Input!$G42=0,0,IF(Input!$G42=30,(Z5+Q33)/12,IF(Input!$G42=60,(Z5+Q33)/6,IF(Input!$G42=90,(Z5+Q33)/4,IF(Input!$G42=120,(Z5+Q33)/3,IF(Input!$G42=150,(Z5+Q33)*0.416667,(Z5+Q33)/2))))))</f>
        <v>0</v>
      </c>
      <c r="I33" s="17"/>
      <c r="K33" s="18"/>
      <c r="L33" s="19" t="str">
        <f aca="true" t="shared" si="15" ref="L33:L40">+L19</f>
        <v>Mp xTipologia 2</v>
      </c>
      <c r="M33" s="35">
        <f>+MCL!V5*Input!$E42</f>
        <v>0</v>
      </c>
      <c r="N33" s="35">
        <f>+MCL!W5*Input!$E42</f>
        <v>0</v>
      </c>
      <c r="O33" s="35">
        <f>+MCL!X5*Input!$E42</f>
        <v>0</v>
      </c>
      <c r="P33" s="35">
        <f>+MCL!Y5*Input!$E42</f>
        <v>0</v>
      </c>
      <c r="Q33" s="35">
        <f>+MCL!Z5*Input!$E42</f>
        <v>0</v>
      </c>
      <c r="R33" s="17"/>
      <c r="T33" s="18"/>
      <c r="U33" s="19" t="str">
        <f aca="true" t="shared" si="16" ref="U33:U40">+U19</f>
        <v>Mp xTipologia 2</v>
      </c>
      <c r="V33" s="35">
        <f aca="true" t="shared" si="17" ref="V33:V40">+M33/12</f>
        <v>0</v>
      </c>
      <c r="W33" s="35">
        <f t="shared" si="10"/>
        <v>0</v>
      </c>
      <c r="X33" s="35">
        <f t="shared" si="11"/>
        <v>0</v>
      </c>
      <c r="Y33" s="35">
        <f t="shared" si="12"/>
        <v>0</v>
      </c>
      <c r="Z33" s="35">
        <f t="shared" si="13"/>
        <v>0</v>
      </c>
      <c r="AA33" s="17"/>
    </row>
    <row r="34" spans="2:27" ht="15">
      <c r="B34" s="18"/>
      <c r="C34" s="19" t="str">
        <f t="shared" si="14"/>
        <v>Mp xTipologia 3</v>
      </c>
      <c r="D34" s="35">
        <f>+IF(Input!$G43=0,0,IF(Input!$G43=30,(V6+M34)/12,IF(Input!$G43=60,(V6+M34)/6,IF(Input!$G43=90,(V6+M34)/4,IF(Input!$G43=120,(V6+M34)/3,IF(Input!$G43=150,(V6+M34)*0.416667,(V6+M34)/2))))))</f>
        <v>0</v>
      </c>
      <c r="E34" s="35">
        <f>+IF(Input!$G43=0,0,IF(Input!$G43=30,(W6+N34)/12,IF(Input!$G43=60,(W6+N34)/6,IF(Input!$G43=90,(W6+N34)/4,IF(Input!$G43=120,(W6+N34)/3,IF(Input!$G43=150,(W6+N34)*0.416667,(W6+N34)/2))))))</f>
        <v>0</v>
      </c>
      <c r="F34" s="35">
        <f>+IF(Input!$G43=0,0,IF(Input!$G43=30,(X6+O34)/12,IF(Input!$G43=60,(X6+O34)/6,IF(Input!$G43=90,(X6+O34)/4,IF(Input!$G43=120,(X6+O34)/3,IF(Input!$G43=150,(X6+O34)*0.416667,(X6+O34)/2))))))</f>
        <v>0</v>
      </c>
      <c r="G34" s="35">
        <f>+IF(Input!$G43=0,0,IF(Input!$G43=30,(Y6+P34)/12,IF(Input!$G43=60,(Y6+P34)/6,IF(Input!$G43=90,(Y6+P34)/4,IF(Input!$G43=120,(Y6+P34)/3,IF(Input!$G43=150,(Y6+P34)*0.416667,(Y6+P34)/2))))))</f>
        <v>0</v>
      </c>
      <c r="H34" s="35">
        <f>+IF(Input!$G43=0,0,IF(Input!$G43=30,(Z6+Q34)/12,IF(Input!$G43=60,(Z6+Q34)/6,IF(Input!$G43=90,(Z6+Q34)/4,IF(Input!$G43=120,(Z6+Q34)/3,IF(Input!$G43=150,(Z6+Q34)*0.416667,(Z6+Q34)/2))))))</f>
        <v>0</v>
      </c>
      <c r="I34" s="17"/>
      <c r="K34" s="18"/>
      <c r="L34" s="19" t="str">
        <f t="shared" si="15"/>
        <v>Mp xTipologia 3</v>
      </c>
      <c r="M34" s="35">
        <f>+MCL!V6*Input!$E43</f>
        <v>0</v>
      </c>
      <c r="N34" s="35">
        <f>+MCL!W6*Input!$E43</f>
        <v>0</v>
      </c>
      <c r="O34" s="35">
        <f>+MCL!X6*Input!$E43</f>
        <v>0</v>
      </c>
      <c r="P34" s="35">
        <f>+MCL!Y6*Input!$E43</f>
        <v>0</v>
      </c>
      <c r="Q34" s="35">
        <f>+MCL!Z6*Input!$E43</f>
        <v>0</v>
      </c>
      <c r="R34" s="17"/>
      <c r="T34" s="18"/>
      <c r="U34" s="19" t="str">
        <f t="shared" si="16"/>
        <v>Mp xTipologia 3</v>
      </c>
      <c r="V34" s="35">
        <f t="shared" si="17"/>
        <v>0</v>
      </c>
      <c r="W34" s="35">
        <f t="shared" si="10"/>
        <v>0</v>
      </c>
      <c r="X34" s="35">
        <f t="shared" si="11"/>
        <v>0</v>
      </c>
      <c r="Y34" s="35">
        <f t="shared" si="12"/>
        <v>0</v>
      </c>
      <c r="Z34" s="35">
        <f t="shared" si="13"/>
        <v>0</v>
      </c>
      <c r="AA34" s="17"/>
    </row>
    <row r="35" spans="2:27" ht="15">
      <c r="B35" s="18"/>
      <c r="C35" s="19" t="str">
        <f t="shared" si="14"/>
        <v>Mp xTipologia 4</v>
      </c>
      <c r="D35" s="35">
        <f>+IF(Input!$G44=0,0,IF(Input!$G44=30,(V7+M35)/12,IF(Input!$G44=60,(V7+M35)/6,IF(Input!$G44=90,(V7+M35)/4,IF(Input!$G44=120,(V7+M35)/3,IF(Input!$G44=150,(V7+M35)*0.416667,(V7+M35)/2))))))</f>
        <v>0</v>
      </c>
      <c r="E35" s="35">
        <f>+IF(Input!$G44=0,0,IF(Input!$G44=30,(W7+N35)/12,IF(Input!$G44=60,(W7+N35)/6,IF(Input!$G44=90,(W7+N35)/4,IF(Input!$G44=120,(W7+N35)/3,IF(Input!$G44=150,(W7+N35)*0.416667,(W7+N35)/2))))))</f>
        <v>0</v>
      </c>
      <c r="F35" s="35">
        <f>+IF(Input!$G44=0,0,IF(Input!$G44=30,(X7+O35)/12,IF(Input!$G44=60,(X7+O35)/6,IF(Input!$G44=90,(X7+O35)/4,IF(Input!$G44=120,(X7+O35)/3,IF(Input!$G44=150,(X7+O35)*0.416667,(X7+O35)/2))))))</f>
        <v>0</v>
      </c>
      <c r="G35" s="35">
        <f>+IF(Input!$G44=0,0,IF(Input!$G44=30,(Y7+P35)/12,IF(Input!$G44=60,(Y7+P35)/6,IF(Input!$G44=90,(Y7+P35)/4,IF(Input!$G44=120,(Y7+P35)/3,IF(Input!$G44=150,(Y7+P35)*0.416667,(Y7+P35)/2))))))</f>
        <v>0</v>
      </c>
      <c r="H35" s="35">
        <f>+IF(Input!$G44=0,0,IF(Input!$G44=30,(Z7+Q35)/12,IF(Input!$G44=60,(Z7+Q35)/6,IF(Input!$G44=90,(Z7+Q35)/4,IF(Input!$G44=120,(Z7+Q35)/3,IF(Input!$G44=150,(Z7+Q35)*0.416667,(Z7+Q35)/2))))))</f>
        <v>0</v>
      </c>
      <c r="I35" s="17"/>
      <c r="K35" s="18"/>
      <c r="L35" s="19" t="str">
        <f t="shared" si="15"/>
        <v>Mp xTipologia 4</v>
      </c>
      <c r="M35" s="35">
        <f>+MCL!V7*Input!$E44</f>
        <v>0</v>
      </c>
      <c r="N35" s="35">
        <f>+MCL!W7*Input!$E44</f>
        <v>0</v>
      </c>
      <c r="O35" s="35">
        <f>+MCL!X7*Input!$E44</f>
        <v>0</v>
      </c>
      <c r="P35" s="35">
        <f>+MCL!Y7*Input!$E44</f>
        <v>0</v>
      </c>
      <c r="Q35" s="35">
        <f>+MCL!Z7*Input!$E44</f>
        <v>0</v>
      </c>
      <c r="R35" s="17"/>
      <c r="T35" s="18"/>
      <c r="U35" s="19" t="str">
        <f t="shared" si="16"/>
        <v>Mp xTipologia 4</v>
      </c>
      <c r="V35" s="35">
        <f t="shared" si="17"/>
        <v>0</v>
      </c>
      <c r="W35" s="35">
        <f t="shared" si="10"/>
        <v>0</v>
      </c>
      <c r="X35" s="35">
        <f t="shared" si="11"/>
        <v>0</v>
      </c>
      <c r="Y35" s="35">
        <f t="shared" si="12"/>
        <v>0</v>
      </c>
      <c r="Z35" s="35">
        <f t="shared" si="13"/>
        <v>0</v>
      </c>
      <c r="AA35" s="17"/>
    </row>
    <row r="36" spans="2:27" ht="15">
      <c r="B36" s="18"/>
      <c r="C36" s="19" t="str">
        <f t="shared" si="14"/>
        <v>Mp xTipologia 5</v>
      </c>
      <c r="D36" s="35">
        <f>+IF(Input!$G45=0,0,IF(Input!$G45=30,(V8+M36)/12,IF(Input!$G45=60,(V8+M36)/6,IF(Input!$G45=90,(V8+M36)/4,IF(Input!$G45=120,(V8+M36)/3,IF(Input!$G45=150,(V8+M36)*0.416667,(V8+M36)/2))))))</f>
        <v>0</v>
      </c>
      <c r="E36" s="35">
        <f>+IF(Input!$G45=0,0,IF(Input!$G45=30,(W8+N36)/12,IF(Input!$G45=60,(W8+N36)/6,IF(Input!$G45=90,(W8+N36)/4,IF(Input!$G45=120,(W8+N36)/3,IF(Input!$G45=150,(W8+N36)*0.416667,(W8+N36)/2))))))</f>
        <v>0</v>
      </c>
      <c r="F36" s="35">
        <f>+IF(Input!$G45=0,0,IF(Input!$G45=30,(X8+O36)/12,IF(Input!$G45=60,(X8+O36)/6,IF(Input!$G45=90,(X8+O36)/4,IF(Input!$G45=120,(X8+O36)/3,IF(Input!$G45=150,(X8+O36)*0.416667,(X8+O36)/2))))))</f>
        <v>0</v>
      </c>
      <c r="G36" s="35">
        <f>+IF(Input!$G45=0,0,IF(Input!$G45=30,(Y8+P36)/12,IF(Input!$G45=60,(Y8+P36)/6,IF(Input!$G45=90,(Y8+P36)/4,IF(Input!$G45=120,(Y8+P36)/3,IF(Input!$G45=150,(Y8+P36)*0.416667,(Y8+P36)/2))))))</f>
        <v>0</v>
      </c>
      <c r="H36" s="35">
        <f>+IF(Input!$G45=0,0,IF(Input!$G45=30,(Z8+Q36)/12,IF(Input!$G45=60,(Z8+Q36)/6,IF(Input!$G45=90,(Z8+Q36)/4,IF(Input!$G45=120,(Z8+Q36)/3,IF(Input!$G45=150,(Z8+Q36)*0.416667,(Z8+Q36)/2))))))</f>
        <v>0</v>
      </c>
      <c r="I36" s="17"/>
      <c r="K36" s="18"/>
      <c r="L36" s="19" t="str">
        <f t="shared" si="15"/>
        <v>Mp xTipologia 5</v>
      </c>
      <c r="M36" s="35">
        <f>+MCL!V8*Input!$E45</f>
        <v>0</v>
      </c>
      <c r="N36" s="35">
        <f>+MCL!W8*Input!$E45</f>
        <v>0</v>
      </c>
      <c r="O36" s="35">
        <f>+MCL!X8*Input!$E45</f>
        <v>0</v>
      </c>
      <c r="P36" s="35">
        <f>+MCL!Y8*Input!$E45</f>
        <v>0</v>
      </c>
      <c r="Q36" s="35">
        <f>+MCL!Z8*Input!$E45</f>
        <v>0</v>
      </c>
      <c r="R36" s="17"/>
      <c r="T36" s="18"/>
      <c r="U36" s="19" t="str">
        <f t="shared" si="16"/>
        <v>Mp xTipologia 5</v>
      </c>
      <c r="V36" s="35">
        <f t="shared" si="17"/>
        <v>0</v>
      </c>
      <c r="W36" s="35">
        <f t="shared" si="10"/>
        <v>0</v>
      </c>
      <c r="X36" s="35">
        <f t="shared" si="11"/>
        <v>0</v>
      </c>
      <c r="Y36" s="35">
        <f t="shared" si="12"/>
        <v>0</v>
      </c>
      <c r="Z36" s="35">
        <f t="shared" si="13"/>
        <v>0</v>
      </c>
      <c r="AA36" s="17"/>
    </row>
    <row r="37" spans="2:27" ht="15">
      <c r="B37" s="18"/>
      <c r="C37" s="19" t="str">
        <f t="shared" si="14"/>
        <v>Mp xTipologia 6</v>
      </c>
      <c r="D37" s="35">
        <f>+IF(Input!$G46=0,0,IF(Input!$G46=30,(V9+M37)/12,IF(Input!$G46=60,(V9+M37)/6,IF(Input!$G46=90,(V9+M37)/4,IF(Input!$G46=120,(V9+M37)/3,IF(Input!$G46=150,(V9+M37)*0.416667,(V9+M37)/2))))))</f>
        <v>0</v>
      </c>
      <c r="E37" s="35">
        <f>+IF(Input!$G46=0,0,IF(Input!$G46=30,(W9+N37)/12,IF(Input!$G46=60,(W9+N37)/6,IF(Input!$G46=90,(W9+N37)/4,IF(Input!$G46=120,(W9+N37)/3,IF(Input!$G46=150,(W9+N37)*0.416667,(W9+N37)/2))))))</f>
        <v>0</v>
      </c>
      <c r="F37" s="35">
        <f>+IF(Input!$G46=0,0,IF(Input!$G46=30,(X9+O37)/12,IF(Input!$G46=60,(X9+O37)/6,IF(Input!$G46=90,(X9+O37)/4,IF(Input!$G46=120,(X9+O37)/3,IF(Input!$G46=150,(X9+O37)*0.416667,(X9+O37)/2))))))</f>
        <v>0</v>
      </c>
      <c r="G37" s="35">
        <f>+IF(Input!$G46=0,0,IF(Input!$G46=30,(Y9+P37)/12,IF(Input!$G46=60,(Y9+P37)/6,IF(Input!$G46=90,(Y9+P37)/4,IF(Input!$G46=120,(Y9+P37)/3,IF(Input!$G46=150,(Y9+P37)*0.416667,(Y9+P37)/2))))))</f>
        <v>0</v>
      </c>
      <c r="H37" s="35">
        <f>+IF(Input!$G46=0,0,IF(Input!$G46=30,(Z9+Q37)/12,IF(Input!$G46=60,(Z9+Q37)/6,IF(Input!$G46=90,(Z9+Q37)/4,IF(Input!$G46=120,(Z9+Q37)/3,IF(Input!$G46=150,(Z9+Q37)*0.416667,(Z9+Q37)/2))))))</f>
        <v>0</v>
      </c>
      <c r="I37" s="17"/>
      <c r="K37" s="18"/>
      <c r="L37" s="19" t="str">
        <f t="shared" si="15"/>
        <v>Mp xTipologia 6</v>
      </c>
      <c r="M37" s="35">
        <f>+MCL!V9*Input!$E46</f>
        <v>0</v>
      </c>
      <c r="N37" s="35">
        <f>+MCL!W9*Input!$E46</f>
        <v>0</v>
      </c>
      <c r="O37" s="35">
        <f>+MCL!X9*Input!$E46</f>
        <v>0</v>
      </c>
      <c r="P37" s="35">
        <f>+MCL!Y9*Input!$E46</f>
        <v>0</v>
      </c>
      <c r="Q37" s="35">
        <f>+MCL!Z9*Input!$E46</f>
        <v>0</v>
      </c>
      <c r="R37" s="17"/>
      <c r="T37" s="18"/>
      <c r="U37" s="19" t="str">
        <f t="shared" si="16"/>
        <v>Mp xTipologia 6</v>
      </c>
      <c r="V37" s="35">
        <f t="shared" si="17"/>
        <v>0</v>
      </c>
      <c r="W37" s="35">
        <f t="shared" si="10"/>
        <v>0</v>
      </c>
      <c r="X37" s="35">
        <f t="shared" si="11"/>
        <v>0</v>
      </c>
      <c r="Y37" s="35">
        <f t="shared" si="12"/>
        <v>0</v>
      </c>
      <c r="Z37" s="35">
        <f t="shared" si="13"/>
        <v>0</v>
      </c>
      <c r="AA37" s="17"/>
    </row>
    <row r="38" spans="2:27" ht="15">
      <c r="B38" s="18"/>
      <c r="C38" s="19" t="str">
        <f t="shared" si="14"/>
        <v>Mp xTipologia 7</v>
      </c>
      <c r="D38" s="35">
        <f>+IF(Input!$G47=0,0,IF(Input!$G47=30,(V10+M38)/12,IF(Input!$G47=60,(V10+M38)/6,IF(Input!$G47=90,(V10+M38)/4,IF(Input!$G47=120,(V10+M38)/3,IF(Input!$G47=150,(V10+M38)*0.416667,(V10+M38)/2))))))</f>
        <v>0</v>
      </c>
      <c r="E38" s="35">
        <f>+IF(Input!$G47=0,0,IF(Input!$G47=30,(W10+N38)/12,IF(Input!$G47=60,(W10+N38)/6,IF(Input!$G47=90,(W10+N38)/4,IF(Input!$G47=120,(W10+N38)/3,IF(Input!$G47=150,(W10+N38)*0.416667,(W10+N38)/2))))))</f>
        <v>0</v>
      </c>
      <c r="F38" s="35">
        <f>+IF(Input!$G47=0,0,IF(Input!$G47=30,(X10+O38)/12,IF(Input!$G47=60,(X10+O38)/6,IF(Input!$G47=90,(X10+O38)/4,IF(Input!$G47=120,(X10+O38)/3,IF(Input!$G47=150,(X10+O38)*0.416667,(X10+O38)/2))))))</f>
        <v>0</v>
      </c>
      <c r="G38" s="35">
        <f>+IF(Input!$G47=0,0,IF(Input!$G47=30,(Y10+P38)/12,IF(Input!$G47=60,(Y10+P38)/6,IF(Input!$G47=90,(Y10+P38)/4,IF(Input!$G47=120,(Y10+P38)/3,IF(Input!$G47=150,(Y10+P38)*0.416667,(Y10+P38)/2))))))</f>
        <v>0</v>
      </c>
      <c r="H38" s="35">
        <f>+IF(Input!$G47=0,0,IF(Input!$G47=30,(Z10+Q38)/12,IF(Input!$G47=60,(Z10+Q38)/6,IF(Input!$G47=90,(Z10+Q38)/4,IF(Input!$G47=120,(Z10+Q38)/3,IF(Input!$G47=150,(Z10+Q38)*0.416667,(Z10+Q38)/2))))))</f>
        <v>0</v>
      </c>
      <c r="I38" s="17"/>
      <c r="K38" s="18"/>
      <c r="L38" s="19" t="str">
        <f t="shared" si="15"/>
        <v>Mp xTipologia 7</v>
      </c>
      <c r="M38" s="35">
        <f>+MCL!V10*Input!$E47</f>
        <v>0</v>
      </c>
      <c r="N38" s="35">
        <f>+MCL!W10*Input!$E47</f>
        <v>0</v>
      </c>
      <c r="O38" s="35">
        <f>+MCL!X10*Input!$E47</f>
        <v>0</v>
      </c>
      <c r="P38" s="35">
        <f>+MCL!Y10*Input!$E47</f>
        <v>0</v>
      </c>
      <c r="Q38" s="35">
        <f>+MCL!Z10*Input!$E47</f>
        <v>0</v>
      </c>
      <c r="R38" s="17"/>
      <c r="T38" s="18"/>
      <c r="U38" s="19" t="str">
        <f t="shared" si="16"/>
        <v>Mp xTipologia 7</v>
      </c>
      <c r="V38" s="35">
        <f t="shared" si="17"/>
        <v>0</v>
      </c>
      <c r="W38" s="35">
        <f t="shared" si="10"/>
        <v>0</v>
      </c>
      <c r="X38" s="35">
        <f t="shared" si="11"/>
        <v>0</v>
      </c>
      <c r="Y38" s="35">
        <f t="shared" si="12"/>
        <v>0</v>
      </c>
      <c r="Z38" s="35">
        <f t="shared" si="13"/>
        <v>0</v>
      </c>
      <c r="AA38" s="17"/>
    </row>
    <row r="39" spans="2:27" ht="15">
      <c r="B39" s="18"/>
      <c r="C39" s="19" t="str">
        <f t="shared" si="14"/>
        <v>Mp xTipologia 8</v>
      </c>
      <c r="D39" s="35">
        <f>+IF(Input!$G48=0,0,IF(Input!$G48=30,(V11+M39)/12,IF(Input!$G48=60,(V11+M39)/6,IF(Input!$G48=90,(V11+M39)/4,IF(Input!$G48=120,(V11+M39)/3,IF(Input!$G48=150,(V11+M39)*0.416667,(V11+M39)/2))))))</f>
        <v>0</v>
      </c>
      <c r="E39" s="35">
        <f>+IF(Input!$G48=0,0,IF(Input!$G48=30,(W11+N39)/12,IF(Input!$G48=60,(W11+N39)/6,IF(Input!$G48=90,(W11+N39)/4,IF(Input!$G48=120,(W11+N39)/3,IF(Input!$G48=150,(W11+N39)*0.416667,(W11+N39)/2))))))</f>
        <v>0</v>
      </c>
      <c r="F39" s="35">
        <f>+IF(Input!$G48=0,0,IF(Input!$G48=30,(X11+O39)/12,IF(Input!$G48=60,(X11+O39)/6,IF(Input!$G48=90,(X11+O39)/4,IF(Input!$G48=120,(X11+O39)/3,IF(Input!$G48=150,(X11+O39)*0.416667,(X11+O39)/2))))))</f>
        <v>0</v>
      </c>
      <c r="G39" s="35">
        <f>+IF(Input!$G48=0,0,IF(Input!$G48=30,(Y11+P39)/12,IF(Input!$G48=60,(Y11+P39)/6,IF(Input!$G48=90,(Y11+P39)/4,IF(Input!$G48=120,(Y11+P39)/3,IF(Input!$G48=150,(Y11+P39)*0.416667,(Y11+P39)/2))))))</f>
        <v>0</v>
      </c>
      <c r="H39" s="35">
        <f>+IF(Input!$G48=0,0,IF(Input!$G48=30,(Z11+Q39)/12,IF(Input!$G48=60,(Z11+Q39)/6,IF(Input!$G48=90,(Z11+Q39)/4,IF(Input!$G48=120,(Z11+Q39)/3,IF(Input!$G48=150,(Z11+Q39)*0.416667,(Z11+Q39)/2))))))</f>
        <v>0</v>
      </c>
      <c r="I39" s="17"/>
      <c r="K39" s="18"/>
      <c r="L39" s="19" t="str">
        <f t="shared" si="15"/>
        <v>Mp xTipologia 8</v>
      </c>
      <c r="M39" s="35">
        <f>+MCL!V11*Input!$E48</f>
        <v>0</v>
      </c>
      <c r="N39" s="35">
        <f>+MCL!W11*Input!$E48</f>
        <v>0</v>
      </c>
      <c r="O39" s="35">
        <f>+MCL!X11*Input!$E48</f>
        <v>0</v>
      </c>
      <c r="P39" s="35">
        <f>+MCL!Y11*Input!$E48</f>
        <v>0</v>
      </c>
      <c r="Q39" s="35">
        <f>+MCL!Z11*Input!$E48</f>
        <v>0</v>
      </c>
      <c r="R39" s="17"/>
      <c r="T39" s="18"/>
      <c r="U39" s="19" t="str">
        <f t="shared" si="16"/>
        <v>Mp xTipologia 8</v>
      </c>
      <c r="V39" s="35">
        <f t="shared" si="17"/>
        <v>0</v>
      </c>
      <c r="W39" s="35">
        <f t="shared" si="10"/>
        <v>0</v>
      </c>
      <c r="X39" s="35">
        <f t="shared" si="11"/>
        <v>0</v>
      </c>
      <c r="Y39" s="35">
        <f t="shared" si="12"/>
        <v>0</v>
      </c>
      <c r="Z39" s="35">
        <f t="shared" si="13"/>
        <v>0</v>
      </c>
      <c r="AA39" s="17"/>
    </row>
    <row r="40" spans="2:27" ht="15">
      <c r="B40" s="18"/>
      <c r="C40" s="19" t="str">
        <f t="shared" si="14"/>
        <v>Mp xTipologia 9</v>
      </c>
      <c r="D40" s="35">
        <f>+IF(Input!$G49=0,0,IF(Input!$G49=30,(V12+M40)/12,IF(Input!$G49=60,(V12+M40)/6,IF(Input!$G49=90,(V12+M40)/4,IF(Input!$G49=120,(V12+M40)/3,IF(Input!$G49=150,(V12+M40)*0.416667,(V12+M40)/2))))))</f>
        <v>0</v>
      </c>
      <c r="E40" s="35">
        <f>+IF(Input!$G49=0,0,IF(Input!$G49=30,(W12+N40)/12,IF(Input!$G49=60,(W12+N40)/6,IF(Input!$G49=90,(W12+N40)/4,IF(Input!$G49=120,(W12+N40)/3,IF(Input!$G49=150,(W12+N40)*0.416667,(W12+N40)/2))))))</f>
        <v>0</v>
      </c>
      <c r="F40" s="35">
        <f>+IF(Input!$G49=0,0,IF(Input!$G49=30,(X12+O40)/12,IF(Input!$G49=60,(X12+O40)/6,IF(Input!$G49=90,(X12+O40)/4,IF(Input!$G49=120,(X12+O40)/3,IF(Input!$G49=150,(X12+O40)*0.416667,(X12+O40)/2))))))</f>
        <v>0</v>
      </c>
      <c r="G40" s="35">
        <f>+IF(Input!$G49=0,0,IF(Input!$G49=30,(Y12+P40)/12,IF(Input!$G49=60,(Y12+P40)/6,IF(Input!$G49=90,(Y12+P40)/4,IF(Input!$G49=120,(Y12+P40)/3,IF(Input!$G49=150,(Y12+P40)*0.416667,(Y12+P40)/2))))))</f>
        <v>0</v>
      </c>
      <c r="H40" s="35">
        <f>+IF(Input!$G49=0,0,IF(Input!$G49=30,(Z12+Q40)/12,IF(Input!$G49=60,(Z12+Q40)/6,IF(Input!$G49=90,(Z12+Q40)/4,IF(Input!$G49=120,(Z12+Q40)/3,IF(Input!$G49=150,(Z12+Q40)*0.416667,(Z12+Q40)/2))))))</f>
        <v>0</v>
      </c>
      <c r="I40" s="17"/>
      <c r="K40" s="18"/>
      <c r="L40" s="19" t="str">
        <f t="shared" si="15"/>
        <v>Mp xTipologia 9</v>
      </c>
      <c r="M40" s="35">
        <f>+MCL!V12*Input!$E49</f>
        <v>0</v>
      </c>
      <c r="N40" s="35">
        <f>+MCL!W12*Input!$E49</f>
        <v>0</v>
      </c>
      <c r="O40" s="35">
        <f>+MCL!X12*Input!$E49</f>
        <v>0</v>
      </c>
      <c r="P40" s="35">
        <f>+MCL!Y12*Input!$E49</f>
        <v>0</v>
      </c>
      <c r="Q40" s="35">
        <f>+MCL!Z12*Input!$E49</f>
        <v>0</v>
      </c>
      <c r="R40" s="17"/>
      <c r="T40" s="18"/>
      <c r="U40" s="19" t="str">
        <f t="shared" si="16"/>
        <v>Mp xTipologia 9</v>
      </c>
      <c r="V40" s="35">
        <f t="shared" si="17"/>
        <v>0</v>
      </c>
      <c r="W40" s="35">
        <f t="shared" si="10"/>
        <v>0</v>
      </c>
      <c r="X40" s="35">
        <f t="shared" si="11"/>
        <v>0</v>
      </c>
      <c r="Y40" s="35">
        <f t="shared" si="12"/>
        <v>0</v>
      </c>
      <c r="Z40" s="35">
        <f t="shared" si="13"/>
        <v>0</v>
      </c>
      <c r="AA40" s="17"/>
    </row>
    <row r="41" spans="2:27" ht="15">
      <c r="B41" s="18"/>
      <c r="C41" s="14" t="s">
        <v>26</v>
      </c>
      <c r="D41" s="36">
        <f>SUM(D32:D40)</f>
        <v>0</v>
      </c>
      <c r="E41" s="36">
        <f>SUM(E32:E40)</f>
        <v>0</v>
      </c>
      <c r="F41" s="36">
        <f>SUM(F32:F40)</f>
        <v>0</v>
      </c>
      <c r="G41" s="36">
        <f>SUM(G32:G40)</f>
        <v>0</v>
      </c>
      <c r="H41" s="36">
        <f>SUM(H32:H40)</f>
        <v>0</v>
      </c>
      <c r="I41" s="17"/>
      <c r="K41" s="18"/>
      <c r="L41" s="14" t="s">
        <v>25</v>
      </c>
      <c r="M41" s="36">
        <f>SUM(M32:M40)</f>
        <v>28980</v>
      </c>
      <c r="N41" s="36">
        <f>SUM(N32:N40)</f>
        <v>40571.99999999999</v>
      </c>
      <c r="O41" s="36">
        <f>SUM(O32:O40)</f>
        <v>53902.79999999999</v>
      </c>
      <c r="P41" s="36">
        <f>SUM(P32:P40)</f>
        <v>55062</v>
      </c>
      <c r="Q41" s="36">
        <f>SUM(Q32:Q40)</f>
        <v>55062</v>
      </c>
      <c r="R41" s="17"/>
      <c r="T41" s="18"/>
      <c r="U41" s="14" t="s">
        <v>372</v>
      </c>
      <c r="V41" s="36">
        <f>SUM(V32:V40)</f>
        <v>2415</v>
      </c>
      <c r="W41" s="36">
        <f>SUM(W32:W40)</f>
        <v>3380.9999999999995</v>
      </c>
      <c r="X41" s="36">
        <f>SUM(X32:X40)</f>
        <v>4491.899999999999</v>
      </c>
      <c r="Y41" s="36">
        <f>SUM(Y32:Y40)</f>
        <v>4588.5</v>
      </c>
      <c r="Z41" s="36">
        <f>SUM(Z32:Z40)</f>
        <v>4588.5</v>
      </c>
      <c r="AA41" s="17"/>
    </row>
    <row r="42" spans="2:27" ht="15.75" thickBot="1">
      <c r="B42" s="20"/>
      <c r="C42" s="21"/>
      <c r="D42" s="21"/>
      <c r="E42" s="21"/>
      <c r="F42" s="21"/>
      <c r="G42" s="21"/>
      <c r="H42" s="21"/>
      <c r="I42" s="22"/>
      <c r="K42" s="20"/>
      <c r="L42" s="21"/>
      <c r="M42" s="21"/>
      <c r="N42" s="21"/>
      <c r="O42" s="21"/>
      <c r="P42" s="21"/>
      <c r="Q42" s="21"/>
      <c r="R42" s="22"/>
      <c r="T42" s="20"/>
      <c r="U42" s="21"/>
      <c r="V42" s="21"/>
      <c r="W42" s="21"/>
      <c r="X42" s="21"/>
      <c r="Y42" s="21"/>
      <c r="Z42" s="21"/>
      <c r="AA42" s="22"/>
    </row>
    <row r="43" ht="15.75" thickBot="1"/>
    <row r="44" spans="2:18" ht="15">
      <c r="B44" s="10"/>
      <c r="C44" s="11"/>
      <c r="D44" s="11"/>
      <c r="E44" s="11"/>
      <c r="F44" s="11"/>
      <c r="G44" s="11"/>
      <c r="H44" s="11"/>
      <c r="I44" s="12"/>
      <c r="K44" s="10"/>
      <c r="L44" s="11"/>
      <c r="M44" s="11"/>
      <c r="N44" s="11"/>
      <c r="O44" s="11"/>
      <c r="P44" s="11"/>
      <c r="Q44" s="11"/>
      <c r="R44" s="12"/>
    </row>
    <row r="45" spans="2:18" ht="15">
      <c r="B45" s="18"/>
      <c r="C45" s="39" t="s">
        <v>35</v>
      </c>
      <c r="D45" s="15" t="str">
        <f>+D31</f>
        <v>Anno 1</v>
      </c>
      <c r="E45" s="15" t="str">
        <f>+E31</f>
        <v>Anno 2</v>
      </c>
      <c r="F45" s="15" t="str">
        <f>+F31</f>
        <v>Anno 3</v>
      </c>
      <c r="G45" s="15" t="str">
        <f>+G31</f>
        <v>Anno 4</v>
      </c>
      <c r="H45" s="15" t="str">
        <f>+H31</f>
        <v>Anno 5</v>
      </c>
      <c r="I45" s="17"/>
      <c r="K45" s="18"/>
      <c r="L45" s="39" t="s">
        <v>37</v>
      </c>
      <c r="M45" s="15" t="str">
        <f>+M31</f>
        <v>Anno 1</v>
      </c>
      <c r="N45" s="15" t="str">
        <f>+N31</f>
        <v>Anno 2</v>
      </c>
      <c r="O45" s="15" t="str">
        <f>+O31</f>
        <v>Anno 3</v>
      </c>
      <c r="P45" s="15" t="str">
        <f>+P31</f>
        <v>Anno 4</v>
      </c>
      <c r="Q45" s="15" t="str">
        <f>+Q31</f>
        <v>Anno 5</v>
      </c>
      <c r="R45" s="17"/>
    </row>
    <row r="46" spans="2:18" ht="15">
      <c r="B46" s="18"/>
      <c r="C46" s="19" t="str">
        <f>+C32</f>
        <v>Mp xTipologia 1</v>
      </c>
      <c r="D46" s="35">
        <f>+Input!I28+MCL!M18-MCL!D18</f>
        <v>242000</v>
      </c>
      <c r="E46" s="35">
        <f>+Input!J28+MCL!N18-MCL!E18+D18</f>
        <v>338800</v>
      </c>
      <c r="F46" s="35">
        <f>+Input!K28+MCL!O18-MCL!F18+E18</f>
        <v>450120</v>
      </c>
      <c r="G46" s="35">
        <f>+Input!L28+MCL!P18-MCL!G18+F18</f>
        <v>459800</v>
      </c>
      <c r="H46" s="35">
        <f>+Input!M28+MCL!Q18-MCL!H18+G18</f>
        <v>459800</v>
      </c>
      <c r="I46" s="17"/>
      <c r="K46" s="18"/>
      <c r="L46" s="19" t="str">
        <f>+L32</f>
        <v>Mp xTipologia 1</v>
      </c>
      <c r="M46" s="35">
        <f>+V4+M32-D32</f>
        <v>166980</v>
      </c>
      <c r="N46" s="35">
        <f>+W4+N32-E32+D32</f>
        <v>233771.99999999997</v>
      </c>
      <c r="O46" s="35">
        <f aca="true" t="shared" si="18" ref="O46:Q54">+X4+O32-F32+E32</f>
        <v>310582.79999999993</v>
      </c>
      <c r="P46" s="35">
        <f t="shared" si="18"/>
        <v>317262</v>
      </c>
      <c r="Q46" s="35">
        <f t="shared" si="18"/>
        <v>317262</v>
      </c>
      <c r="R46" s="17"/>
    </row>
    <row r="47" spans="2:18" ht="15">
      <c r="B47" s="18"/>
      <c r="C47" s="19" t="str">
        <f aca="true" t="shared" si="19" ref="C47:C54">+C33</f>
        <v>Mp xTipologia 2</v>
      </c>
      <c r="D47" s="35">
        <f>+Input!I29+MCL!M19-MCL!D19</f>
        <v>0</v>
      </c>
      <c r="E47" s="35">
        <f>+Input!J29+MCL!N19-MCL!E19+D19</f>
        <v>0</v>
      </c>
      <c r="F47" s="35">
        <f>+Input!K29+MCL!O19-MCL!F19+E19</f>
        <v>0</v>
      </c>
      <c r="G47" s="35">
        <f>+Input!L29+MCL!P19-MCL!G19+F19</f>
        <v>0</v>
      </c>
      <c r="H47" s="35">
        <f>+Input!M29+MCL!Q19-MCL!H19+G19</f>
        <v>0</v>
      </c>
      <c r="I47" s="17"/>
      <c r="K47" s="18"/>
      <c r="L47" s="19" t="str">
        <f aca="true" t="shared" si="20" ref="L47:L54">+L33</f>
        <v>Mp xTipologia 2</v>
      </c>
      <c r="M47" s="35">
        <f aca="true" t="shared" si="21" ref="M47:M54">+V5+M33-D33</f>
        <v>0</v>
      </c>
      <c r="N47" s="35">
        <f aca="true" t="shared" si="22" ref="N47:N54">+W5+N33-E33+D33</f>
        <v>0</v>
      </c>
      <c r="O47" s="35">
        <f t="shared" si="18"/>
        <v>0</v>
      </c>
      <c r="P47" s="35">
        <f t="shared" si="18"/>
        <v>0</v>
      </c>
      <c r="Q47" s="35">
        <f t="shared" si="18"/>
        <v>0</v>
      </c>
      <c r="R47" s="17"/>
    </row>
    <row r="48" spans="2:18" ht="15">
      <c r="B48" s="18"/>
      <c r="C48" s="19" t="str">
        <f t="shared" si="19"/>
        <v>Mp xTipologia 3</v>
      </c>
      <c r="D48" s="35">
        <f>+Input!I30+MCL!M20-MCL!D20</f>
        <v>0</v>
      </c>
      <c r="E48" s="35">
        <f>+Input!J30+MCL!N20-MCL!E20+D20</f>
        <v>0</v>
      </c>
      <c r="F48" s="35">
        <f>+Input!K30+MCL!O20-MCL!F20+E20</f>
        <v>0</v>
      </c>
      <c r="G48" s="35">
        <f>+Input!L30+MCL!P20-MCL!G20+F20</f>
        <v>0</v>
      </c>
      <c r="H48" s="35">
        <f>+Input!M30+MCL!Q20-MCL!H20+G20</f>
        <v>0</v>
      </c>
      <c r="I48" s="17"/>
      <c r="K48" s="18"/>
      <c r="L48" s="19" t="str">
        <f t="shared" si="20"/>
        <v>Mp xTipologia 3</v>
      </c>
      <c r="M48" s="35">
        <f t="shared" si="21"/>
        <v>0</v>
      </c>
      <c r="N48" s="35">
        <f t="shared" si="22"/>
        <v>0</v>
      </c>
      <c r="O48" s="35">
        <f t="shared" si="18"/>
        <v>0</v>
      </c>
      <c r="P48" s="35">
        <f t="shared" si="18"/>
        <v>0</v>
      </c>
      <c r="Q48" s="35">
        <f t="shared" si="18"/>
        <v>0</v>
      </c>
      <c r="R48" s="17"/>
    </row>
    <row r="49" spans="2:18" ht="15">
      <c r="B49" s="18"/>
      <c r="C49" s="19" t="str">
        <f t="shared" si="19"/>
        <v>Mp xTipologia 4</v>
      </c>
      <c r="D49" s="35">
        <f>+Input!I31+MCL!M21-MCL!D21</f>
        <v>0</v>
      </c>
      <c r="E49" s="35">
        <f>+Input!J31+MCL!N21-MCL!E21+D21</f>
        <v>0</v>
      </c>
      <c r="F49" s="35">
        <f>+Input!K31+MCL!O21-MCL!F21+E21</f>
        <v>0</v>
      </c>
      <c r="G49" s="35">
        <f>+Input!L31+MCL!P21-MCL!G21+F21</f>
        <v>0</v>
      </c>
      <c r="H49" s="35">
        <f>+Input!M31+MCL!Q21-MCL!H21+G21</f>
        <v>0</v>
      </c>
      <c r="I49" s="17"/>
      <c r="K49" s="18"/>
      <c r="L49" s="19" t="str">
        <f t="shared" si="20"/>
        <v>Mp xTipologia 4</v>
      </c>
      <c r="M49" s="35">
        <f t="shared" si="21"/>
        <v>0</v>
      </c>
      <c r="N49" s="35">
        <f t="shared" si="22"/>
        <v>0</v>
      </c>
      <c r="O49" s="35">
        <f t="shared" si="18"/>
        <v>0</v>
      </c>
      <c r="P49" s="35">
        <f t="shared" si="18"/>
        <v>0</v>
      </c>
      <c r="Q49" s="35">
        <f t="shared" si="18"/>
        <v>0</v>
      </c>
      <c r="R49" s="17"/>
    </row>
    <row r="50" spans="2:18" ht="15">
      <c r="B50" s="18"/>
      <c r="C50" s="19" t="str">
        <f t="shared" si="19"/>
        <v>Mp xTipologia 5</v>
      </c>
      <c r="D50" s="35">
        <f>+Input!I32+MCL!M22-MCL!D22</f>
        <v>0</v>
      </c>
      <c r="E50" s="35">
        <f>+Input!J32+MCL!N22-MCL!E22+D22</f>
        <v>0</v>
      </c>
      <c r="F50" s="35">
        <f>+Input!K32+MCL!O22-MCL!F22+E22</f>
        <v>0</v>
      </c>
      <c r="G50" s="35">
        <f>+Input!L32+MCL!P22-MCL!G22+F22</f>
        <v>0</v>
      </c>
      <c r="H50" s="35">
        <f>+Input!M32+MCL!Q22-MCL!H22+G22</f>
        <v>0</v>
      </c>
      <c r="I50" s="17"/>
      <c r="K50" s="18"/>
      <c r="L50" s="19" t="str">
        <f t="shared" si="20"/>
        <v>Mp xTipologia 5</v>
      </c>
      <c r="M50" s="35">
        <f t="shared" si="21"/>
        <v>0</v>
      </c>
      <c r="N50" s="35">
        <f t="shared" si="22"/>
        <v>0</v>
      </c>
      <c r="O50" s="35">
        <f t="shared" si="18"/>
        <v>0</v>
      </c>
      <c r="P50" s="35">
        <f t="shared" si="18"/>
        <v>0</v>
      </c>
      <c r="Q50" s="35">
        <f t="shared" si="18"/>
        <v>0</v>
      </c>
      <c r="R50" s="17"/>
    </row>
    <row r="51" spans="2:18" ht="15">
      <c r="B51" s="18"/>
      <c r="C51" s="19" t="str">
        <f t="shared" si="19"/>
        <v>Mp xTipologia 6</v>
      </c>
      <c r="D51" s="35">
        <f>+Input!I33+MCL!M23-MCL!D23</f>
        <v>0</v>
      </c>
      <c r="E51" s="35">
        <f>+Input!J33+MCL!N23-MCL!E23+D23</f>
        <v>0</v>
      </c>
      <c r="F51" s="35">
        <f>+Input!K33+MCL!O23-MCL!F23+E23</f>
        <v>0</v>
      </c>
      <c r="G51" s="35">
        <f>+Input!L33+MCL!P23-MCL!G23+F23</f>
        <v>0</v>
      </c>
      <c r="H51" s="35">
        <f>+Input!M33+MCL!Q23-MCL!H23+G23</f>
        <v>0</v>
      </c>
      <c r="I51" s="17"/>
      <c r="K51" s="18"/>
      <c r="L51" s="19" t="str">
        <f t="shared" si="20"/>
        <v>Mp xTipologia 6</v>
      </c>
      <c r="M51" s="35">
        <f t="shared" si="21"/>
        <v>0</v>
      </c>
      <c r="N51" s="35">
        <f t="shared" si="22"/>
        <v>0</v>
      </c>
      <c r="O51" s="35">
        <f t="shared" si="18"/>
        <v>0</v>
      </c>
      <c r="P51" s="35">
        <f t="shared" si="18"/>
        <v>0</v>
      </c>
      <c r="Q51" s="35">
        <f t="shared" si="18"/>
        <v>0</v>
      </c>
      <c r="R51" s="17"/>
    </row>
    <row r="52" spans="2:18" ht="15">
      <c r="B52" s="18"/>
      <c r="C52" s="19" t="str">
        <f t="shared" si="19"/>
        <v>Mp xTipologia 7</v>
      </c>
      <c r="D52" s="35">
        <f>+Input!I34+MCL!M24-MCL!D24</f>
        <v>0</v>
      </c>
      <c r="E52" s="35">
        <f>+Input!J34+MCL!N24-MCL!E24+D24</f>
        <v>0</v>
      </c>
      <c r="F52" s="35">
        <f>+Input!K34+MCL!O24-MCL!F24+E24</f>
        <v>0</v>
      </c>
      <c r="G52" s="35">
        <f>+Input!L34+MCL!P24-MCL!G24+F24</f>
        <v>0</v>
      </c>
      <c r="H52" s="35">
        <f>+Input!M34+MCL!Q24-MCL!H24+G24</f>
        <v>0</v>
      </c>
      <c r="I52" s="17"/>
      <c r="K52" s="18"/>
      <c r="L52" s="19" t="str">
        <f t="shared" si="20"/>
        <v>Mp xTipologia 7</v>
      </c>
      <c r="M52" s="35">
        <f t="shared" si="21"/>
        <v>0</v>
      </c>
      <c r="N52" s="35">
        <f t="shared" si="22"/>
        <v>0</v>
      </c>
      <c r="O52" s="35">
        <f t="shared" si="18"/>
        <v>0</v>
      </c>
      <c r="P52" s="35">
        <f t="shared" si="18"/>
        <v>0</v>
      </c>
      <c r="Q52" s="35">
        <f t="shared" si="18"/>
        <v>0</v>
      </c>
      <c r="R52" s="17"/>
    </row>
    <row r="53" spans="2:18" ht="15">
      <c r="B53" s="18"/>
      <c r="C53" s="19" t="str">
        <f t="shared" si="19"/>
        <v>Mp xTipologia 8</v>
      </c>
      <c r="D53" s="35">
        <f>+Input!I35+MCL!M25-MCL!D25</f>
        <v>0</v>
      </c>
      <c r="E53" s="35">
        <f>+Input!J35+MCL!N25-MCL!E25+D25</f>
        <v>0</v>
      </c>
      <c r="F53" s="35">
        <f>+Input!K35+MCL!O25-MCL!F25+E25</f>
        <v>0</v>
      </c>
      <c r="G53" s="35">
        <f>+Input!L35+MCL!P25-MCL!G25+F25</f>
        <v>0</v>
      </c>
      <c r="H53" s="35">
        <f>+Input!M35+MCL!Q25-MCL!H25+G25</f>
        <v>0</v>
      </c>
      <c r="I53" s="17"/>
      <c r="K53" s="18"/>
      <c r="L53" s="19" t="str">
        <f t="shared" si="20"/>
        <v>Mp xTipologia 8</v>
      </c>
      <c r="M53" s="35">
        <f t="shared" si="21"/>
        <v>0</v>
      </c>
      <c r="N53" s="35">
        <f t="shared" si="22"/>
        <v>0</v>
      </c>
      <c r="O53" s="35">
        <f t="shared" si="18"/>
        <v>0</v>
      </c>
      <c r="P53" s="35">
        <f t="shared" si="18"/>
        <v>0</v>
      </c>
      <c r="Q53" s="35">
        <f t="shared" si="18"/>
        <v>0</v>
      </c>
      <c r="R53" s="17"/>
    </row>
    <row r="54" spans="2:18" ht="15">
      <c r="B54" s="18"/>
      <c r="C54" s="19" t="str">
        <f t="shared" si="19"/>
        <v>Mp xTipologia 9</v>
      </c>
      <c r="D54" s="35">
        <f>+Input!I36+MCL!M26-MCL!D26</f>
        <v>0</v>
      </c>
      <c r="E54" s="35">
        <f>+Input!J36+MCL!N26-MCL!E26+D26</f>
        <v>0</v>
      </c>
      <c r="F54" s="35">
        <f>+Input!K36+MCL!O26-MCL!F26+E26</f>
        <v>0</v>
      </c>
      <c r="G54" s="35">
        <f>+Input!L36+MCL!P26-MCL!G26+F26</f>
        <v>0</v>
      </c>
      <c r="H54" s="35">
        <f>+Input!M36+MCL!Q26-MCL!H26+G26</f>
        <v>0</v>
      </c>
      <c r="I54" s="17"/>
      <c r="K54" s="18"/>
      <c r="L54" s="19" t="str">
        <f t="shared" si="20"/>
        <v>Mp xTipologia 9</v>
      </c>
      <c r="M54" s="35">
        <f t="shared" si="21"/>
        <v>0</v>
      </c>
      <c r="N54" s="35">
        <f t="shared" si="22"/>
        <v>0</v>
      </c>
      <c r="O54" s="35">
        <f t="shared" si="18"/>
        <v>0</v>
      </c>
      <c r="P54" s="35">
        <f t="shared" si="18"/>
        <v>0</v>
      </c>
      <c r="Q54" s="35">
        <f t="shared" si="18"/>
        <v>0</v>
      </c>
      <c r="R54" s="17"/>
    </row>
    <row r="55" spans="2:18" ht="15">
      <c r="B55" s="18"/>
      <c r="C55" s="14" t="s">
        <v>36</v>
      </c>
      <c r="D55" s="36">
        <f>SUM(D46:D54)</f>
        <v>242000</v>
      </c>
      <c r="E55" s="36">
        <f>SUM(E46:E54)</f>
        <v>338800</v>
      </c>
      <c r="F55" s="36">
        <f>SUM(F46:F54)</f>
        <v>450120</v>
      </c>
      <c r="G55" s="36">
        <f>SUM(G46:G54)</f>
        <v>459800</v>
      </c>
      <c r="H55" s="36">
        <f>SUM(H46:H54)</f>
        <v>459800</v>
      </c>
      <c r="I55" s="17"/>
      <c r="K55" s="18"/>
      <c r="L55" s="14" t="s">
        <v>36</v>
      </c>
      <c r="M55" s="36">
        <f>SUM(M46:M54)</f>
        <v>166980</v>
      </c>
      <c r="N55" s="36">
        <f>SUM(N46:N54)</f>
        <v>233771.99999999997</v>
      </c>
      <c r="O55" s="36">
        <f>SUM(O46:O54)</f>
        <v>310582.79999999993</v>
      </c>
      <c r="P55" s="36">
        <f>SUM(P46:P54)</f>
        <v>317262</v>
      </c>
      <c r="Q55" s="36">
        <f>SUM(Q46:Q54)</f>
        <v>317262</v>
      </c>
      <c r="R55" s="17"/>
    </row>
    <row r="56" spans="2:18" ht="15.75" thickBot="1">
      <c r="B56" s="20"/>
      <c r="C56" s="21"/>
      <c r="D56" s="21"/>
      <c r="E56" s="21"/>
      <c r="F56" s="21"/>
      <c r="G56" s="21"/>
      <c r="H56" s="21"/>
      <c r="I56" s="22"/>
      <c r="K56" s="20"/>
      <c r="L56" s="21"/>
      <c r="M56" s="21"/>
      <c r="N56" s="21"/>
      <c r="O56" s="21"/>
      <c r="P56" s="21"/>
      <c r="Q56" s="21"/>
      <c r="R56" s="22"/>
    </row>
    <row r="57" ht="15.75" thickBot="1"/>
    <row r="58" spans="2:9" ht="15">
      <c r="B58" s="10"/>
      <c r="C58" s="23" t="s">
        <v>385</v>
      </c>
      <c r="D58" s="11"/>
      <c r="E58" s="11"/>
      <c r="F58" s="11"/>
      <c r="G58" s="11"/>
      <c r="H58" s="11"/>
      <c r="I58" s="12"/>
    </row>
    <row r="59" spans="2:9" ht="15">
      <c r="B59" s="18"/>
      <c r="C59" s="19"/>
      <c r="D59" s="15" t="str">
        <f>+D45</f>
        <v>Anno 1</v>
      </c>
      <c r="E59" s="15" t="str">
        <f>+E45</f>
        <v>Anno 2</v>
      </c>
      <c r="F59" s="15" t="str">
        <f>+F45</f>
        <v>Anno 3</v>
      </c>
      <c r="G59" s="15" t="str">
        <f>+G45</f>
        <v>Anno 4</v>
      </c>
      <c r="H59" s="15" t="str">
        <f>+H45</f>
        <v>Anno 5</v>
      </c>
      <c r="I59" s="17"/>
    </row>
    <row r="60" spans="2:9" ht="15">
      <c r="B60" s="18"/>
      <c r="C60" s="19" t="s">
        <v>384</v>
      </c>
      <c r="D60" s="35">
        <f>+Input!$D$18*Input!I28</f>
        <v>0</v>
      </c>
      <c r="E60" s="35">
        <f>+Input!$D$18*Input!J28</f>
        <v>0</v>
      </c>
      <c r="F60" s="35">
        <f>+Input!$D$18*Input!K28</f>
        <v>0</v>
      </c>
      <c r="G60" s="35">
        <f>+Input!$D$18*Input!L28</f>
        <v>0</v>
      </c>
      <c r="H60" s="35">
        <f>+Input!$D$18*Input!M28</f>
        <v>0</v>
      </c>
      <c r="I60" s="17"/>
    </row>
    <row r="61" spans="2:12" ht="15.75" thickBot="1">
      <c r="B61" s="20"/>
      <c r="C61" s="21"/>
      <c r="D61" s="21"/>
      <c r="E61" s="21"/>
      <c r="F61" s="21"/>
      <c r="G61" s="21"/>
      <c r="H61" s="21"/>
      <c r="I61" s="22"/>
      <c r="L61" s="27"/>
    </row>
    <row r="62" ht="15.75" thickBot="1"/>
    <row r="63" spans="2:9" ht="15">
      <c r="B63" s="10"/>
      <c r="C63" s="23" t="s">
        <v>23</v>
      </c>
      <c r="D63" s="11"/>
      <c r="E63" s="11"/>
      <c r="F63" s="11"/>
      <c r="G63" s="11"/>
      <c r="H63" s="11"/>
      <c r="I63" s="12"/>
    </row>
    <row r="64" spans="2:9" ht="15">
      <c r="B64" s="18"/>
      <c r="C64" s="19"/>
      <c r="D64" s="15" t="str">
        <f>+M45</f>
        <v>Anno 1</v>
      </c>
      <c r="E64" s="15" t="str">
        <f>+N45</f>
        <v>Anno 2</v>
      </c>
      <c r="F64" s="15" t="str">
        <f>+O45</f>
        <v>Anno 3</v>
      </c>
      <c r="G64" s="15" t="str">
        <f>+P45</f>
        <v>Anno 4</v>
      </c>
      <c r="H64" s="15" t="str">
        <f>+Q45</f>
        <v>Anno 5</v>
      </c>
      <c r="I64" s="17"/>
    </row>
    <row r="65" spans="2:9" ht="15">
      <c r="B65" s="18"/>
      <c r="C65" s="19" t="s">
        <v>384</v>
      </c>
      <c r="D65" s="35">
        <f>+(D60*Input!$F$18)</f>
        <v>0</v>
      </c>
      <c r="E65" s="35">
        <f>+(E60*Input!$F$18)</f>
        <v>0</v>
      </c>
      <c r="F65" s="35">
        <f>+(F60*Input!$F$18)</f>
        <v>0</v>
      </c>
      <c r="G65" s="35">
        <f>+(G60*Input!$F$18)</f>
        <v>0</v>
      </c>
      <c r="H65" s="35">
        <f>+(H60*Input!$F$18)</f>
        <v>0</v>
      </c>
      <c r="I65" s="17"/>
    </row>
    <row r="66" spans="2:9" ht="15.75" thickBot="1">
      <c r="B66" s="20"/>
      <c r="C66" s="21"/>
      <c r="D66" s="21"/>
      <c r="E66" s="21"/>
      <c r="F66" s="21"/>
      <c r="G66" s="21"/>
      <c r="H66" s="21"/>
      <c r="I66" s="22"/>
    </row>
    <row r="67" ht="15.75" thickBot="1"/>
    <row r="68" spans="2:9" ht="15">
      <c r="B68" s="10"/>
      <c r="C68" s="23" t="s">
        <v>391</v>
      </c>
      <c r="D68" s="11"/>
      <c r="E68" s="11"/>
      <c r="F68" s="11"/>
      <c r="G68" s="11"/>
      <c r="H68" s="11"/>
      <c r="I68" s="12"/>
    </row>
    <row r="69" spans="2:9" ht="15">
      <c r="B69" s="18"/>
      <c r="C69" s="19"/>
      <c r="D69" s="15" t="str">
        <f>+D64</f>
        <v>Anno 1</v>
      </c>
      <c r="E69" s="15" t="str">
        <f>+E64</f>
        <v>Anno 2</v>
      </c>
      <c r="F69" s="15" t="str">
        <f>+F64</f>
        <v>Anno 3</v>
      </c>
      <c r="G69" s="15" t="str">
        <f>+G64</f>
        <v>Anno 4</v>
      </c>
      <c r="H69" s="15" t="str">
        <f>+H64</f>
        <v>Anno 5</v>
      </c>
      <c r="I69" s="17"/>
    </row>
    <row r="70" spans="2:9" ht="15">
      <c r="B70" s="18"/>
      <c r="C70" s="19" t="s">
        <v>384</v>
      </c>
      <c r="D70" s="35">
        <f>+IF(Input!$E18=0,0,IF(Input!$E18=30,(D60+D65)/12,IF(Input!$E18=60,(D60+D65)/6,IF(Input!$E18=90,(D60+D65)/4,IF(Input!$E18=120*(D60+D65)/3,IF(Input!$E18=150,(D60+D65)*0.416667,(D60+D65)/2))))))</f>
        <v>0</v>
      </c>
      <c r="E70" s="35">
        <f>+IF(Input!$E18=0,0,IF(Input!$E18=30,(E60+E65)/12,IF(Input!$E18=60,(E60+E65)/6,IF(Input!$E18=90,(E60+E65)/4,IF(Input!$E18=120*(E60+E65)/3,IF(Input!$E18=150,(E60+E65)*0.416667,(E60+E65)/2))))))</f>
        <v>0</v>
      </c>
      <c r="F70" s="35">
        <f>+IF(Input!$E18=0,0,IF(Input!$E18=30,(F60+F65)/12,IF(Input!$E18=60,(F60+F65)/6,IF(Input!$E18=90,(F60+F65)/4,IF(Input!$E18=120*(F60+F65)/3,IF(Input!$E18=150,(F60+F65)*0.416667,(F60+F65)/2))))))</f>
        <v>0</v>
      </c>
      <c r="G70" s="35">
        <f>+IF(Input!$E18=0,0,IF(Input!$E18=30,(G60+G65)/12,IF(Input!$E18=60,(G60+G65)/6,IF(Input!$E18=90,(G60+G65)/4,IF(Input!$E18=120*(G60+G65)/3,IF(Input!$E18=150,(G60+G65)*0.416667,(G60+G65)/2))))))</f>
        <v>0</v>
      </c>
      <c r="H70" s="35">
        <f>+IF(Input!$E18=0,0,IF(Input!$E18=30,(H60+H65)/12,IF(Input!$E18=60,(H60+H65)/6,IF(Input!$E18=90,(H60+H65)/4,IF(Input!$E18=120*(H60+H65)/3,IF(Input!$E18=150,(H60+H65)*0.416667,(H60+H65)/2))))))</f>
        <v>0</v>
      </c>
      <c r="I70" s="17"/>
    </row>
    <row r="71" spans="2:9" ht="15.75" thickBot="1">
      <c r="B71" s="20"/>
      <c r="C71" s="21"/>
      <c r="D71" s="21"/>
      <c r="E71" s="21"/>
      <c r="F71" s="21"/>
      <c r="G71" s="21"/>
      <c r="H71" s="21"/>
      <c r="I71" s="22"/>
    </row>
    <row r="72" ht="15.75" thickBot="1"/>
    <row r="73" spans="2:9" ht="15">
      <c r="B73" s="10"/>
      <c r="C73" s="23" t="s">
        <v>392</v>
      </c>
      <c r="D73" s="11"/>
      <c r="E73" s="11"/>
      <c r="F73" s="11"/>
      <c r="G73" s="11"/>
      <c r="H73" s="11"/>
      <c r="I73" s="12"/>
    </row>
    <row r="74" spans="2:9" ht="15">
      <c r="B74" s="18"/>
      <c r="C74" s="19"/>
      <c r="D74" s="15" t="str">
        <f>+D69</f>
        <v>Anno 1</v>
      </c>
      <c r="E74" s="15" t="str">
        <f>+E69</f>
        <v>Anno 2</v>
      </c>
      <c r="F74" s="15" t="str">
        <f>+F69</f>
        <v>Anno 3</v>
      </c>
      <c r="G74" s="15" t="str">
        <f>+G69</f>
        <v>Anno 4</v>
      </c>
      <c r="H74" s="15" t="str">
        <f>+H69</f>
        <v>Anno 5</v>
      </c>
      <c r="I74" s="17"/>
    </row>
    <row r="75" spans="2:9" ht="15">
      <c r="B75" s="18"/>
      <c r="C75" s="19" t="s">
        <v>384</v>
      </c>
      <c r="D75" s="35">
        <f>+D60+D65-D70</f>
        <v>0</v>
      </c>
      <c r="E75" s="35">
        <f>+E60+E65-E70</f>
        <v>0</v>
      </c>
      <c r="F75" s="35">
        <f>+F60+F65-F70</f>
        <v>0</v>
      </c>
      <c r="G75" s="35">
        <f>+G60+G65-G70</f>
        <v>0</v>
      </c>
      <c r="H75" s="35">
        <f>+H60+H65-H70</f>
        <v>0</v>
      </c>
      <c r="I75" s="17"/>
    </row>
    <row r="76" spans="2:9" ht="15.75" thickBot="1">
      <c r="B76" s="20"/>
      <c r="C76" s="21"/>
      <c r="D76" s="21"/>
      <c r="E76" s="21"/>
      <c r="F76" s="21"/>
      <c r="G76" s="21"/>
      <c r="H76" s="21"/>
      <c r="I76" s="22"/>
    </row>
    <row r="78" spans="3:5" ht="15">
      <c r="C78">
        <v>5040</v>
      </c>
      <c r="D78">
        <v>5040</v>
      </c>
      <c r="E78">
        <v>5040</v>
      </c>
    </row>
    <row r="79" spans="3:5" ht="15">
      <c r="C79">
        <v>24000</v>
      </c>
      <c r="D79">
        <v>24000</v>
      </c>
      <c r="E79">
        <v>24000</v>
      </c>
    </row>
    <row r="81" spans="3:5" ht="15">
      <c r="C81">
        <v>4840</v>
      </c>
      <c r="D81">
        <v>4840</v>
      </c>
      <c r="E81">
        <v>4840</v>
      </c>
    </row>
    <row r="82" spans="3:5" ht="15">
      <c r="C82">
        <v>24200</v>
      </c>
      <c r="D82">
        <v>24200</v>
      </c>
      <c r="E82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R61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2"/>
      <c r="C2" s="43"/>
      <c r="D2" s="43"/>
      <c r="E2" s="43"/>
      <c r="F2" s="43"/>
      <c r="G2" s="43"/>
      <c r="H2" s="43"/>
      <c r="I2" s="44"/>
      <c r="K2" s="10"/>
      <c r="L2" s="11"/>
      <c r="M2" s="11"/>
      <c r="N2" s="11"/>
      <c r="O2" s="11"/>
      <c r="P2" s="11"/>
      <c r="Q2" s="11"/>
      <c r="R2" s="12"/>
    </row>
    <row r="3" spans="2:18" ht="15">
      <c r="B3" s="45"/>
      <c r="C3" s="14" t="s">
        <v>39</v>
      </c>
      <c r="D3" s="15" t="str">
        <f>+Input!E54</f>
        <v>Anno 1</v>
      </c>
      <c r="E3" s="15" t="str">
        <f>+Input!F54</f>
        <v>Anno 2</v>
      </c>
      <c r="F3" s="15" t="str">
        <f>+Input!G54</f>
        <v>Anno 3</v>
      </c>
      <c r="G3" s="15" t="str">
        <f>+Input!H54</f>
        <v>Anno 4</v>
      </c>
      <c r="H3" s="15" t="str">
        <f>+Input!I54</f>
        <v>Anno 5</v>
      </c>
      <c r="I3" s="46"/>
      <c r="K3" s="18"/>
      <c r="L3" s="14" t="s">
        <v>57</v>
      </c>
      <c r="M3" s="14" t="str">
        <f>+D3</f>
        <v>Anno 1</v>
      </c>
      <c r="N3" s="14" t="str">
        <f>+E3</f>
        <v>Anno 2</v>
      </c>
      <c r="O3" s="14" t="str">
        <f>+F3</f>
        <v>Anno 3</v>
      </c>
      <c r="P3" s="14" t="str">
        <f>+G3</f>
        <v>Anno 4</v>
      </c>
      <c r="Q3" s="14" t="str">
        <f>+H3</f>
        <v>Anno 5</v>
      </c>
      <c r="R3" s="17"/>
    </row>
    <row r="4" spans="2:18" ht="15">
      <c r="B4" s="45"/>
      <c r="C4" s="19" t="str">
        <f>+Input!C55</f>
        <v>Investimenti Materiali</v>
      </c>
      <c r="D4" s="35">
        <f>+Input!E55</f>
        <v>72000</v>
      </c>
      <c r="E4" s="35">
        <f>+Input!F55</f>
        <v>0</v>
      </c>
      <c r="F4" s="35">
        <f>+Input!G55</f>
        <v>0</v>
      </c>
      <c r="G4" s="35">
        <f>+Input!H55</f>
        <v>0</v>
      </c>
      <c r="H4" s="35">
        <f>+Input!I55</f>
        <v>0</v>
      </c>
      <c r="I4" s="46"/>
      <c r="K4" s="18"/>
      <c r="L4" s="19" t="str">
        <f>+C4</f>
        <v>Investimenti Materiali</v>
      </c>
      <c r="M4" s="35">
        <f>+Input!E55*Input!$E$58</f>
        <v>15120</v>
      </c>
      <c r="N4" s="35">
        <f>+Input!F55*Input!$E$58</f>
        <v>0</v>
      </c>
      <c r="O4" s="35">
        <f>+Input!G55*Input!$E$58</f>
        <v>0</v>
      </c>
      <c r="P4" s="35">
        <f>+Input!H55*Input!$E$58</f>
        <v>0</v>
      </c>
      <c r="Q4" s="35">
        <f>+Input!I55*Input!$E$58</f>
        <v>0</v>
      </c>
      <c r="R4" s="17"/>
    </row>
    <row r="5" spans="2:18" ht="15">
      <c r="B5" s="45"/>
      <c r="C5" s="19" t="str">
        <f>+Input!C56</f>
        <v>Investimenti Immateriali</v>
      </c>
      <c r="D5" s="35">
        <f>+Input!E56</f>
        <v>0</v>
      </c>
      <c r="E5" s="35">
        <f>+Input!F56</f>
        <v>0</v>
      </c>
      <c r="F5" s="35">
        <f>+Input!G56</f>
        <v>0</v>
      </c>
      <c r="G5" s="35">
        <f>+Input!H56</f>
        <v>0</v>
      </c>
      <c r="H5" s="35">
        <f>+Input!I56</f>
        <v>0</v>
      </c>
      <c r="I5" s="46"/>
      <c r="K5" s="18"/>
      <c r="L5" s="19" t="str">
        <f>+C5</f>
        <v>Investimenti Immateriali</v>
      </c>
      <c r="M5" s="35">
        <f>+Input!E56*Input!$E$58</f>
        <v>0</v>
      </c>
      <c r="N5" s="35">
        <f>+Input!F56*Input!$E$58</f>
        <v>0</v>
      </c>
      <c r="O5" s="35">
        <f>+Input!G56*Input!$E$58</f>
        <v>0</v>
      </c>
      <c r="P5" s="35">
        <f>+Input!H56*Input!$E$58</f>
        <v>0</v>
      </c>
      <c r="Q5" s="35">
        <f>+Input!I56*Input!$E$58</f>
        <v>0</v>
      </c>
      <c r="R5" s="17"/>
    </row>
    <row r="6" spans="2:18" ht="15">
      <c r="B6" s="45"/>
      <c r="C6" s="19"/>
      <c r="D6" s="19"/>
      <c r="E6" s="19"/>
      <c r="F6" s="19"/>
      <c r="G6" s="19"/>
      <c r="H6" s="19"/>
      <c r="I6" s="46"/>
      <c r="K6" s="18"/>
      <c r="L6" s="14" t="s">
        <v>58</v>
      </c>
      <c r="M6" s="36">
        <f>SUM(M4:M5)</f>
        <v>15120</v>
      </c>
      <c r="N6" s="36">
        <f>SUM(N4:N5)</f>
        <v>0</v>
      </c>
      <c r="O6" s="36">
        <f>SUM(O4:O5)</f>
        <v>0</v>
      </c>
      <c r="P6" s="36">
        <f>SUM(P4:P5)</f>
        <v>0</v>
      </c>
      <c r="Q6" s="36">
        <f>SUM(Q4:Q5)</f>
        <v>0</v>
      </c>
      <c r="R6" s="17"/>
    </row>
    <row r="7" spans="2:18" ht="15.75" thickBot="1">
      <c r="B7" s="45"/>
      <c r="C7" s="19"/>
      <c r="D7" s="19"/>
      <c r="E7" s="19"/>
      <c r="F7" s="19"/>
      <c r="G7" s="19"/>
      <c r="H7" s="19"/>
      <c r="I7" s="46"/>
      <c r="K7" s="20"/>
      <c r="L7" s="21"/>
      <c r="M7" s="21"/>
      <c r="N7" s="21"/>
      <c r="O7" s="21"/>
      <c r="P7" s="21"/>
      <c r="Q7" s="21"/>
      <c r="R7" s="22"/>
    </row>
    <row r="8" spans="2:9" ht="15.75" thickBot="1">
      <c r="B8" s="51" t="s">
        <v>3</v>
      </c>
      <c r="C8" s="14" t="s">
        <v>48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46"/>
    </row>
    <row r="9" spans="2:18" ht="15">
      <c r="B9" s="45"/>
      <c r="C9" s="19" t="str">
        <f>+C4</f>
        <v>Investimenti Materiali</v>
      </c>
      <c r="D9" s="35">
        <f>+Input!E55*Input!$E$63</f>
        <v>14400</v>
      </c>
      <c r="E9" s="35">
        <f>+IF(D14&gt;=$D$4,0,$D4*Input!$E$63)</f>
        <v>14400</v>
      </c>
      <c r="F9" s="35">
        <f>+IF(E14&gt;=$D$4,0,$D4*Input!$E$63)</f>
        <v>14400</v>
      </c>
      <c r="G9" s="35">
        <f>+IF(F14&gt;=$D$4,0,$D4*Input!$E$63)</f>
        <v>14400</v>
      </c>
      <c r="H9" s="35">
        <f>+IF(G14&gt;=$D$4,0,$D4*Input!$E$63)</f>
        <v>14400</v>
      </c>
      <c r="I9" s="46"/>
      <c r="K9" s="10"/>
      <c r="L9" s="11"/>
      <c r="M9" s="11"/>
      <c r="N9" s="11"/>
      <c r="O9" s="11"/>
      <c r="P9" s="11"/>
      <c r="Q9" s="11"/>
      <c r="R9" s="12"/>
    </row>
    <row r="10" spans="2:18" ht="15">
      <c r="B10" s="45"/>
      <c r="C10" s="19" t="str">
        <f>+C5</f>
        <v>Investimenti Immateriali</v>
      </c>
      <c r="D10" s="35">
        <f>+Input!E56*Input!$E$64</f>
        <v>0</v>
      </c>
      <c r="E10" s="35">
        <f>+IF(D15&gt;=$D$5,0,$D5*Input!$E$64)</f>
        <v>0</v>
      </c>
      <c r="F10" s="35">
        <f>+IF(E15&gt;=$D$5,0,$D5*Input!$E$64)</f>
        <v>0</v>
      </c>
      <c r="G10" s="35">
        <f>+IF(F15&gt;=$D$5,0,$D5*Input!$E$64)</f>
        <v>0</v>
      </c>
      <c r="H10" s="35">
        <f>+IF(G15&gt;=$D$5,0,$D5*Input!$E$64)</f>
        <v>0</v>
      </c>
      <c r="I10" s="46"/>
      <c r="K10" s="18"/>
      <c r="L10" s="14" t="s">
        <v>59</v>
      </c>
      <c r="M10" s="14" t="str">
        <f>+M3</f>
        <v>Anno 1</v>
      </c>
      <c r="N10" s="14" t="str">
        <f>+N3</f>
        <v>Anno 2</v>
      </c>
      <c r="O10" s="14" t="str">
        <f>+O3</f>
        <v>Anno 3</v>
      </c>
      <c r="P10" s="14" t="str">
        <f>+P3</f>
        <v>Anno 4</v>
      </c>
      <c r="Q10" s="14" t="str">
        <f>+Q3</f>
        <v>Anno 5</v>
      </c>
      <c r="R10" s="17"/>
    </row>
    <row r="11" spans="2:18" ht="15">
      <c r="B11" s="45"/>
      <c r="C11" s="19"/>
      <c r="D11" s="19"/>
      <c r="E11" s="19"/>
      <c r="F11" s="19"/>
      <c r="G11" s="19"/>
      <c r="H11" s="19"/>
      <c r="I11" s="46"/>
      <c r="K11" s="18"/>
      <c r="L11" s="19" t="str">
        <f>+L4</f>
        <v>Investimenti Materiali</v>
      </c>
      <c r="M11" s="35">
        <f>+Input!E55+(Input!E55*Input!$E$58)-Input!E60</f>
        <v>47120</v>
      </c>
      <c r="N11" s="35">
        <f>+Input!F55+(Input!F55*Input!$E$58)-Input!F60</f>
        <v>-47120</v>
      </c>
      <c r="O11" s="35">
        <f>+Input!G55+(Input!G55*Input!$E$58)-Input!G60</f>
        <v>0</v>
      </c>
      <c r="P11" s="35">
        <f>+Input!H55+(Input!H55*Input!$E$58)-Input!H60</f>
        <v>0</v>
      </c>
      <c r="Q11" s="35">
        <f>+Input!I55+(Input!I55*Input!$E$58)-Input!I60</f>
        <v>0</v>
      </c>
      <c r="R11" s="17"/>
    </row>
    <row r="12" spans="2:18" ht="15">
      <c r="B12" s="45"/>
      <c r="C12" s="19"/>
      <c r="D12" s="19"/>
      <c r="E12" s="19"/>
      <c r="F12" s="19"/>
      <c r="G12" s="19"/>
      <c r="H12" s="19"/>
      <c r="I12" s="46"/>
      <c r="K12" s="18"/>
      <c r="L12" s="19" t="str">
        <f>+L5</f>
        <v>Investimenti Immateriali</v>
      </c>
      <c r="M12" s="35">
        <f>+Input!E56+(Input!E56*Input!$E$58)-Input!E61</f>
        <v>0</v>
      </c>
      <c r="N12" s="35">
        <f>+Input!F56+(Input!F56*Input!$E$58)-Input!F61</f>
        <v>0</v>
      </c>
      <c r="O12" s="35">
        <f>+Input!G56+(Input!G56*Input!$E$58)-Input!G61</f>
        <v>0</v>
      </c>
      <c r="P12" s="35">
        <f>+Input!H56+(Input!H56*Input!$E$58)-Input!H61</f>
        <v>0</v>
      </c>
      <c r="Q12" s="35">
        <f>+Input!I56+(Input!I56*Input!$E$58)-Input!I61</f>
        <v>0</v>
      </c>
      <c r="R12" s="17"/>
    </row>
    <row r="13" spans="2:18" ht="15">
      <c r="B13" s="45"/>
      <c r="C13" s="14" t="s">
        <v>49</v>
      </c>
      <c r="D13" s="15" t="str">
        <f>+D8</f>
        <v>Anno 1</v>
      </c>
      <c r="E13" s="15" t="str">
        <f>+E8</f>
        <v>Anno 2</v>
      </c>
      <c r="F13" s="15" t="str">
        <f>+F8</f>
        <v>Anno 3</v>
      </c>
      <c r="G13" s="15" t="str">
        <f>+G8</f>
        <v>Anno 4</v>
      </c>
      <c r="H13" s="15" t="str">
        <f>+H8</f>
        <v>Anno 5</v>
      </c>
      <c r="I13" s="46"/>
      <c r="K13" s="18"/>
      <c r="L13" s="14" t="s">
        <v>60</v>
      </c>
      <c r="M13" s="36">
        <f>SUM(M11:M12)</f>
        <v>47120</v>
      </c>
      <c r="N13" s="36">
        <f>SUM(N11:N12)</f>
        <v>-47120</v>
      </c>
      <c r="O13" s="36">
        <f>SUM(O11:O12)</f>
        <v>0</v>
      </c>
      <c r="P13" s="36">
        <f>SUM(P11:P12)</f>
        <v>0</v>
      </c>
      <c r="Q13" s="36">
        <f>SUM(Q11:Q12)</f>
        <v>0</v>
      </c>
      <c r="R13" s="17"/>
    </row>
    <row r="14" spans="2:18" ht="15.75" thickBot="1">
      <c r="B14" s="45"/>
      <c r="C14" s="19" t="str">
        <f>+C9</f>
        <v>Investimenti Materiali</v>
      </c>
      <c r="D14" s="35">
        <f>+D9</f>
        <v>14400</v>
      </c>
      <c r="E14" s="35">
        <f aca="true" t="shared" si="0" ref="E14:H15">+D14+E9</f>
        <v>28800</v>
      </c>
      <c r="F14" s="35">
        <f t="shared" si="0"/>
        <v>43200</v>
      </c>
      <c r="G14" s="35">
        <f t="shared" si="0"/>
        <v>57600</v>
      </c>
      <c r="H14" s="35">
        <f t="shared" si="0"/>
        <v>72000</v>
      </c>
      <c r="I14" s="46"/>
      <c r="K14" s="20"/>
      <c r="L14" s="21"/>
      <c r="M14" s="21"/>
      <c r="N14" s="21"/>
      <c r="O14" s="21"/>
      <c r="P14" s="21"/>
      <c r="Q14" s="21"/>
      <c r="R14" s="22"/>
    </row>
    <row r="15" spans="2:9" ht="15.75" thickBot="1">
      <c r="B15" s="45"/>
      <c r="C15" s="19" t="str">
        <f>+C10</f>
        <v>Investimenti Immateriali</v>
      </c>
      <c r="D15" s="35">
        <f>+D10</f>
        <v>0</v>
      </c>
      <c r="E15" s="35">
        <f t="shared" si="0"/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46"/>
    </row>
    <row r="16" spans="2:18" ht="15">
      <c r="B16" s="45"/>
      <c r="C16" s="19"/>
      <c r="D16" s="19"/>
      <c r="E16" s="19"/>
      <c r="F16" s="19"/>
      <c r="G16" s="19"/>
      <c r="H16" s="19"/>
      <c r="I16" s="46"/>
      <c r="K16" s="10"/>
      <c r="L16" s="11"/>
      <c r="M16" s="11"/>
      <c r="N16" s="11"/>
      <c r="O16" s="11"/>
      <c r="P16" s="11"/>
      <c r="Q16" s="11"/>
      <c r="R16" s="12"/>
    </row>
    <row r="17" spans="2:18" ht="15">
      <c r="B17" s="51" t="s">
        <v>4</v>
      </c>
      <c r="C17" s="14" t="s">
        <v>48</v>
      </c>
      <c r="D17" s="15" t="s">
        <v>3</v>
      </c>
      <c r="E17" s="15" t="s">
        <v>4</v>
      </c>
      <c r="F17" s="15" t="s">
        <v>5</v>
      </c>
      <c r="G17" s="15" t="s">
        <v>6</v>
      </c>
      <c r="H17" s="15" t="s">
        <v>7</v>
      </c>
      <c r="I17" s="46"/>
      <c r="K17" s="18"/>
      <c r="L17" s="14" t="s">
        <v>37</v>
      </c>
      <c r="M17" s="15" t="str">
        <f>+M10</f>
        <v>Anno 1</v>
      </c>
      <c r="N17" s="15" t="str">
        <f>+N10</f>
        <v>Anno 2</v>
      </c>
      <c r="O17" s="15" t="str">
        <f>+O10</f>
        <v>Anno 3</v>
      </c>
      <c r="P17" s="15" t="str">
        <f>+P10</f>
        <v>Anno 4</v>
      </c>
      <c r="Q17" s="15" t="str">
        <f>+Q10</f>
        <v>Anno 5</v>
      </c>
      <c r="R17" s="17"/>
    </row>
    <row r="18" spans="2:18" ht="15">
      <c r="B18" s="45"/>
      <c r="C18" s="19" t="str">
        <f>+C9</f>
        <v>Investimenti Materiali</v>
      </c>
      <c r="D18" s="35"/>
      <c r="E18" s="35">
        <f>+E4*Input!E63</f>
        <v>0</v>
      </c>
      <c r="F18" s="35">
        <f>+IF(E23&gt;=$E$4,0,$E4*Input!$E$63)</f>
        <v>0</v>
      </c>
      <c r="G18" s="35">
        <f>+IF(F23&gt;=$E$4,0,$E4*Input!$E$63)</f>
        <v>0</v>
      </c>
      <c r="H18" s="35">
        <f>+IF(G23&gt;=$E$4,0,$E4*Input!$E$63)</f>
        <v>0</v>
      </c>
      <c r="I18" s="46"/>
      <c r="K18" s="18"/>
      <c r="L18" s="19" t="str">
        <f>+L11</f>
        <v>Investimenti Materiali</v>
      </c>
      <c r="M18" s="35">
        <f>+Input!E60</f>
        <v>40000</v>
      </c>
      <c r="N18" s="35">
        <f>+Input!F60</f>
        <v>47120</v>
      </c>
      <c r="O18" s="35">
        <f>+Input!G60</f>
        <v>0</v>
      </c>
      <c r="P18" s="35">
        <f>+Input!H60</f>
        <v>0</v>
      </c>
      <c r="Q18" s="35">
        <f>+Input!I60</f>
        <v>0</v>
      </c>
      <c r="R18" s="17"/>
    </row>
    <row r="19" spans="2:18" ht="15">
      <c r="B19" s="45"/>
      <c r="C19" s="19" t="str">
        <f>+C10</f>
        <v>Investimenti Immateriali</v>
      </c>
      <c r="D19" s="35"/>
      <c r="E19" s="35">
        <f>+E5*Input!E64</f>
        <v>0</v>
      </c>
      <c r="F19" s="35">
        <f>+IF(E24&gt;=$E$5,0,$E5*Input!$E$64)</f>
        <v>0</v>
      </c>
      <c r="G19" s="35">
        <f>+IF(F24&gt;=$E$5,0,$E5*Input!$E$64)</f>
        <v>0</v>
      </c>
      <c r="H19" s="35">
        <f>+IF(G24&gt;=$E$5,0,$E5*Input!$E$64)</f>
        <v>0</v>
      </c>
      <c r="I19" s="46"/>
      <c r="K19" s="18"/>
      <c r="L19" s="19" t="str">
        <f>+L12</f>
        <v>Investimenti Immateriali</v>
      </c>
      <c r="M19" s="35">
        <f>+Input!E61</f>
        <v>0</v>
      </c>
      <c r="N19" s="35">
        <f>+Input!F61</f>
        <v>0</v>
      </c>
      <c r="O19" s="35">
        <f>+Input!G61</f>
        <v>0</v>
      </c>
      <c r="P19" s="35">
        <f>+Input!H61</f>
        <v>0</v>
      </c>
      <c r="Q19" s="35">
        <f>+Input!I61</f>
        <v>0</v>
      </c>
      <c r="R19" s="17"/>
    </row>
    <row r="20" spans="2:18" ht="15">
      <c r="B20" s="45"/>
      <c r="C20" s="19"/>
      <c r="D20" s="19"/>
      <c r="E20" s="19"/>
      <c r="F20" s="19"/>
      <c r="G20" s="19"/>
      <c r="H20" s="19"/>
      <c r="I20" s="46"/>
      <c r="K20" s="18"/>
      <c r="L20" s="14" t="s">
        <v>61</v>
      </c>
      <c r="M20" s="36">
        <f>SUM(M18:M19)</f>
        <v>40000</v>
      </c>
      <c r="N20" s="36">
        <f>SUM(N18:N19)</f>
        <v>47120</v>
      </c>
      <c r="O20" s="36">
        <f>SUM(O18:O19)</f>
        <v>0</v>
      </c>
      <c r="P20" s="36">
        <f>SUM(P18:P19)</f>
        <v>0</v>
      </c>
      <c r="Q20" s="36">
        <f>SUM(Q18:Q19)</f>
        <v>0</v>
      </c>
      <c r="R20" s="17"/>
    </row>
    <row r="21" spans="2:18" ht="15.75" thickBot="1">
      <c r="B21" s="45"/>
      <c r="C21" s="19"/>
      <c r="D21" s="19"/>
      <c r="E21" s="19"/>
      <c r="F21" s="19"/>
      <c r="G21" s="19"/>
      <c r="H21" s="19"/>
      <c r="I21" s="46"/>
      <c r="K21" s="20"/>
      <c r="L21" s="21"/>
      <c r="M21" s="21"/>
      <c r="N21" s="21"/>
      <c r="O21" s="21"/>
      <c r="P21" s="21"/>
      <c r="Q21" s="21"/>
      <c r="R21" s="22"/>
    </row>
    <row r="22" spans="2:9" ht="15">
      <c r="B22" s="45"/>
      <c r="C22" s="14" t="s">
        <v>49</v>
      </c>
      <c r="D22" s="15" t="str">
        <f>+D17</f>
        <v>Anno 1</v>
      </c>
      <c r="E22" s="15" t="str">
        <f>+E17</f>
        <v>Anno 2</v>
      </c>
      <c r="F22" s="15" t="str">
        <f>+F17</f>
        <v>Anno 3</v>
      </c>
      <c r="G22" s="15" t="str">
        <f>+G17</f>
        <v>Anno 4</v>
      </c>
      <c r="H22" s="15" t="str">
        <f>+H17</f>
        <v>Anno 5</v>
      </c>
      <c r="I22" s="46"/>
    </row>
    <row r="23" spans="2:9" ht="15">
      <c r="B23" s="45"/>
      <c r="C23" s="19" t="str">
        <f>+C18</f>
        <v>Investimenti Materiali</v>
      </c>
      <c r="D23" s="35"/>
      <c r="E23" s="35">
        <f aca="true" t="shared" si="1" ref="E23:H24">+D23+E18</f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46"/>
    </row>
    <row r="24" spans="2:9" ht="15">
      <c r="B24" s="45"/>
      <c r="C24" s="19" t="str">
        <f>+C19</f>
        <v>Investimenti Immateriali</v>
      </c>
      <c r="D24" s="35"/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46"/>
    </row>
    <row r="25" spans="2:9" ht="15">
      <c r="B25" s="45"/>
      <c r="C25" s="19"/>
      <c r="D25" s="19"/>
      <c r="E25" s="19"/>
      <c r="F25" s="19"/>
      <c r="G25" s="19"/>
      <c r="H25" s="19"/>
      <c r="I25" s="46"/>
    </row>
    <row r="26" spans="2:9" ht="15">
      <c r="B26" s="51" t="s">
        <v>5</v>
      </c>
      <c r="C26" s="14" t="s">
        <v>48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7</v>
      </c>
      <c r="I26" s="46"/>
    </row>
    <row r="27" spans="2:9" ht="15">
      <c r="B27" s="45"/>
      <c r="C27" s="19" t="str">
        <f>+C18</f>
        <v>Investimenti Materiali</v>
      </c>
      <c r="D27" s="35"/>
      <c r="E27" s="35"/>
      <c r="F27" s="35">
        <f>+F4*Input!$E$63</f>
        <v>0</v>
      </c>
      <c r="G27" s="35">
        <f>+IF(F32&gt;=$F$4,0,$F4*Input!$E$63)</f>
        <v>0</v>
      </c>
      <c r="H27" s="35">
        <f>+IF(G32&gt;=$F$4,0,$F4*Input!$E$63)</f>
        <v>0</v>
      </c>
      <c r="I27" s="46"/>
    </row>
    <row r="28" spans="2:9" ht="15">
      <c r="B28" s="45"/>
      <c r="C28" s="19" t="str">
        <f>+C19</f>
        <v>Investimenti Immateriali</v>
      </c>
      <c r="D28" s="35"/>
      <c r="E28" s="35"/>
      <c r="F28" s="35">
        <f>+F5*Input!E64</f>
        <v>0</v>
      </c>
      <c r="G28" s="35">
        <f>+IF(F33&gt;=$F$4,0,$F5*Input!$E$63)</f>
        <v>0</v>
      </c>
      <c r="H28" s="35">
        <f>+IF(G33&gt;=$F$4,0,$F5*Input!$E$63)</f>
        <v>0</v>
      </c>
      <c r="I28" s="46"/>
    </row>
    <row r="29" spans="2:9" ht="15">
      <c r="B29" s="45"/>
      <c r="C29" s="19"/>
      <c r="D29" s="19"/>
      <c r="E29" s="19"/>
      <c r="F29" s="19"/>
      <c r="G29" s="19"/>
      <c r="H29" s="19"/>
      <c r="I29" s="46"/>
    </row>
    <row r="30" spans="2:9" ht="15">
      <c r="B30" s="45"/>
      <c r="C30" s="19"/>
      <c r="D30" s="19"/>
      <c r="E30" s="19"/>
      <c r="F30" s="19"/>
      <c r="G30" s="19"/>
      <c r="H30" s="19"/>
      <c r="I30" s="46"/>
    </row>
    <row r="31" spans="2:9" ht="15">
      <c r="B31" s="45"/>
      <c r="C31" s="14" t="s">
        <v>49</v>
      </c>
      <c r="D31" s="15" t="str">
        <f>+D26</f>
        <v>Anno 1</v>
      </c>
      <c r="E31" s="15" t="str">
        <f>+E26</f>
        <v>Anno 2</v>
      </c>
      <c r="F31" s="15" t="str">
        <f>+F26</f>
        <v>Anno 3</v>
      </c>
      <c r="G31" s="15" t="str">
        <f>+G26</f>
        <v>Anno 4</v>
      </c>
      <c r="H31" s="15" t="str">
        <f>+H26</f>
        <v>Anno 5</v>
      </c>
      <c r="I31" s="46"/>
    </row>
    <row r="32" spans="2:9" ht="15">
      <c r="B32" s="45"/>
      <c r="C32" s="19" t="str">
        <f>+C27</f>
        <v>Investimenti Materiali</v>
      </c>
      <c r="D32" s="35"/>
      <c r="E32" s="35"/>
      <c r="F32" s="35">
        <f aca="true" t="shared" si="2" ref="F32:H33">+E32+F27</f>
        <v>0</v>
      </c>
      <c r="G32" s="35">
        <f t="shared" si="2"/>
        <v>0</v>
      </c>
      <c r="H32" s="35">
        <f t="shared" si="2"/>
        <v>0</v>
      </c>
      <c r="I32" s="46"/>
    </row>
    <row r="33" spans="2:9" ht="15">
      <c r="B33" s="45"/>
      <c r="C33" s="19" t="str">
        <f>+C28</f>
        <v>Investimenti Immateriali</v>
      </c>
      <c r="D33" s="35"/>
      <c r="E33" s="35"/>
      <c r="F33" s="35">
        <f t="shared" si="2"/>
        <v>0</v>
      </c>
      <c r="G33" s="35">
        <f t="shared" si="2"/>
        <v>0</v>
      </c>
      <c r="H33" s="35">
        <f t="shared" si="2"/>
        <v>0</v>
      </c>
      <c r="I33" s="46"/>
    </row>
    <row r="34" spans="2:9" ht="15">
      <c r="B34" s="45"/>
      <c r="C34" s="14"/>
      <c r="D34" s="19"/>
      <c r="E34" s="19"/>
      <c r="F34" s="19"/>
      <c r="G34" s="19"/>
      <c r="H34" s="19"/>
      <c r="I34" s="46"/>
    </row>
    <row r="35" spans="2:9" ht="15">
      <c r="B35" s="51" t="s">
        <v>6</v>
      </c>
      <c r="C35" s="14" t="s">
        <v>48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7</v>
      </c>
      <c r="I35" s="46"/>
    </row>
    <row r="36" spans="2:9" ht="15">
      <c r="B36" s="45"/>
      <c r="C36" s="19" t="str">
        <f>+C27</f>
        <v>Investimenti Materiali</v>
      </c>
      <c r="D36" s="35"/>
      <c r="E36" s="35"/>
      <c r="F36" s="35"/>
      <c r="G36" s="35">
        <f>+G4*Input!E63</f>
        <v>0</v>
      </c>
      <c r="H36" s="35">
        <f>+IF(G41&gt;=$G$4,0,$G4*Input!$E$63)</f>
        <v>0</v>
      </c>
      <c r="I36" s="46"/>
    </row>
    <row r="37" spans="2:9" ht="15">
      <c r="B37" s="45"/>
      <c r="C37" s="19" t="str">
        <f>+C28</f>
        <v>Investimenti Immateriali</v>
      </c>
      <c r="D37" s="35"/>
      <c r="E37" s="35"/>
      <c r="F37" s="35"/>
      <c r="G37" s="35">
        <f>+G5*Input!E64</f>
        <v>0</v>
      </c>
      <c r="H37" s="35">
        <f>+IF(G42&gt;=$G$4,0,$G5*Input!$E$63)</f>
        <v>0</v>
      </c>
      <c r="I37" s="46"/>
    </row>
    <row r="38" spans="2:9" ht="15">
      <c r="B38" s="45"/>
      <c r="C38" s="19"/>
      <c r="D38" s="19"/>
      <c r="E38" s="19"/>
      <c r="F38" s="19"/>
      <c r="G38" s="19"/>
      <c r="H38" s="19"/>
      <c r="I38" s="46"/>
    </row>
    <row r="39" spans="2:9" ht="15">
      <c r="B39" s="45"/>
      <c r="C39" s="19"/>
      <c r="D39" s="19"/>
      <c r="E39" s="19"/>
      <c r="F39" s="19"/>
      <c r="G39" s="19"/>
      <c r="H39" s="19"/>
      <c r="I39" s="46"/>
    </row>
    <row r="40" spans="2:9" ht="15">
      <c r="B40" s="45"/>
      <c r="C40" s="14" t="s">
        <v>49</v>
      </c>
      <c r="D40" s="15" t="str">
        <f>+D35</f>
        <v>Anno 1</v>
      </c>
      <c r="E40" s="15" t="str">
        <f>+E35</f>
        <v>Anno 2</v>
      </c>
      <c r="F40" s="15" t="str">
        <f>+F35</f>
        <v>Anno 3</v>
      </c>
      <c r="G40" s="15" t="str">
        <f>+G35</f>
        <v>Anno 4</v>
      </c>
      <c r="H40" s="15" t="str">
        <f>+H35</f>
        <v>Anno 5</v>
      </c>
      <c r="I40" s="46"/>
    </row>
    <row r="41" spans="2:9" ht="15">
      <c r="B41" s="45"/>
      <c r="C41" s="19" t="str">
        <f>+C36</f>
        <v>Investimenti Materiali</v>
      </c>
      <c r="D41" s="35"/>
      <c r="E41" s="35"/>
      <c r="F41" s="35">
        <f aca="true" t="shared" si="3" ref="F41:H42">+E41+F36</f>
        <v>0</v>
      </c>
      <c r="G41" s="35">
        <f t="shared" si="3"/>
        <v>0</v>
      </c>
      <c r="H41" s="35">
        <f t="shared" si="3"/>
        <v>0</v>
      </c>
      <c r="I41" s="46"/>
    </row>
    <row r="42" spans="2:9" ht="15">
      <c r="B42" s="45"/>
      <c r="C42" s="19" t="str">
        <f>+C37</f>
        <v>Investimenti Immateriali</v>
      </c>
      <c r="D42" s="35"/>
      <c r="E42" s="35"/>
      <c r="F42" s="35">
        <f t="shared" si="3"/>
        <v>0</v>
      </c>
      <c r="G42" s="35">
        <f t="shared" si="3"/>
        <v>0</v>
      </c>
      <c r="H42" s="35">
        <f t="shared" si="3"/>
        <v>0</v>
      </c>
      <c r="I42" s="46"/>
    </row>
    <row r="43" spans="2:9" ht="15">
      <c r="B43" s="45"/>
      <c r="C43" s="19"/>
      <c r="D43" s="19"/>
      <c r="E43" s="19"/>
      <c r="F43" s="19"/>
      <c r="G43" s="19"/>
      <c r="H43" s="19"/>
      <c r="I43" s="46"/>
    </row>
    <row r="44" spans="2:9" ht="15">
      <c r="B44" s="51" t="s">
        <v>7</v>
      </c>
      <c r="C44" s="14" t="s">
        <v>48</v>
      </c>
      <c r="D44" s="15" t="s">
        <v>3</v>
      </c>
      <c r="E44" s="15" t="s">
        <v>4</v>
      </c>
      <c r="F44" s="15" t="s">
        <v>5</v>
      </c>
      <c r="G44" s="15" t="s">
        <v>6</v>
      </c>
      <c r="H44" s="15" t="s">
        <v>7</v>
      </c>
      <c r="I44" s="46"/>
    </row>
    <row r="45" spans="2:9" ht="15">
      <c r="B45" s="45"/>
      <c r="C45" s="19" t="str">
        <f>+C36</f>
        <v>Investimenti Materiali</v>
      </c>
      <c r="D45" s="35"/>
      <c r="E45" s="35"/>
      <c r="F45" s="35"/>
      <c r="G45" s="35"/>
      <c r="H45" s="35">
        <f>+H4*Input!E63</f>
        <v>0</v>
      </c>
      <c r="I45" s="46"/>
    </row>
    <row r="46" spans="2:9" ht="15">
      <c r="B46" s="45"/>
      <c r="C46" s="19" t="str">
        <f>+C37</f>
        <v>Investimenti Immateriali</v>
      </c>
      <c r="D46" s="35"/>
      <c r="E46" s="35"/>
      <c r="F46" s="35"/>
      <c r="G46" s="35"/>
      <c r="H46" s="35">
        <f>+H5*Input!E64</f>
        <v>0</v>
      </c>
      <c r="I46" s="46"/>
    </row>
    <row r="47" spans="2:9" ht="15">
      <c r="B47" s="45"/>
      <c r="C47" s="19"/>
      <c r="D47" s="19"/>
      <c r="E47" s="19"/>
      <c r="F47" s="19"/>
      <c r="G47" s="19"/>
      <c r="H47" s="19"/>
      <c r="I47" s="46"/>
    </row>
    <row r="48" spans="2:9" ht="15">
      <c r="B48" s="45"/>
      <c r="C48" s="19"/>
      <c r="D48" s="19"/>
      <c r="E48" s="19"/>
      <c r="F48" s="19"/>
      <c r="G48" s="19"/>
      <c r="H48" s="19"/>
      <c r="I48" s="46"/>
    </row>
    <row r="49" spans="2:9" ht="15">
      <c r="B49" s="45"/>
      <c r="C49" s="14" t="s">
        <v>49</v>
      </c>
      <c r="D49" s="15" t="str">
        <f>+D44</f>
        <v>Anno 1</v>
      </c>
      <c r="E49" s="15" t="str">
        <f>+E44</f>
        <v>Anno 2</v>
      </c>
      <c r="F49" s="15" t="str">
        <f>+F44</f>
        <v>Anno 3</v>
      </c>
      <c r="G49" s="15" t="str">
        <f>+G44</f>
        <v>Anno 4</v>
      </c>
      <c r="H49" s="15" t="str">
        <f>+H44</f>
        <v>Anno 5</v>
      </c>
      <c r="I49" s="46"/>
    </row>
    <row r="50" spans="2:9" ht="15">
      <c r="B50" s="45"/>
      <c r="C50" s="19" t="str">
        <f>+C45</f>
        <v>Investimenti Materiali</v>
      </c>
      <c r="D50" s="35"/>
      <c r="E50" s="35"/>
      <c r="F50" s="35"/>
      <c r="G50" s="35"/>
      <c r="H50" s="35">
        <f>+G50+H45</f>
        <v>0</v>
      </c>
      <c r="I50" s="46"/>
    </row>
    <row r="51" spans="2:9" ht="15">
      <c r="B51" s="45"/>
      <c r="C51" s="19" t="str">
        <f>+C46</f>
        <v>Investimenti Immateriali</v>
      </c>
      <c r="D51" s="35"/>
      <c r="E51" s="35"/>
      <c r="F51" s="35"/>
      <c r="G51" s="35"/>
      <c r="H51" s="35">
        <f>+G51+H46</f>
        <v>0</v>
      </c>
      <c r="I51" s="46"/>
    </row>
    <row r="52" spans="2:9" ht="15">
      <c r="B52" s="45"/>
      <c r="C52" s="19"/>
      <c r="D52" s="19"/>
      <c r="E52" s="19"/>
      <c r="F52" s="19"/>
      <c r="G52" s="19"/>
      <c r="H52" s="19"/>
      <c r="I52" s="46"/>
    </row>
    <row r="53" spans="2:9" ht="15">
      <c r="B53" s="51" t="s">
        <v>50</v>
      </c>
      <c r="C53" s="14" t="str">
        <f>+C44</f>
        <v>Ammortamenti</v>
      </c>
      <c r="D53" s="15" t="str">
        <f>+D49</f>
        <v>Anno 1</v>
      </c>
      <c r="E53" s="15" t="str">
        <f>+E49</f>
        <v>Anno 2</v>
      </c>
      <c r="F53" s="15" t="str">
        <f>+F49</f>
        <v>Anno 3</v>
      </c>
      <c r="G53" s="15" t="str">
        <f>+G49</f>
        <v>Anno 4</v>
      </c>
      <c r="H53" s="15" t="str">
        <f>+H49</f>
        <v>Anno 5</v>
      </c>
      <c r="I53" s="46"/>
    </row>
    <row r="54" spans="2:9" ht="15">
      <c r="B54" s="45"/>
      <c r="C54" s="19" t="str">
        <f aca="true" t="shared" si="4" ref="C54:C60">+C45</f>
        <v>Investimenti Materiali</v>
      </c>
      <c r="D54" s="35">
        <f aca="true" t="shared" si="5" ref="D54:H55">+D9+D18+D27+D36+E45</f>
        <v>14400</v>
      </c>
      <c r="E54" s="35">
        <f t="shared" si="5"/>
        <v>14400</v>
      </c>
      <c r="F54" s="35">
        <f t="shared" si="5"/>
        <v>14400</v>
      </c>
      <c r="G54" s="35">
        <f t="shared" si="5"/>
        <v>14400</v>
      </c>
      <c r="H54" s="35">
        <f t="shared" si="5"/>
        <v>14400</v>
      </c>
      <c r="I54" s="46"/>
    </row>
    <row r="55" spans="2:9" ht="15">
      <c r="B55" s="45"/>
      <c r="C55" s="19" t="str">
        <f t="shared" si="4"/>
        <v>Investimenti Immateriali</v>
      </c>
      <c r="D55" s="35">
        <f t="shared" si="5"/>
        <v>0</v>
      </c>
      <c r="E55" s="35">
        <f t="shared" si="5"/>
        <v>0</v>
      </c>
      <c r="F55" s="35">
        <f t="shared" si="5"/>
        <v>0</v>
      </c>
      <c r="G55" s="35">
        <f t="shared" si="5"/>
        <v>0</v>
      </c>
      <c r="H55" s="35">
        <f t="shared" si="5"/>
        <v>0</v>
      </c>
      <c r="I55" s="46"/>
    </row>
    <row r="56" spans="2:9" ht="15">
      <c r="B56" s="45"/>
      <c r="C56" s="19"/>
      <c r="D56" s="19"/>
      <c r="E56" s="19"/>
      <c r="F56" s="19"/>
      <c r="G56" s="19"/>
      <c r="H56" s="19"/>
      <c r="I56" s="46"/>
    </row>
    <row r="57" spans="2:9" ht="15">
      <c r="B57" s="45"/>
      <c r="C57" s="19"/>
      <c r="D57" s="19"/>
      <c r="E57" s="19"/>
      <c r="F57" s="19"/>
      <c r="G57" s="19"/>
      <c r="H57" s="19"/>
      <c r="I57" s="46"/>
    </row>
    <row r="58" spans="2:9" ht="15">
      <c r="B58" s="45"/>
      <c r="C58" s="14" t="str">
        <f t="shared" si="4"/>
        <v>Fondo Ammortamenti</v>
      </c>
      <c r="D58" s="15" t="str">
        <f>+D53</f>
        <v>Anno 1</v>
      </c>
      <c r="E58" s="15" t="str">
        <f>+E53</f>
        <v>Anno 2</v>
      </c>
      <c r="F58" s="15" t="str">
        <f>+F53</f>
        <v>Anno 3</v>
      </c>
      <c r="G58" s="15" t="str">
        <f>+G53</f>
        <v>Anno 4</v>
      </c>
      <c r="H58" s="15" t="str">
        <f>+H53</f>
        <v>Anno 5</v>
      </c>
      <c r="I58" s="46"/>
    </row>
    <row r="59" spans="2:9" ht="15">
      <c r="B59" s="45"/>
      <c r="C59" s="19" t="str">
        <f t="shared" si="4"/>
        <v>Investimenti Materiali</v>
      </c>
      <c r="D59" s="35">
        <f>+D14+D23+D32+D41+E50</f>
        <v>14400</v>
      </c>
      <c r="E59" s="47">
        <f aca="true" t="shared" si="6" ref="E59:H60">+E54+D59</f>
        <v>28800</v>
      </c>
      <c r="F59" s="47">
        <f t="shared" si="6"/>
        <v>43200</v>
      </c>
      <c r="G59" s="47">
        <f t="shared" si="6"/>
        <v>57600</v>
      </c>
      <c r="H59" s="47">
        <f t="shared" si="6"/>
        <v>72000</v>
      </c>
      <c r="I59" s="46"/>
    </row>
    <row r="60" spans="2:9" ht="15">
      <c r="B60" s="45"/>
      <c r="C60" s="19" t="str">
        <f t="shared" si="4"/>
        <v>Investimenti Immateriali</v>
      </c>
      <c r="D60" s="35">
        <f>+D15+D24+D33+D42+E51</f>
        <v>0</v>
      </c>
      <c r="E60" s="47">
        <f t="shared" si="6"/>
        <v>0</v>
      </c>
      <c r="F60" s="47">
        <f t="shared" si="6"/>
        <v>0</v>
      </c>
      <c r="G60" s="47">
        <f t="shared" si="6"/>
        <v>0</v>
      </c>
      <c r="H60" s="47">
        <f t="shared" si="6"/>
        <v>0</v>
      </c>
      <c r="I60" s="46"/>
    </row>
    <row r="61" spans="2:9" ht="15.75" thickBot="1">
      <c r="B61" s="48"/>
      <c r="C61" s="49"/>
      <c r="D61" s="49"/>
      <c r="E61" s="49"/>
      <c r="F61" s="49"/>
      <c r="G61" s="49"/>
      <c r="H61" s="49"/>
      <c r="I61" s="50"/>
    </row>
    <row r="62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2012-12-12T20:53:31Z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