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1"/>
  </bookViews>
  <sheets>
    <sheet name="@" sheetId="1" r:id="rId1"/>
    <sheet name="Input" sheetId="2" r:id="rId2"/>
    <sheet name="Report -&gt;" sheetId="3" r:id="rId3"/>
    <sheet name="SP" sheetId="4" r:id="rId4"/>
    <sheet name="Cash Flow" sheetId="5" r:id="rId5"/>
    <sheet name="Indici" sheetId="6" r:id="rId6"/>
    <sheet name="Calcoli -&gt; " sheetId="7" r:id="rId7"/>
    <sheet name="MCL" sheetId="8" r:id="rId8"/>
    <sheet name="Inve" sheetId="9" r:id="rId9"/>
    <sheet name="Personale" sheetId="10" r:id="rId10"/>
    <sheet name="finanziamento" sheetId="11" r:id="rId11"/>
    <sheet name="Altri costi" sheetId="12" r:id="rId12"/>
    <sheet name="CFP" sheetId="13" r:id="rId13"/>
    <sheet name="Iva" sheetId="14" r:id="rId14"/>
    <sheet name="CE" sheetId="15" r:id="rId15"/>
    <sheet name="Irpef Cassa" sheetId="16" r:id="rId16"/>
    <sheet name="Irpef" sheetId="17" r:id="rId17"/>
    <sheet name="Irap" sheetId="18" r:id="rId18"/>
    <sheet name="Banca" sheetId="19" r:id="rId19"/>
    <sheet name="Sheet1" sheetId="20" r:id="rId20"/>
    <sheet name="Sheet2" sheetId="21" r:id="rId2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<sst xmlns="http://schemas.openxmlformats.org/spreadsheetml/2006/main" count="602" uniqueCount="450">
  <si>
    <t>Fatturato</t>
  </si>
  <si>
    <t>Aliquota iva</t>
  </si>
  <si>
    <t>Anno 1</t>
  </si>
  <si>
    <t>Anno 2</t>
  </si>
  <si>
    <t>Anno 3</t>
  </si>
  <si>
    <t>Anno 4</t>
  </si>
  <si>
    <t>Anno 5</t>
  </si>
  <si>
    <t>gg giac mag</t>
  </si>
  <si>
    <t>Margine ricarico</t>
  </si>
  <si>
    <t>Vendite</t>
  </si>
  <si>
    <t>Aliquota iva media</t>
  </si>
  <si>
    <t>dilazione Clienti</t>
  </si>
  <si>
    <t>magazzino MP</t>
  </si>
  <si>
    <t>Acqusti Mp</t>
  </si>
  <si>
    <t>Mp iniziali</t>
  </si>
  <si>
    <t>Mp Finali</t>
  </si>
  <si>
    <t>TOTALE</t>
  </si>
  <si>
    <t>Consumo merci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</si>
  <si>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</si>
  <si>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</si>
  <si>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</si>
  <si>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</si>
  <si>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</si>
  <si>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</si>
  <si>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</si>
  <si>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</si>
  <si>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</si>
  <si>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</si>
  <si>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</si>
  <si>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</si>
  <si>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</si>
  <si>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</si>
  <si>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</si>
  <si>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</si>
  <si>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</si>
  <si>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</si>
  <si>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</si>
  <si>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</si>
  <si>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</si>
  <si>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</si>
  <si>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</si>
  <si>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</si>
  <si>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</si>
  <si>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</si>
  <si>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</si>
  <si>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</si>
  <si>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</si>
  <si>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</si>
  <si>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</si>
  <si>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</si>
  <si>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</si>
  <si>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</si>
  <si>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</si>
  <si>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</si>
  <si>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</si>
  <si>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</si>
  <si>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</si>
  <si>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</si>
  <si>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</si>
  <si>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</si>
  <si>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</si>
  <si>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</si>
  <si>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</si>
  <si>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</si>
  <si>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</si>
  <si>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</si>
  <si>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</si>
  <si>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</si>
  <si>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</si>
  <si>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</si>
  <si>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</si>
  <si>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</si>
  <si>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</si>
  <si>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</si>
  <si>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</si>
  <si>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</si>
  <si>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</si>
  <si>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</si>
  <si>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</si>
  <si>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</si>
  <si>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</si>
  <si>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</si>
  <si>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</si>
  <si>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</si>
  <si>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</si>
  <si>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</si>
  <si>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</si>
  <si>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</si>
  <si>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</si>
  <si>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</si>
  <si>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</si>
  <si>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</si>
  <si>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</si>
  <si>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</si>
  <si>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</si>
  <si>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</si>
  <si>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</si>
  <si>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</si>
  <si>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</si>
  <si>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</si>
  <si>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</si>
  <si>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</si>
  <si>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</si>
  <si>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</si>
  <si>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</si>
  <si>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</si>
  <si>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</si>
  <si>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</si>
  <si>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</si>
  <si>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</si>
  <si>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</si>
  <si>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</si>
  <si>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</si>
  <si>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</si>
  <si>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</si>
  <si>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</si>
  <si>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</si>
  <si>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</si>
  <si>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</si>
  <si>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</si>
  <si>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</si>
  <si>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</si>
  <si>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</si>
  <si>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</si>
  <si>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</si>
  <si>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</si>
  <si>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</si>
  <si>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</si>
  <si>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</si>
  <si>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</si>
  <si>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</si>
  <si>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</si>
  <si>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</si>
  <si>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</si>
  <si>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</si>
  <si>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</si>
  <si>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</si>
  <si>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</si>
  <si>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</si>
  <si>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</si>
  <si>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</si>
  <si>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</si>
  <si>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</si>
  <si>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</si>
  <si>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</si>
  <si>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</si>
  <si>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</si>
  <si>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</si>
  <si>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</si>
  <si>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</si>
  <si>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</si>
  <si>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</si>
  <si>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</si>
  <si>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</si>
  <si>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</si>
  <si>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</si>
  <si>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</si>
  <si>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</si>
  <si>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</si>
  <si>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</si>
  <si>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</si>
  <si>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</si>
  <si>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</si>
  <si>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</si>
  <si>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</si>
  <si>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</si>
  <si>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</si>
  <si>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</si>
  <si>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</si>
  <si>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</si>
  <si>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</si>
  <si>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</si>
  <si>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</si>
  <si>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</si>
  <si>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</si>
  <si>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</si>
  <si>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</si>
  <si>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</si>
  <si>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</si>
  <si>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</si>
  <si>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</si>
  <si>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</si>
  <si>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</si>
  <si>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</si>
  <si>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</si>
  <si>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</si>
  <si>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</si>
  <si>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</si>
  <si>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</si>
  <si>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</si>
  <si>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</si>
  <si>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</si>
  <si>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</si>
  <si>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</si>
  <si>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</si>
  <si>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</si>
  <si>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</si>
  <si>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</si>
  <si>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</si>
  <si>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</si>
  <si>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</si>
  <si>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</si>
  <si>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</si>
  <si>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</si>
  <si>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</si>
  <si>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</si>
  <si>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</si>
  <si>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</si>
  <si>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</si>
  <si>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</si>
  <si>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</si>
  <si>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</si>
  <si>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</si>
  <si>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</si>
  <si>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</si>
  <si>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</si>
  <si>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</si>
  <si>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</si>
  <si>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</si>
  <si>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</si>
  <si>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</si>
  <si>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</si>
  <si>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</si>
  <si>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</si>
  <si>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</si>
  <si>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</si>
  <si>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</si>
  <si>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</si>
  <si>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</si>
  <si>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</si>
  <si>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</si>
  <si>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</si>
  <si>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</si>
  <si>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</si>
  <si>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</si>
  <si>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</si>
  <si>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</si>
  <si>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</si>
  <si>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</si>
  <si>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</si>
  <si>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</si>
  <si>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</si>
  <si>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1</t>
  </si>
  <si>
    <t>Altri costi 2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</si>
  <si>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</si>
  <si>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</si>
  <si>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</si>
  <si>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</si>
  <si>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</si>
  <si>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</si>
  <si>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</si>
  <si>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</si>
  <si>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</si>
  <si>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</si>
  <si>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</si>
  <si>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</si>
  <si>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</si>
  <si>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</si>
  <si>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</si>
  <si>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</si>
  <si>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</si>
  <si>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</si>
  <si>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</si>
  <si>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</si>
  <si>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</si>
  <si>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</si>
  <si>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</si>
  <si>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</si>
  <si>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</si>
  <si>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Quota socio</t>
  </si>
  <si>
    <t xml:space="preserve">Liquidità -&gt; Conto corrente Banca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</si>
  <si>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</si>
  <si>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</si>
  <si>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</si>
  <si>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</si>
  <si>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</si>
  <si>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</si>
  <si>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</si>
  <si>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</si>
  <si>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</si>
  <si>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</si>
  <si>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</si>
  <si>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</si>
  <si>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</si>
  <si>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</si>
  <si>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</si>
  <si>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</si>
  <si>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</si>
  <si>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</si>
  <si>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</si>
  <si>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</si>
  <si>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</si>
  <si>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</si>
  <si>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</si>
  <si>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</si>
  <si>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</si>
  <si>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</si>
  <si>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</si>
  <si>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</si>
  <si>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</si>
  <si>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</si>
  <si>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</si>
  <si>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</si>
  <si>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</si>
  <si>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</si>
  <si>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</si>
  <si>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</si>
  <si>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</si>
  <si>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</si>
  <si>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</si>
  <si>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</si>
  <si>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</si>
  <si>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</si>
  <si>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</si>
  <si>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</si>
  <si>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</si>
  <si>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</si>
  <si>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</si>
  <si>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</si>
  <si>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</si>
  <si>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Distribuzione utili soci</t>
  </si>
  <si>
    <t>Ineressi Attivi</t>
  </si>
  <si>
    <t>GESTIONE FINANZIARIA</t>
  </si>
  <si>
    <t>Interessi Attivi</t>
  </si>
  <si>
    <t>Entrate interessi attivi</t>
  </si>
  <si>
    <t>Stato Patrimoniale</t>
  </si>
  <si>
    <t>Conto Economico</t>
  </si>
  <si>
    <t>Torna ad Input</t>
  </si>
  <si>
    <t>Consumi MP</t>
  </si>
  <si>
    <t>celle input</t>
  </si>
  <si>
    <t xml:space="preserve">Anno Stipula Contratto </t>
  </si>
  <si>
    <t xml:space="preserve">Banca </t>
  </si>
  <si>
    <t>Iva a Debito dicembre</t>
  </si>
  <si>
    <t>Iva a Crdito dicembre</t>
  </si>
  <si>
    <t>Aliquota Ires</t>
  </si>
  <si>
    <t>Utile dopo Imposte</t>
  </si>
  <si>
    <t xml:space="preserve">Utile Azienda  </t>
  </si>
  <si>
    <t xml:space="preserve">Utile socio </t>
  </si>
  <si>
    <t>Capitale soci</t>
  </si>
  <si>
    <t>Capitale Netto</t>
  </si>
  <si>
    <t>Capitale Sociale</t>
  </si>
  <si>
    <t xml:space="preserve">     - Variazione Capitale Soci</t>
  </si>
  <si>
    <t>debiti/CREDITI</t>
  </si>
  <si>
    <t>dopo interessi attvi/passivi</t>
  </si>
  <si>
    <t>Variazione Circolante netto</t>
  </si>
  <si>
    <t>giorni dilazione cliente</t>
  </si>
  <si>
    <t>giorni dilazione fornitore</t>
  </si>
  <si>
    <t>Contributo Fondo Perduto</t>
  </si>
  <si>
    <t>Credito Imposta (bonus fiscale)</t>
  </si>
  <si>
    <t>Aliquota ammortamento cespiti finanziati</t>
  </si>
  <si>
    <t>Contributo conto esercizio delibera</t>
  </si>
  <si>
    <t>Contributo conto esercizio Liquidazione</t>
  </si>
  <si>
    <t>Contributo conto capitale/impianti delibera</t>
  </si>
  <si>
    <t>Contributo conto capitale/impianti Liquidazione</t>
  </si>
  <si>
    <t>GESTIONE STRAORDINARIA</t>
  </si>
  <si>
    <t>Contributi conto esercizio</t>
  </si>
  <si>
    <t>Conto Economico -&gt; Contributi Conto Esercizio</t>
  </si>
  <si>
    <t>Stato Patrimoniale -&gt; Crediti Contribu c/esercizio</t>
  </si>
  <si>
    <t>Stato Patrimoniale -&gt; Banca</t>
  </si>
  <si>
    <t>Crediti per Contributi conto esercizio</t>
  </si>
  <si>
    <t xml:space="preserve">     - Contributi Conto Esercizio</t>
  </si>
  <si>
    <t>Contributi in conto capitale e conto impianti</t>
  </si>
  <si>
    <t>Stato Patrimoniale -&gt; Contributi Conto Capitale/Impianti</t>
  </si>
  <si>
    <t>Conto Economico -&gt; Contributi Conto Capitale/Impianti 1</t>
  </si>
  <si>
    <t>Conto Economico -&gt; Contributi Conto Capitale/Impianti 2</t>
  </si>
  <si>
    <t>Conto Economico -&gt; Contributi Conto Capitale/Impianti 3</t>
  </si>
  <si>
    <t>Conto Economico -&gt; Contributi Conto Capitale/Impianti 4</t>
  </si>
  <si>
    <t>Conto Economico -&gt; Contributi Conto Capitale/Impianti 5</t>
  </si>
  <si>
    <t>Contributi c/capitale e impianti</t>
  </si>
  <si>
    <t>Contributi c/impianti e capitale</t>
  </si>
  <si>
    <t>Crediti per Contributi conto capitale</t>
  </si>
  <si>
    <t>Stato Patrimoniale -&gt; Crediti Contributi Conto Capitale/Impianti</t>
  </si>
  <si>
    <t>Contributi in conto esercizio</t>
  </si>
  <si>
    <t>Credito Imposta</t>
  </si>
  <si>
    <t>Contributo credito imposta</t>
  </si>
  <si>
    <t>A rettifica Ires</t>
  </si>
  <si>
    <t>Binus Fuscale</t>
  </si>
  <si>
    <t>Binus Fiscale</t>
  </si>
  <si>
    <t>Indici</t>
  </si>
  <si>
    <t>RICLASSIFICAZION SP</t>
  </si>
  <si>
    <t>ATTIVITA</t>
  </si>
  <si>
    <t>Blocco 1 :  Attività Fisse</t>
  </si>
  <si>
    <t>Blocco 2 :  Attività Correnti</t>
  </si>
  <si>
    <t>Blocco 3 :  Capitale Proprio</t>
  </si>
  <si>
    <t>Blocco 4 :  Debiti a medio lungo termine</t>
  </si>
  <si>
    <t>Blocco 5 :  Passivià correnti</t>
  </si>
  <si>
    <t>PASSIVITA'</t>
  </si>
  <si>
    <t>RICLASSIFICAZIONE CE</t>
  </si>
  <si>
    <t xml:space="preserve">1° Margine -&gt;Valore aggiunto (Blocco 1 – Blocco 2): </t>
  </si>
  <si>
    <t>Blocco 1 Valore della Produzione</t>
  </si>
  <si>
    <t>Blocco 2 Costi della Produzione</t>
  </si>
  <si>
    <t>Blocco 3 Costo del Lavoro</t>
  </si>
  <si>
    <t xml:space="preserve">2° Margine -&gt; Margine Operativo Lordo  </t>
  </si>
  <si>
    <t>Blocco 4 Ammortamenti e accantonamenti</t>
  </si>
  <si>
    <t>3° Margine -&gt; Reddito Operativo (Ebit)</t>
  </si>
  <si>
    <t>Blocco 5 Saldo gestione finanziaria</t>
  </si>
  <si>
    <t>4° Margine -&gt; Reddito Corrente</t>
  </si>
  <si>
    <t>Blocco 6 Saldo gestione straordinaria</t>
  </si>
  <si>
    <t>5° Margine -&gt; Reddito prima delle imposte</t>
  </si>
  <si>
    <t>Blocco 7 Imposte ed onere tributari</t>
  </si>
  <si>
    <t>6° Margine -&gt; Risultato netto</t>
  </si>
  <si>
    <t>Indicatori di Redditività</t>
  </si>
  <si>
    <t>ROI</t>
  </si>
  <si>
    <t>ROE</t>
  </si>
  <si>
    <t>ROTA</t>
  </si>
  <si>
    <t>Indicatori Produttività</t>
  </si>
  <si>
    <t>Ricavi Pro Capite</t>
  </si>
  <si>
    <t>Costo del lavoro Pro-Capite</t>
  </si>
  <si>
    <t>Valore aggiunto pro-capite</t>
  </si>
  <si>
    <t>Indicatori di Liquidità</t>
  </si>
  <si>
    <t>Capitale circolante netto</t>
  </si>
  <si>
    <t>Margine di tesoreria</t>
  </si>
  <si>
    <t>Current ratio</t>
  </si>
  <si>
    <t>Quick Ratio</t>
  </si>
  <si>
    <t>Utile Esercizio Anteimposte</t>
  </si>
  <si>
    <t>QUOTA SOCIO</t>
  </si>
  <si>
    <t>Reddito Impresa Socio</t>
  </si>
  <si>
    <t>Altri Redditi</t>
  </si>
  <si>
    <t>Reddito Totale Socio</t>
  </si>
  <si>
    <t>Imposta Socio</t>
  </si>
  <si>
    <t>Scaglioni reddito</t>
  </si>
  <si>
    <t>Da</t>
  </si>
  <si>
    <t>a</t>
  </si>
  <si>
    <t>Aliquota</t>
  </si>
  <si>
    <t>Fascia</t>
  </si>
  <si>
    <t>Tassazione Marginale</t>
  </si>
  <si>
    <t>Celle Input</t>
  </si>
  <si>
    <t>Materie Prime</t>
  </si>
  <si>
    <t>Valore Rimanenze</t>
  </si>
  <si>
    <t>Crediti Commerciali</t>
  </si>
  <si>
    <t>Pagamento Merce</t>
  </si>
  <si>
    <t>Personale</t>
  </si>
  <si>
    <t>Utilizzo TFR</t>
  </si>
  <si>
    <t>Magazzino</t>
  </si>
  <si>
    <t>Gestione Straordinaria</t>
  </si>
  <si>
    <t>Gestione Finanziaria</t>
  </si>
  <si>
    <t>Imponibile</t>
  </si>
  <si>
    <t>Calcolo Imposte</t>
  </si>
  <si>
    <t>Principio Competenza</t>
  </si>
  <si>
    <t>Principio Cassa</t>
  </si>
  <si>
    <t>Report</t>
  </si>
  <si>
    <t>Irpef Socio</t>
  </si>
  <si>
    <t>Altri Redditi Socio</t>
  </si>
  <si>
    <t>Pagamento Costi Gestione</t>
  </si>
  <si>
    <t>realizzato da : Gianluca Imperiale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</si>
  <si>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bpexcel.it</t>
    </r>
  </si>
  <si>
    <t>note: La stampa, il download, come pure la consultazione e l'accesso al File è permesso solamente ad uso informativo e divulgativo, restando pertanto vietata qualsiasi riproduzione anche parziale dello stesso diversa dall'uso informativo e divulgativo, tranne che per i realizzatori del file stesso e BPExcel. È in ogni caso vietato ogni utilizzo per scopi direttamente e/o indirettamente commerciali, tranne che per i realizzatori del file stesso e BPExcel. Nessuna riproduzione di questo File e del suo contenuto o di sue parti, pertanto, può essere venduta, né modificata, distribuita o altrimenti utilizzata a fini commerciali, tranne che per i realizzatori del file stesso e BPExcel.</t>
  </si>
  <si>
    <t>Prodotti</t>
  </si>
  <si>
    <t>Riporto Magazzino Iniziale</t>
  </si>
  <si>
    <t>Totale 5 anni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</si>
</sst>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"/>
    <numFmt numFmtId="173" formatCode="&quot;€&quot;\ #,##0.00"/>
    <numFmt numFmtId="174" formatCode="&quot;€&quot;\ #,##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[$-410]dddd\ d\ mmmm\ yyyy"/>
    <numFmt numFmtId="183" formatCode="dd/mm/yy;@"/>
    <numFmt numFmtId="184" formatCode="_-* #,##0.0\ &quot;€&quot;_-;\-* #,##0.0\ &quot;€&quot;_-;_-* &quot;-&quot;??\ &quot;€&quot;_-;_-@_-"/>
    <numFmt numFmtId="185" formatCode="_-* #,##0\ &quot;€&quot;_-;\-* #,##0\ &quot;€&quot;_-;_-* &quot;-&quot;??\ &quot;€&quot;_-;_-@_-"/>
    <numFmt numFmtId="186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3" tint="0.3999800086021423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ashed"/>
      <right style="dashed"/>
      <top style="dashed"/>
      <bottom style="dashed"/>
    </border>
    <border>
      <left style="thin"/>
      <right style="thin"/>
      <top style="medium">
        <color indexed="21"/>
      </top>
      <bottom style="thin"/>
    </border>
    <border>
      <left style="medium">
        <color indexed="21"/>
      </left>
      <right style="thin"/>
      <top style="thin"/>
      <bottom style="thin"/>
    </border>
    <border>
      <left style="medium">
        <color indexed="21"/>
      </left>
      <right style="thin"/>
      <top style="thin"/>
      <bottom/>
    </border>
    <border>
      <left style="thin"/>
      <right style="thin"/>
      <top style="thin"/>
      <bottom/>
    </border>
    <border>
      <left style="medium">
        <color indexed="21"/>
      </left>
      <right style="thin"/>
      <top/>
      <bottom/>
    </border>
    <border>
      <left style="medium">
        <color indexed="21"/>
      </left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ashed"/>
      <bottom style="dashed"/>
    </border>
    <border>
      <left style="double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1"/>
      </left>
      <right/>
      <top style="medium">
        <color indexed="21"/>
      </top>
      <bottom style="thin"/>
    </border>
    <border>
      <left/>
      <right/>
      <top style="medium">
        <color indexed="21"/>
      </top>
      <bottom style="thin"/>
    </border>
    <border>
      <left/>
      <right style="thin"/>
      <top style="medium">
        <color indexed="21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47" fillId="0" borderId="12" xfId="0" applyFont="1" applyBorder="1" applyAlignment="1">
      <alignment horizontal="center" wrapText="1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47" fillId="0" borderId="0" xfId="0" applyNumberFormat="1" applyFont="1" applyBorder="1" applyAlignment="1">
      <alignment horizontal="center"/>
    </xf>
    <xf numFmtId="172" fontId="47" fillId="0" borderId="0" xfId="0" applyNumberFormat="1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7" fillId="0" borderId="22" xfId="0" applyFont="1" applyBorder="1" applyAlignment="1">
      <alignment/>
    </xf>
    <xf numFmtId="172" fontId="47" fillId="0" borderId="0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0" xfId="0" applyFill="1" applyBorder="1" applyAlignment="1">
      <alignment/>
    </xf>
    <xf numFmtId="172" fontId="47" fillId="0" borderId="17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27" xfId="0" applyFont="1" applyFill="1" applyBorder="1" applyAlignment="1" applyProtection="1">
      <alignment vertical="center"/>
      <protection hidden="1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 applyProtection="1">
      <alignment vertical="center"/>
      <protection hidden="1"/>
    </xf>
    <xf numFmtId="2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28" xfId="50" applyFont="1" applyFill="1" applyBorder="1" applyAlignment="1" applyProtection="1">
      <alignment horizontal="center" vertical="center" wrapText="1"/>
      <protection locked="0"/>
    </xf>
    <xf numFmtId="17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vertical="center"/>
      <protection hidden="1"/>
    </xf>
    <xf numFmtId="173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0" xfId="0" applyFont="1" applyFill="1" applyBorder="1" applyAlignment="1" applyProtection="1">
      <alignment vertical="center" wrapText="1"/>
      <protection hidden="1"/>
    </xf>
    <xf numFmtId="3" fontId="28" fillId="36" borderId="27" xfId="0" applyNumberFormat="1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vertical="center"/>
      <protection hidden="1"/>
    </xf>
    <xf numFmtId="0" fontId="4" fillId="35" borderId="28" xfId="0" applyFont="1" applyFill="1" applyBorder="1" applyAlignment="1">
      <alignment horizontal="center"/>
    </xf>
    <xf numFmtId="9" fontId="0" fillId="2" borderId="0" xfId="50" applyNumberFormat="1" applyFont="1" applyFill="1" applyAlignment="1" applyProtection="1">
      <alignment horizontal="center"/>
      <protection hidden="1"/>
    </xf>
    <xf numFmtId="172" fontId="0" fillId="2" borderId="0" xfId="0" applyNumberFormat="1" applyFill="1" applyAlignment="1" applyProtection="1">
      <alignment horizontal="center"/>
      <protection hidden="1"/>
    </xf>
    <xf numFmtId="0" fontId="32" fillId="34" borderId="0" xfId="0" applyFont="1" applyFill="1" applyAlignment="1">
      <alignment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17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/>
    </xf>
    <xf numFmtId="0" fontId="32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1" fillId="34" borderId="0" xfId="0" applyFont="1" applyFill="1" applyAlignment="1">
      <alignment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47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0" fontId="0" fillId="0" borderId="0" xfId="50" applyNumberFormat="1" applyFont="1" applyBorder="1" applyAlignment="1">
      <alignment/>
    </xf>
    <xf numFmtId="9" fontId="0" fillId="0" borderId="0" xfId="50" applyFont="1" applyBorder="1" applyAlignment="1">
      <alignment/>
    </xf>
    <xf numFmtId="172" fontId="47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36" fillId="0" borderId="0" xfId="36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4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47" fillId="38" borderId="0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172" fontId="47" fillId="38" borderId="0" xfId="0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0" xfId="0" applyAlignment="1" quotePrefix="1">
      <alignment/>
    </xf>
    <xf numFmtId="172" fontId="0" fillId="0" borderId="12" xfId="0" applyNumberFormat="1" applyBorder="1" applyAlignment="1">
      <alignment/>
    </xf>
    <xf numFmtId="174" fontId="47" fillId="38" borderId="0" xfId="0" applyNumberFormat="1" applyFont="1" applyFill="1" applyBorder="1" applyAlignment="1">
      <alignment horizontal="center"/>
    </xf>
    <xf numFmtId="172" fontId="0" fillId="38" borderId="17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9" fontId="0" fillId="0" borderId="0" xfId="50" applyFont="1" applyBorder="1" applyAlignment="1">
      <alignment horizontal="center"/>
    </xf>
    <xf numFmtId="0" fontId="47" fillId="0" borderId="0" xfId="0" applyFont="1" applyFill="1" applyBorder="1" applyAlignment="1">
      <alignment/>
    </xf>
    <xf numFmtId="172" fontId="0" fillId="0" borderId="0" xfId="50" applyNumberFormat="1" applyFont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9" fontId="0" fillId="0" borderId="0" xfId="50" applyFont="1" applyAlignment="1">
      <alignment horizontal="center"/>
    </xf>
    <xf numFmtId="175" fontId="0" fillId="0" borderId="0" xfId="5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6" fillId="0" borderId="0" xfId="36" applyAlignment="1">
      <alignment horizontal="left"/>
    </xf>
    <xf numFmtId="3" fontId="47" fillId="0" borderId="17" xfId="0" applyNumberFormat="1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3" fontId="47" fillId="0" borderId="0" xfId="0" applyNumberFormat="1" applyFont="1" applyFill="1" applyAlignment="1">
      <alignment horizontal="left"/>
    </xf>
    <xf numFmtId="0" fontId="6" fillId="10" borderId="33" xfId="0" applyFont="1" applyFill="1" applyBorder="1" applyAlignment="1">
      <alignment/>
    </xf>
    <xf numFmtId="3" fontId="6" fillId="10" borderId="33" xfId="0" applyNumberFormat="1" applyFont="1" applyFill="1" applyBorder="1" applyAlignment="1">
      <alignment horizontal="center"/>
    </xf>
    <xf numFmtId="0" fontId="5" fillId="10" borderId="34" xfId="0" applyFont="1" applyFill="1" applyBorder="1" applyAlignment="1">
      <alignment/>
    </xf>
    <xf numFmtId="0" fontId="5" fillId="10" borderId="27" xfId="0" applyFont="1" applyFill="1" applyBorder="1" applyAlignment="1">
      <alignment/>
    </xf>
    <xf numFmtId="3" fontId="5" fillId="7" borderId="35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9" fontId="5" fillId="7" borderId="36" xfId="0" applyNumberFormat="1" applyFont="1" applyFill="1" applyBorder="1" applyAlignment="1">
      <alignment horizontal="center"/>
    </xf>
    <xf numFmtId="4" fontId="5" fillId="0" borderId="36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7" borderId="37" xfId="0" applyNumberFormat="1" applyFont="1" applyFill="1" applyBorder="1" applyAlignment="1">
      <alignment/>
    </xf>
    <xf numFmtId="3" fontId="5" fillId="7" borderId="29" xfId="0" applyNumberFormat="1" applyFont="1" applyFill="1" applyBorder="1" applyAlignment="1">
      <alignment/>
    </xf>
    <xf numFmtId="9" fontId="5" fillId="7" borderId="29" xfId="0" applyNumberFormat="1" applyFont="1" applyFill="1" applyBorder="1" applyAlignment="1">
      <alignment horizontal="center"/>
    </xf>
    <xf numFmtId="3" fontId="5" fillId="7" borderId="38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9" fontId="5" fillId="7" borderId="30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9" fontId="47" fillId="0" borderId="0" xfId="50" applyFont="1" applyAlignment="1">
      <alignment/>
    </xf>
    <xf numFmtId="9" fontId="0" fillId="0" borderId="0" xfId="50" applyFont="1" applyAlignment="1">
      <alignment/>
    </xf>
    <xf numFmtId="0" fontId="47" fillId="33" borderId="0" xfId="0" applyFont="1" applyFill="1" applyBorder="1" applyAlignment="1">
      <alignment horizontal="center"/>
    </xf>
    <xf numFmtId="0" fontId="0" fillId="39" borderId="39" xfId="0" applyFill="1" applyBorder="1" applyAlignment="1">
      <alignment/>
    </xf>
    <xf numFmtId="0" fontId="47" fillId="33" borderId="40" xfId="0" applyFont="1" applyFill="1" applyBorder="1" applyAlignment="1">
      <alignment horizontal="center"/>
    </xf>
    <xf numFmtId="0" fontId="47" fillId="40" borderId="41" xfId="0" applyFont="1" applyFill="1" applyBorder="1" applyAlignment="1">
      <alignment horizontal="center"/>
    </xf>
    <xf numFmtId="0" fontId="47" fillId="40" borderId="42" xfId="0" applyFont="1" applyFill="1" applyBorder="1" applyAlignment="1">
      <alignment horizontal="center"/>
    </xf>
    <xf numFmtId="172" fontId="47" fillId="38" borderId="40" xfId="0" applyNumberFormat="1" applyFont="1" applyFill="1" applyBorder="1" applyAlignment="1">
      <alignment horizontal="center"/>
    </xf>
    <xf numFmtId="172" fontId="47" fillId="38" borderId="41" xfId="0" applyNumberFormat="1" applyFont="1" applyFill="1" applyBorder="1" applyAlignment="1">
      <alignment horizontal="center"/>
    </xf>
    <xf numFmtId="172" fontId="47" fillId="38" borderId="42" xfId="0" applyNumberFormat="1" applyFont="1" applyFill="1" applyBorder="1" applyAlignment="1">
      <alignment horizontal="center"/>
    </xf>
    <xf numFmtId="0" fontId="47" fillId="8" borderId="39" xfId="0" applyFont="1" applyFill="1" applyBorder="1" applyAlignment="1">
      <alignment horizontal="center"/>
    </xf>
    <xf numFmtId="0" fontId="47" fillId="39" borderId="39" xfId="0" applyFont="1" applyFill="1" applyBorder="1" applyAlignment="1">
      <alignment/>
    </xf>
    <xf numFmtId="0" fontId="47" fillId="40" borderId="40" xfId="0" applyFont="1" applyFill="1" applyBorder="1" applyAlignment="1">
      <alignment horizontal="center"/>
    </xf>
    <xf numFmtId="175" fontId="47" fillId="8" borderId="39" xfId="50" applyNumberFormat="1" applyFont="1" applyFill="1" applyBorder="1" applyAlignment="1">
      <alignment horizontal="center"/>
    </xf>
    <xf numFmtId="172" fontId="0" fillId="33" borderId="43" xfId="0" applyNumberFormat="1" applyFill="1" applyBorder="1" applyAlignment="1">
      <alignment horizontal="center"/>
    </xf>
    <xf numFmtId="172" fontId="0" fillId="33" borderId="44" xfId="0" applyNumberFormat="1" applyFill="1" applyBorder="1" applyAlignment="1">
      <alignment horizontal="center"/>
    </xf>
    <xf numFmtId="172" fontId="0" fillId="33" borderId="45" xfId="0" applyNumberForma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172" fontId="0" fillId="33" borderId="47" xfId="0" applyNumberFormat="1" applyFill="1" applyBorder="1" applyAlignment="1">
      <alignment horizontal="center"/>
    </xf>
    <xf numFmtId="172" fontId="0" fillId="33" borderId="48" xfId="0" applyNumberFormat="1" applyFill="1" applyBorder="1" applyAlignment="1">
      <alignment horizontal="center"/>
    </xf>
    <xf numFmtId="0" fontId="47" fillId="39" borderId="39" xfId="0" applyFont="1" applyFill="1" applyBorder="1" applyAlignment="1">
      <alignment horizontal="center" wrapText="1"/>
    </xf>
    <xf numFmtId="0" fontId="47" fillId="39" borderId="39" xfId="0" applyFont="1" applyFill="1" applyBorder="1" applyAlignment="1">
      <alignment horizontal="center"/>
    </xf>
    <xf numFmtId="172" fontId="0" fillId="33" borderId="49" xfId="0" applyNumberFormat="1" applyFill="1" applyBorder="1" applyAlignment="1">
      <alignment horizontal="center"/>
    </xf>
    <xf numFmtId="172" fontId="0" fillId="33" borderId="32" xfId="0" applyNumberFormat="1" applyFill="1" applyBorder="1" applyAlignment="1">
      <alignment horizontal="center"/>
    </xf>
    <xf numFmtId="172" fontId="0" fillId="33" borderId="50" xfId="0" applyNumberForma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172" fontId="47" fillId="38" borderId="51" xfId="0" applyNumberFormat="1" applyFont="1" applyFill="1" applyBorder="1" applyAlignment="1">
      <alignment horizontal="center"/>
    </xf>
    <xf numFmtId="172" fontId="47" fillId="38" borderId="52" xfId="0" applyNumberFormat="1" applyFont="1" applyFill="1" applyBorder="1" applyAlignment="1">
      <alignment horizontal="center"/>
    </xf>
    <xf numFmtId="9" fontId="47" fillId="8" borderId="39" xfId="50" applyFont="1" applyFill="1" applyBorder="1" applyAlignment="1">
      <alignment horizontal="center"/>
    </xf>
    <xf numFmtId="1" fontId="0" fillId="33" borderId="40" xfId="0" applyNumberForma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72" fontId="0" fillId="33" borderId="40" xfId="0" applyNumberFormat="1" applyFill="1" applyBorder="1" applyAlignment="1">
      <alignment horizontal="center"/>
    </xf>
    <xf numFmtId="172" fontId="0" fillId="33" borderId="41" xfId="0" applyNumberFormat="1" applyFill="1" applyBorder="1" applyAlignment="1">
      <alignment horizontal="center"/>
    </xf>
    <xf numFmtId="172" fontId="0" fillId="33" borderId="42" xfId="0" applyNumberFormat="1" applyFill="1" applyBorder="1" applyAlignment="1">
      <alignment horizontal="center"/>
    </xf>
    <xf numFmtId="9" fontId="0" fillId="33" borderId="51" xfId="50" applyFont="1" applyFill="1" applyBorder="1" applyAlignment="1">
      <alignment horizontal="center"/>
    </xf>
    <xf numFmtId="9" fontId="0" fillId="33" borderId="53" xfId="50" applyFont="1" applyFill="1" applyBorder="1" applyAlignment="1">
      <alignment horizontal="center"/>
    </xf>
    <xf numFmtId="175" fontId="0" fillId="33" borderId="52" xfId="50" applyNumberFormat="1" applyFont="1" applyFill="1" applyBorder="1" applyAlignment="1">
      <alignment horizontal="center"/>
    </xf>
    <xf numFmtId="1" fontId="0" fillId="33" borderId="51" xfId="0" applyNumberFormat="1" applyFill="1" applyBorder="1" applyAlignment="1">
      <alignment horizontal="center"/>
    </xf>
    <xf numFmtId="9" fontId="0" fillId="33" borderId="52" xfId="50" applyFont="1" applyFill="1" applyBorder="1" applyAlignment="1">
      <alignment horizontal="center"/>
    </xf>
    <xf numFmtId="172" fontId="0" fillId="33" borderId="51" xfId="0" applyNumberFormat="1" applyFill="1" applyBorder="1" applyAlignment="1">
      <alignment horizontal="center"/>
    </xf>
    <xf numFmtId="1" fontId="0" fillId="33" borderId="52" xfId="0" applyNumberForma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9" fontId="0" fillId="33" borderId="45" xfId="50" applyFont="1" applyFill="1" applyBorder="1" applyAlignment="1">
      <alignment horizontal="center"/>
    </xf>
    <xf numFmtId="9" fontId="0" fillId="33" borderId="50" xfId="50" applyFont="1" applyFill="1" applyBorder="1" applyAlignment="1">
      <alignment horizontal="center"/>
    </xf>
    <xf numFmtId="9" fontId="0" fillId="33" borderId="48" xfId="50" applyFont="1" applyFill="1" applyBorder="1" applyAlignment="1">
      <alignment horizontal="center"/>
    </xf>
    <xf numFmtId="9" fontId="0" fillId="33" borderId="39" xfId="50" applyFont="1" applyFill="1" applyBorder="1" applyAlignment="1">
      <alignment horizontal="center"/>
    </xf>
    <xf numFmtId="9" fontId="0" fillId="33" borderId="46" xfId="50" applyFont="1" applyFill="1" applyBorder="1" applyAlignment="1">
      <alignment horizontal="center"/>
    </xf>
    <xf numFmtId="9" fontId="0" fillId="33" borderId="47" xfId="50" applyFont="1" applyFill="1" applyBorder="1" applyAlignment="1">
      <alignment horizontal="center"/>
    </xf>
    <xf numFmtId="0" fontId="47" fillId="40" borderId="39" xfId="0" applyFont="1" applyFill="1" applyBorder="1" applyAlignment="1">
      <alignment horizontal="center"/>
    </xf>
    <xf numFmtId="172" fontId="0" fillId="33" borderId="39" xfId="0" applyNumberFormat="1" applyFill="1" applyBorder="1" applyAlignment="1">
      <alignment horizontal="center"/>
    </xf>
    <xf numFmtId="185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16" borderId="0" xfId="0" applyFill="1" applyAlignment="1">
      <alignment/>
    </xf>
    <xf numFmtId="0" fontId="47" fillId="16" borderId="0" xfId="0" applyFont="1" applyFill="1" applyAlignment="1">
      <alignment/>
    </xf>
    <xf numFmtId="0" fontId="36" fillId="16" borderId="0" xfId="36" applyFill="1" applyAlignment="1">
      <alignment horizontal="center"/>
    </xf>
    <xf numFmtId="9" fontId="0" fillId="34" borderId="32" xfId="5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vertical="top" wrapText="1"/>
      <protection/>
    </xf>
    <xf numFmtId="9" fontId="47" fillId="8" borderId="42" xfId="50" applyFont="1" applyFill="1" applyBorder="1" applyAlignment="1">
      <alignment horizontal="center"/>
    </xf>
    <xf numFmtId="174" fontId="0" fillId="33" borderId="40" xfId="0" applyNumberFormat="1" applyFill="1" applyBorder="1" applyAlignment="1">
      <alignment horizontal="center"/>
    </xf>
    <xf numFmtId="174" fontId="0" fillId="33" borderId="41" xfId="0" applyNumberFormat="1" applyFill="1" applyBorder="1" applyAlignment="1">
      <alignment horizontal="center"/>
    </xf>
    <xf numFmtId="174" fontId="0" fillId="33" borderId="4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7" fillId="41" borderId="39" xfId="0" applyFont="1" applyFill="1" applyBorder="1" applyAlignment="1">
      <alignment/>
    </xf>
    <xf numFmtId="9" fontId="0" fillId="8" borderId="40" xfId="50" applyFont="1" applyFill="1" applyBorder="1" applyAlignment="1">
      <alignment horizontal="center"/>
    </xf>
    <xf numFmtId="0" fontId="47" fillId="40" borderId="57" xfId="0" applyFon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172" fontId="0" fillId="38" borderId="15" xfId="0" applyNumberFormat="1" applyFill="1" applyBorder="1" applyAlignment="1">
      <alignment horizontal="center"/>
    </xf>
    <xf numFmtId="172" fontId="47" fillId="38" borderId="15" xfId="0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52" fillId="16" borderId="58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5" fillId="10" borderId="59" xfId="0" applyFont="1" applyFill="1" applyBorder="1" applyAlignment="1">
      <alignment/>
    </xf>
    <xf numFmtId="0" fontId="5" fillId="10" borderId="60" xfId="0" applyFont="1" applyFill="1" applyBorder="1" applyAlignment="1">
      <alignment/>
    </xf>
    <xf numFmtId="0" fontId="5" fillId="10" borderId="6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7</xdr:col>
      <xdr:colOff>457200</xdr:colOff>
      <xdr:row>8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0"/>
          <a:ext cx="7572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3" max="3" width="70.140625" style="0" customWidth="1"/>
  </cols>
  <sheetData>
    <row r="1" spans="1:5" ht="15">
      <c r="A1" s="199"/>
      <c r="B1" s="199"/>
      <c r="C1" s="199"/>
      <c r="D1" s="199"/>
      <c r="E1" s="199"/>
    </row>
    <row r="2" spans="1:5" ht="15">
      <c r="A2" s="199"/>
      <c r="B2" s="199"/>
      <c r="C2" s="200" t="s">
        <v>444</v>
      </c>
      <c r="D2" s="199"/>
      <c r="E2" s="199"/>
    </row>
    <row r="3" spans="1:5" ht="15">
      <c r="A3" s="199"/>
      <c r="B3" s="199"/>
      <c r="C3" s="199"/>
      <c r="D3" s="199"/>
      <c r="E3" s="199"/>
    </row>
    <row r="4" spans="1:5" ht="15">
      <c r="A4" s="199"/>
      <c r="B4" s="199"/>
      <c r="C4" s="199"/>
      <c r="D4" s="199"/>
      <c r="E4" s="199"/>
    </row>
    <row r="5" spans="1:5" ht="15">
      <c r="A5" s="199"/>
      <c r="B5" s="199"/>
      <c r="C5" s="199"/>
      <c r="D5" s="199"/>
      <c r="E5" s="199"/>
    </row>
    <row r="6" spans="1:5" ht="15">
      <c r="A6" s="199"/>
      <c r="B6" s="199"/>
      <c r="C6" s="199"/>
      <c r="D6" s="199"/>
      <c r="E6" s="199"/>
    </row>
    <row r="7" spans="1:5" ht="15">
      <c r="A7" s="199"/>
      <c r="B7" s="199"/>
      <c r="C7" s="199"/>
      <c r="D7" s="199"/>
      <c r="E7" s="199"/>
    </row>
    <row r="8" spans="1:5" ht="15">
      <c r="A8" s="199"/>
      <c r="B8" s="199"/>
      <c r="C8" s="199"/>
      <c r="D8" s="199"/>
      <c r="E8" s="199"/>
    </row>
    <row r="9" spans="1:5" ht="15">
      <c r="A9" s="199"/>
      <c r="B9" s="199"/>
      <c r="C9" s="199"/>
      <c r="D9" s="199"/>
      <c r="E9" s="199"/>
    </row>
    <row r="10" spans="1:5" ht="22.5" customHeight="1">
      <c r="A10" s="199"/>
      <c r="B10" s="199"/>
      <c r="C10" s="201" t="s">
        <v>445</v>
      </c>
      <c r="D10" s="199"/>
      <c r="E10" s="199"/>
    </row>
    <row r="11" spans="1:5" ht="49.5">
      <c r="A11" s="199"/>
      <c r="B11" s="199"/>
      <c r="C11" s="202" t="s">
        <v>446</v>
      </c>
      <c r="D11" s="199"/>
      <c r="E11" s="199"/>
    </row>
    <row r="12" spans="1:5" ht="15">
      <c r="A12" s="199"/>
      <c r="B12" s="199"/>
      <c r="C12" s="199"/>
      <c r="D12" s="199"/>
      <c r="E12" s="19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D3" sqref="D3:H3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5"/>
      <c r="C2" s="6"/>
      <c r="D2" s="6"/>
      <c r="E2" s="6"/>
      <c r="F2" s="6"/>
      <c r="G2" s="6"/>
      <c r="H2" s="6"/>
      <c r="I2" s="7"/>
    </row>
    <row r="3" spans="2:9" ht="15">
      <c r="B3" s="13"/>
      <c r="C3" s="9" t="s">
        <v>74</v>
      </c>
      <c r="D3" s="10">
        <f>+'CE'!D2</f>
        <v>2017</v>
      </c>
      <c r="E3" s="10">
        <f>+'CE'!E2</f>
        <v>2018</v>
      </c>
      <c r="F3" s="10">
        <f>+'CE'!F2</f>
        <v>2019</v>
      </c>
      <c r="G3" s="10">
        <f>+'CE'!G2</f>
        <v>2020</v>
      </c>
      <c r="H3" s="10">
        <f>+'CE'!H2</f>
        <v>2021</v>
      </c>
      <c r="I3" s="12"/>
    </row>
    <row r="4" spans="2:9" ht="15">
      <c r="B4" s="13"/>
      <c r="C4" s="14" t="s">
        <v>70</v>
      </c>
      <c r="D4" s="27">
        <f>+Input!E87*Input!E85</f>
        <v>42000</v>
      </c>
      <c r="E4" s="27">
        <f>+Input!F87*Input!F85</f>
        <v>42000</v>
      </c>
      <c r="F4" s="27">
        <f>+Input!G87*Input!G85</f>
        <v>42000</v>
      </c>
      <c r="G4" s="27">
        <f>+Input!H87*Input!H85</f>
        <v>42000</v>
      </c>
      <c r="H4" s="27">
        <f>+Input!I87*Input!I85</f>
        <v>42000</v>
      </c>
      <c r="I4" s="12"/>
    </row>
    <row r="5" spans="2:9" ht="15">
      <c r="B5" s="13"/>
      <c r="C5" s="14" t="s">
        <v>71</v>
      </c>
      <c r="D5" s="27">
        <f>+D4*Input!$E$89</f>
        <v>12495</v>
      </c>
      <c r="E5" s="27">
        <f>+E4*Input!$E$89</f>
        <v>12495</v>
      </c>
      <c r="F5" s="27">
        <f>+F4*Input!$E$89</f>
        <v>12495</v>
      </c>
      <c r="G5" s="27">
        <f>+G4*Input!$E$89</f>
        <v>12495</v>
      </c>
      <c r="H5" s="27">
        <f>+H4*Input!$E$89</f>
        <v>12495</v>
      </c>
      <c r="I5" s="12"/>
    </row>
    <row r="6" spans="2:9" ht="15">
      <c r="B6" s="13"/>
      <c r="C6" s="14" t="s">
        <v>72</v>
      </c>
      <c r="D6" s="27">
        <f>+D4*Input!$E$90</f>
        <v>1680</v>
      </c>
      <c r="E6" s="27">
        <f>+E4*Input!$E$90</f>
        <v>1680</v>
      </c>
      <c r="F6" s="27">
        <f>+F4*Input!$E$90</f>
        <v>1680</v>
      </c>
      <c r="G6" s="27">
        <f>+G4*Input!$E$90</f>
        <v>1680</v>
      </c>
      <c r="H6" s="27">
        <f>+H4*Input!$E$90</f>
        <v>1680</v>
      </c>
      <c r="I6" s="12"/>
    </row>
    <row r="7" spans="2:9" ht="15">
      <c r="B7" s="13"/>
      <c r="C7" s="14" t="s">
        <v>73</v>
      </c>
      <c r="D7" s="27">
        <f>+D4*Input!$E$91</f>
        <v>3108</v>
      </c>
      <c r="E7" s="27">
        <f>+E4*Input!$E$91</f>
        <v>3108</v>
      </c>
      <c r="F7" s="27">
        <f>+F4*Input!$E$91</f>
        <v>3108</v>
      </c>
      <c r="G7" s="27">
        <f>+G4*Input!$E$91</f>
        <v>3108</v>
      </c>
      <c r="H7" s="27">
        <f>+H4*Input!$E$91</f>
        <v>3108</v>
      </c>
      <c r="I7" s="12"/>
    </row>
    <row r="8" spans="2:9" ht="15">
      <c r="B8" s="13"/>
      <c r="C8" s="9" t="s">
        <v>76</v>
      </c>
      <c r="D8" s="42">
        <f>SUM(D4:D7)</f>
        <v>59283</v>
      </c>
      <c r="E8" s="42">
        <f>SUM(E4:E7)</f>
        <v>59283</v>
      </c>
      <c r="F8" s="42">
        <f>SUM(F4:F7)</f>
        <v>59283</v>
      </c>
      <c r="G8" s="42">
        <f>SUM(G4:G7)</f>
        <v>59283</v>
      </c>
      <c r="H8" s="42">
        <f>SUM(H4:H7)</f>
        <v>59283</v>
      </c>
      <c r="I8" s="12"/>
    </row>
    <row r="9" spans="2:9" ht="15.75" thickBot="1">
      <c r="B9" s="15"/>
      <c r="C9" s="43"/>
      <c r="D9" s="45"/>
      <c r="E9" s="45"/>
      <c r="F9" s="45"/>
      <c r="G9" s="45"/>
      <c r="H9" s="45"/>
      <c r="I9" s="17"/>
    </row>
    <row r="11" ht="15.75" thickBot="1"/>
    <row r="12" spans="2:9" ht="15">
      <c r="B12" s="5"/>
      <c r="C12" s="6"/>
      <c r="D12" s="6"/>
      <c r="E12" s="6"/>
      <c r="F12" s="6"/>
      <c r="G12" s="6"/>
      <c r="H12" s="6"/>
      <c r="I12" s="7"/>
    </row>
    <row r="13" spans="2:9" ht="15">
      <c r="B13" s="13"/>
      <c r="C13" s="9" t="s">
        <v>39</v>
      </c>
      <c r="D13" s="10">
        <f aca="true" t="shared" si="0" ref="D13:H15">+D3</f>
        <v>2017</v>
      </c>
      <c r="E13" s="10">
        <f t="shared" si="0"/>
        <v>2018</v>
      </c>
      <c r="F13" s="10">
        <f t="shared" si="0"/>
        <v>2019</v>
      </c>
      <c r="G13" s="10">
        <f t="shared" si="0"/>
        <v>2020</v>
      </c>
      <c r="H13" s="10">
        <f t="shared" si="0"/>
        <v>2021</v>
      </c>
      <c r="I13" s="12"/>
    </row>
    <row r="14" spans="2:9" ht="15">
      <c r="B14" s="13"/>
      <c r="C14" s="14" t="str">
        <f>+C4</f>
        <v>Retribuzione</v>
      </c>
      <c r="D14" s="37">
        <f t="shared" si="0"/>
        <v>42000</v>
      </c>
      <c r="E14" s="37">
        <f t="shared" si="0"/>
        <v>42000</v>
      </c>
      <c r="F14" s="37">
        <f t="shared" si="0"/>
        <v>42000</v>
      </c>
      <c r="G14" s="37">
        <f t="shared" si="0"/>
        <v>42000</v>
      </c>
      <c r="H14" s="37">
        <f t="shared" si="0"/>
        <v>42000</v>
      </c>
      <c r="I14" s="12"/>
    </row>
    <row r="15" spans="2:9" ht="15">
      <c r="B15" s="13"/>
      <c r="C15" s="14" t="str">
        <f>+C5</f>
        <v>INPS</v>
      </c>
      <c r="D15" s="37">
        <f t="shared" si="0"/>
        <v>12495</v>
      </c>
      <c r="E15" s="37">
        <f t="shared" si="0"/>
        <v>12495</v>
      </c>
      <c r="F15" s="37">
        <f t="shared" si="0"/>
        <v>12495</v>
      </c>
      <c r="G15" s="37">
        <f t="shared" si="0"/>
        <v>12495</v>
      </c>
      <c r="H15" s="37">
        <f t="shared" si="0"/>
        <v>12495</v>
      </c>
      <c r="I15" s="12"/>
    </row>
    <row r="16" spans="2:9" ht="15.75" thickBot="1">
      <c r="B16" s="13"/>
      <c r="C16" s="14" t="str">
        <f>+C6</f>
        <v>INAIL</v>
      </c>
      <c r="D16" s="37">
        <f>+D6</f>
        <v>1680</v>
      </c>
      <c r="E16" s="37">
        <f>+E6</f>
        <v>1680</v>
      </c>
      <c r="F16" s="37">
        <f>+F6</f>
        <v>1680</v>
      </c>
      <c r="G16" s="37">
        <f>+G6</f>
        <v>1680</v>
      </c>
      <c r="H16" s="37">
        <f>+H6</f>
        <v>1680</v>
      </c>
      <c r="I16" s="12"/>
    </row>
    <row r="17" spans="2:9" ht="16.5" thickBot="1" thickTop="1">
      <c r="B17" s="13"/>
      <c r="C17" s="14" t="s">
        <v>432</v>
      </c>
      <c r="D17" s="172"/>
      <c r="E17" s="173"/>
      <c r="F17" s="173"/>
      <c r="G17" s="173"/>
      <c r="H17" s="174"/>
      <c r="I17" s="12"/>
    </row>
    <row r="18" spans="2:9" ht="15.75" thickTop="1">
      <c r="B18" s="13"/>
      <c r="C18" s="9" t="s">
        <v>63</v>
      </c>
      <c r="D18" s="42">
        <f>SUM(D14:D17)</f>
        <v>56175</v>
      </c>
      <c r="E18" s="42">
        <f>SUM(E14:E17)</f>
        <v>56175</v>
      </c>
      <c r="F18" s="42">
        <f>SUM(F14:F17)</f>
        <v>56175</v>
      </c>
      <c r="G18" s="42">
        <f>SUM(G14:G17)</f>
        <v>56175</v>
      </c>
      <c r="H18" s="42">
        <f>SUM(H14:H17)</f>
        <v>56175</v>
      </c>
      <c r="I18" s="12"/>
    </row>
    <row r="19" spans="2:9" ht="15.75" thickBot="1">
      <c r="B19" s="15"/>
      <c r="C19" s="16"/>
      <c r="D19" s="16"/>
      <c r="E19" s="16"/>
      <c r="F19" s="16"/>
      <c r="G19" s="16"/>
      <c r="H19" s="16"/>
      <c r="I19" s="17"/>
    </row>
    <row r="22" spans="3:8" ht="15">
      <c r="C22" t="s">
        <v>313</v>
      </c>
      <c r="D22" s="20">
        <f>+D7-D17</f>
        <v>3108</v>
      </c>
      <c r="E22" s="20">
        <f>+E7-E17+D22</f>
        <v>6216</v>
      </c>
      <c r="F22" s="20">
        <f>+F7-F17+E22</f>
        <v>9324</v>
      </c>
      <c r="G22" s="20">
        <f>+G7-G17+F22</f>
        <v>12432</v>
      </c>
      <c r="H22" s="20">
        <f>+H7-H17+G22</f>
        <v>15540</v>
      </c>
    </row>
    <row r="23" spans="3:8" ht="15">
      <c r="C23" t="s">
        <v>39</v>
      </c>
      <c r="D23" s="20">
        <f>+D18</f>
        <v>56175</v>
      </c>
      <c r="E23" s="20">
        <f>+E18</f>
        <v>56175</v>
      </c>
      <c r="F23" s="20">
        <f>+F18</f>
        <v>56175</v>
      </c>
      <c r="G23" s="20">
        <f>+G18</f>
        <v>56175</v>
      </c>
      <c r="H23" s="20">
        <f>+H18</f>
        <v>56175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46"/>
      <c r="B1" s="47" t="s">
        <v>83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>
        <v>1</v>
      </c>
      <c r="GN1" s="67">
        <v>2</v>
      </c>
      <c r="GO1" s="67">
        <v>3</v>
      </c>
      <c r="GP1" s="67">
        <v>4</v>
      </c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</row>
    <row r="2" spans="1:212" ht="15">
      <c r="A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FY2" s="68" t="s">
        <v>93</v>
      </c>
      <c r="FZ2" s="67">
        <v>1</v>
      </c>
      <c r="GA2" s="67"/>
      <c r="GB2" s="67"/>
      <c r="GC2" s="67" t="s">
        <v>137</v>
      </c>
      <c r="GD2" s="67">
        <f>VLOOKUP(C4,$FY$2:$FZ$38,2,FALSE)</f>
        <v>1</v>
      </c>
      <c r="GE2" s="67" t="s">
        <v>138</v>
      </c>
      <c r="GF2" s="67"/>
      <c r="GG2" s="67"/>
      <c r="GH2" s="67"/>
      <c r="GI2" s="67"/>
      <c r="GJ2" s="67">
        <v>1</v>
      </c>
      <c r="GK2" s="67">
        <f>+IF($C$8=$GM$1,GM2,IF($C$8=$GN$1,GN2,IF($C$8=$GO$1,GO2,IF($C$8=$GP$1,GP2,0))))</f>
        <v>1</v>
      </c>
      <c r="GL2" s="67"/>
      <c r="GM2" s="67">
        <v>1</v>
      </c>
      <c r="GN2" s="67">
        <v>1</v>
      </c>
      <c r="GO2" s="67">
        <v>1</v>
      </c>
      <c r="GP2" s="67">
        <v>1</v>
      </c>
      <c r="GQ2" s="67"/>
      <c r="GR2" s="67"/>
      <c r="GS2" s="67"/>
      <c r="GT2" s="67">
        <v>1</v>
      </c>
      <c r="GU2" s="67"/>
      <c r="GV2" s="67">
        <v>1</v>
      </c>
      <c r="GW2" s="67"/>
      <c r="GX2" s="67"/>
      <c r="GY2" s="67"/>
      <c r="GZ2" s="67"/>
      <c r="HA2" s="67"/>
      <c r="HB2" s="67"/>
      <c r="HC2" s="67"/>
      <c r="HD2" s="67"/>
    </row>
    <row r="3" spans="1:212" ht="15.75">
      <c r="A3" s="46"/>
      <c r="B3" s="47" t="s">
        <v>84</v>
      </c>
      <c r="C3" s="4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FY3" s="68" t="s">
        <v>94</v>
      </c>
      <c r="FZ3" s="67">
        <f>1+FZ2</f>
        <v>2</v>
      </c>
      <c r="GA3" s="67"/>
      <c r="GB3" s="67"/>
      <c r="GC3" s="67"/>
      <c r="GD3" s="67">
        <f>VLOOKUP(C6,$FY$2:$FZ$38,2,FALSE)</f>
        <v>1</v>
      </c>
      <c r="GE3" s="67" t="s">
        <v>139</v>
      </c>
      <c r="GF3" s="67"/>
      <c r="GG3" s="67"/>
      <c r="GH3" s="67"/>
      <c r="GI3" s="67"/>
      <c r="GJ3" s="67">
        <f>+GJ2+1</f>
        <v>2</v>
      </c>
      <c r="GK3" s="67">
        <f>+IF($C$8=$GM$1,GM3,IF($C$8=$GN$1,GN3,IF($C$8=$GO$1,GO3,IF($C$8=$GP$1,GP3,0))))</f>
        <v>0</v>
      </c>
      <c r="GL3" s="67"/>
      <c r="GM3" s="67"/>
      <c r="GN3" s="67"/>
      <c r="GO3" s="67"/>
      <c r="GP3" s="67"/>
      <c r="GQ3" s="67"/>
      <c r="GR3" s="67"/>
      <c r="GS3" s="67"/>
      <c r="GT3" s="67">
        <v>2</v>
      </c>
      <c r="GU3" s="67"/>
      <c r="GV3" s="67">
        <v>2</v>
      </c>
      <c r="GW3" s="67"/>
      <c r="GX3" s="67"/>
      <c r="GY3" s="67"/>
      <c r="GZ3" s="67"/>
      <c r="HA3" s="67"/>
      <c r="HB3" s="67"/>
      <c r="HC3" s="67"/>
      <c r="HD3" s="67"/>
    </row>
    <row r="4" spans="2:212" ht="15">
      <c r="B4" s="49" t="s">
        <v>79</v>
      </c>
      <c r="C4" s="50" t="str">
        <f>+Input!E97</f>
        <v>A1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FY4" s="68" t="s">
        <v>95</v>
      </c>
      <c r="FZ4" s="67">
        <f aca="true" t="shared" si="0" ref="FZ4:FZ67">1+FZ3</f>
        <v>3</v>
      </c>
      <c r="GA4" s="67"/>
      <c r="GB4" s="67"/>
      <c r="GC4" s="67"/>
      <c r="GD4" s="67"/>
      <c r="GE4" s="67"/>
      <c r="GF4" s="67"/>
      <c r="GG4" s="67"/>
      <c r="GH4" s="67"/>
      <c r="GI4" s="67"/>
      <c r="GJ4" s="67">
        <f aca="true" t="shared" si="1" ref="GJ4:GJ67">+GJ3+1</f>
        <v>3</v>
      </c>
      <c r="GK4" s="67">
        <f aca="true" t="shared" si="2" ref="GK4:GK68">+IF($C$8=$GM$1,GM4,IF($C$8=$GN$1,GN4,IF($C$8=$GO$1,GO4,IF($C$8=$GP$1,GP4,0))))</f>
        <v>0</v>
      </c>
      <c r="GL4" s="67"/>
      <c r="GM4" s="67"/>
      <c r="GN4" s="67"/>
      <c r="GO4" s="67"/>
      <c r="GP4" s="67"/>
      <c r="GQ4" s="67"/>
      <c r="GR4" s="67"/>
      <c r="GS4" s="67"/>
      <c r="GT4" s="67">
        <v>3</v>
      </c>
      <c r="GU4" s="67"/>
      <c r="GV4" s="67">
        <v>3</v>
      </c>
      <c r="GW4" s="67"/>
      <c r="GX4" s="67"/>
      <c r="GY4" s="67"/>
      <c r="GZ4" s="67"/>
      <c r="HA4" s="67"/>
      <c r="HB4" s="67"/>
      <c r="HC4" s="67"/>
      <c r="HD4" s="67"/>
    </row>
    <row r="5" spans="1:212" ht="15">
      <c r="A5" s="46" t="s">
        <v>85</v>
      </c>
      <c r="B5" s="49" t="s">
        <v>80</v>
      </c>
      <c r="C5" s="51">
        <f>+Input!E98</f>
        <v>0.07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FY5" s="68" t="s">
        <v>96</v>
      </c>
      <c r="FZ5" s="67">
        <f t="shared" si="0"/>
        <v>4</v>
      </c>
      <c r="GA5" s="67"/>
      <c r="GB5" s="67"/>
      <c r="GC5" s="67"/>
      <c r="GD5" s="67"/>
      <c r="GE5" s="67"/>
      <c r="GF5" s="67"/>
      <c r="GG5" s="67"/>
      <c r="GH5" s="67"/>
      <c r="GI5" s="67"/>
      <c r="GJ5" s="67">
        <f t="shared" si="1"/>
        <v>4</v>
      </c>
      <c r="GK5" s="67">
        <f t="shared" si="2"/>
        <v>0</v>
      </c>
      <c r="GL5" s="67"/>
      <c r="GM5" s="67"/>
      <c r="GN5" s="67"/>
      <c r="GO5" s="67"/>
      <c r="GP5" s="67">
        <v>1</v>
      </c>
      <c r="GQ5" s="67"/>
      <c r="GR5" s="67"/>
      <c r="GS5" s="67"/>
      <c r="GT5" s="67">
        <v>4</v>
      </c>
      <c r="GU5" s="67"/>
      <c r="GV5" s="67">
        <v>4</v>
      </c>
      <c r="GW5" s="67"/>
      <c r="GX5" s="67"/>
      <c r="GY5" s="67"/>
      <c r="GZ5" s="67"/>
      <c r="HA5" s="67"/>
      <c r="HB5" s="67"/>
      <c r="HC5" s="67"/>
      <c r="HD5" s="67"/>
    </row>
    <row r="6" spans="1:212" ht="15">
      <c r="A6" s="46"/>
      <c r="B6" s="49" t="s">
        <v>86</v>
      </c>
      <c r="C6" s="52" t="str">
        <f>+C4</f>
        <v>A1</v>
      </c>
      <c r="D6" s="46">
        <f>+IF(GD3&lt;GD2,"non puoi inserire una data antecedente a quella di stipule del finanziamento","")</f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FY6" s="68" t="s">
        <v>97</v>
      </c>
      <c r="FZ6" s="67">
        <f t="shared" si="0"/>
        <v>5</v>
      </c>
      <c r="GA6" s="67"/>
      <c r="GB6" s="67"/>
      <c r="GC6" s="67"/>
      <c r="GD6" s="67"/>
      <c r="GE6" s="67"/>
      <c r="GF6" s="67"/>
      <c r="GG6" s="67"/>
      <c r="GH6" s="67"/>
      <c r="GI6" s="67"/>
      <c r="GJ6" s="67">
        <f t="shared" si="1"/>
        <v>5</v>
      </c>
      <c r="GK6" s="67">
        <f t="shared" si="2"/>
        <v>0</v>
      </c>
      <c r="GL6" s="67"/>
      <c r="GM6" s="67"/>
      <c r="GN6" s="67"/>
      <c r="GO6" s="67">
        <v>1</v>
      </c>
      <c r="GP6" s="67"/>
      <c r="GQ6" s="67"/>
      <c r="GR6" s="67"/>
      <c r="GS6" s="67"/>
      <c r="GT6" s="67"/>
      <c r="GU6" s="67"/>
      <c r="GV6" s="67">
        <v>5</v>
      </c>
      <c r="GW6" s="67"/>
      <c r="GX6" s="67"/>
      <c r="GY6" s="67"/>
      <c r="GZ6" s="67"/>
      <c r="HA6" s="67"/>
      <c r="HB6" s="67"/>
      <c r="HC6" s="67"/>
      <c r="HD6" s="67"/>
    </row>
    <row r="7" spans="1:212" ht="15">
      <c r="A7" s="46"/>
      <c r="B7" s="53" t="s">
        <v>81</v>
      </c>
      <c r="C7" s="54">
        <f>+Input!E100</f>
        <v>200000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FY7" s="68" t="s">
        <v>98</v>
      </c>
      <c r="FZ7" s="67">
        <f t="shared" si="0"/>
        <v>6</v>
      </c>
      <c r="GA7" s="67"/>
      <c r="GB7" s="67"/>
      <c r="GC7" s="67"/>
      <c r="GD7" s="67"/>
      <c r="GE7" s="67"/>
      <c r="GF7" s="67"/>
      <c r="GG7" s="67"/>
      <c r="GH7" s="67"/>
      <c r="GI7" s="67"/>
      <c r="GJ7" s="67">
        <f t="shared" si="1"/>
        <v>6</v>
      </c>
      <c r="GK7" s="67">
        <f t="shared" si="2"/>
        <v>0</v>
      </c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>
        <v>6</v>
      </c>
      <c r="GW7" s="67"/>
      <c r="GX7" s="67"/>
      <c r="GY7" s="67"/>
      <c r="GZ7" s="67"/>
      <c r="HA7" s="67"/>
      <c r="HB7" s="67"/>
      <c r="HC7" s="67"/>
      <c r="HD7" s="67"/>
    </row>
    <row r="8" spans="1:212" ht="15">
      <c r="A8" s="46"/>
      <c r="B8" s="53" t="s">
        <v>87</v>
      </c>
      <c r="C8" s="55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FY8" s="68" t="s">
        <v>99</v>
      </c>
      <c r="FZ8" s="67">
        <f t="shared" si="0"/>
        <v>7</v>
      </c>
      <c r="GA8" s="67"/>
      <c r="GB8" s="67"/>
      <c r="GC8" s="67"/>
      <c r="GD8" s="67"/>
      <c r="GE8" s="67"/>
      <c r="GF8" s="67"/>
      <c r="GG8" s="67"/>
      <c r="GH8" s="67"/>
      <c r="GI8" s="67"/>
      <c r="GJ8" s="67">
        <f t="shared" si="1"/>
        <v>7</v>
      </c>
      <c r="GK8" s="67">
        <f t="shared" si="2"/>
        <v>0</v>
      </c>
      <c r="GL8" s="67"/>
      <c r="GM8" s="67"/>
      <c r="GN8" s="67">
        <v>1</v>
      </c>
      <c r="GO8" s="67"/>
      <c r="GP8" s="67">
        <v>1</v>
      </c>
      <c r="GQ8" s="67"/>
      <c r="GR8" s="67"/>
      <c r="GS8" s="67"/>
      <c r="GT8" s="67"/>
      <c r="GU8" s="67"/>
      <c r="GV8" s="67">
        <v>7</v>
      </c>
      <c r="GW8" s="67"/>
      <c r="GX8" s="67"/>
      <c r="GY8" s="67"/>
      <c r="GZ8" s="67"/>
      <c r="HA8" s="67"/>
      <c r="HB8" s="67"/>
      <c r="HC8" s="67"/>
      <c r="HD8" s="67"/>
    </row>
    <row r="9" spans="1:212" ht="15">
      <c r="A9" s="46"/>
      <c r="B9" s="53" t="s">
        <v>82</v>
      </c>
      <c r="C9" s="55">
        <v>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FY9" s="68" t="s">
        <v>100</v>
      </c>
      <c r="FZ9" s="67">
        <f t="shared" si="0"/>
        <v>8</v>
      </c>
      <c r="GA9" s="67"/>
      <c r="GB9" s="67"/>
      <c r="GC9" s="67"/>
      <c r="GD9" s="67"/>
      <c r="GE9" s="67"/>
      <c r="GF9" s="67"/>
      <c r="GG9" s="67"/>
      <c r="GH9" s="67"/>
      <c r="GI9" s="67"/>
      <c r="GJ9" s="67">
        <f t="shared" si="1"/>
        <v>8</v>
      </c>
      <c r="GK9" s="67">
        <f t="shared" si="2"/>
        <v>0</v>
      </c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>
        <v>8</v>
      </c>
      <c r="GW9" s="67"/>
      <c r="GX9" s="67"/>
      <c r="GY9" s="67"/>
      <c r="GZ9" s="67"/>
      <c r="HA9" s="67"/>
      <c r="HB9" s="67"/>
      <c r="HC9" s="67"/>
      <c r="HD9" s="67"/>
    </row>
    <row r="10" spans="1:212" ht="15">
      <c r="A10" s="46"/>
      <c r="B10" s="56" t="s">
        <v>88</v>
      </c>
      <c r="C10" s="57">
        <f>+Input!E101</f>
        <v>10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FY10" s="68" t="s">
        <v>101</v>
      </c>
      <c r="FZ10" s="67">
        <f t="shared" si="0"/>
        <v>9</v>
      </c>
      <c r="GA10" s="67"/>
      <c r="GB10" s="67"/>
      <c r="GC10" s="67"/>
      <c r="GD10" s="67"/>
      <c r="GE10" s="67"/>
      <c r="GF10" s="67"/>
      <c r="GG10" s="67"/>
      <c r="GH10" s="67"/>
      <c r="GI10" s="67"/>
      <c r="GJ10" s="67">
        <f t="shared" si="1"/>
        <v>9</v>
      </c>
      <c r="GK10" s="67">
        <f t="shared" si="2"/>
        <v>0</v>
      </c>
      <c r="GL10" s="67"/>
      <c r="GM10" s="67"/>
      <c r="GN10" s="67"/>
      <c r="GO10" s="67">
        <v>1</v>
      </c>
      <c r="GP10" s="67"/>
      <c r="GQ10" s="67"/>
      <c r="GR10" s="67"/>
      <c r="GS10" s="67"/>
      <c r="GT10" s="67"/>
      <c r="GU10" s="67"/>
      <c r="GV10" s="67">
        <v>9</v>
      </c>
      <c r="GW10" s="67"/>
      <c r="GX10" s="67"/>
      <c r="GY10" s="67"/>
      <c r="GZ10" s="67"/>
      <c r="HA10" s="67"/>
      <c r="HB10" s="67"/>
      <c r="HC10" s="67"/>
      <c r="HD10" s="67"/>
    </row>
    <row r="11" spans="1:212" ht="15">
      <c r="A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FY11" s="68" t="s">
        <v>102</v>
      </c>
      <c r="FZ11" s="67">
        <f t="shared" si="0"/>
        <v>10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>
        <f t="shared" si="1"/>
        <v>10</v>
      </c>
      <c r="GK11" s="67">
        <f t="shared" si="2"/>
        <v>0</v>
      </c>
      <c r="GL11" s="67"/>
      <c r="GM11" s="67"/>
      <c r="GN11" s="67"/>
      <c r="GO11" s="67"/>
      <c r="GP11" s="67">
        <v>1</v>
      </c>
      <c r="GQ11" s="67"/>
      <c r="GR11" s="67"/>
      <c r="GS11" s="67"/>
      <c r="GT11" s="67"/>
      <c r="GU11" s="67"/>
      <c r="GV11" s="67">
        <v>10</v>
      </c>
      <c r="GW11" s="67"/>
      <c r="GX11" s="67"/>
      <c r="GY11" s="67"/>
      <c r="GZ11" s="67"/>
      <c r="HA11" s="67"/>
      <c r="HB11" s="67"/>
      <c r="HC11" s="67"/>
      <c r="HD11" s="67"/>
    </row>
    <row r="12" spans="1:212" ht="15">
      <c r="A12" s="46"/>
      <c r="B12" s="58" t="s">
        <v>89</v>
      </c>
      <c r="C12" s="59" t="str">
        <f>IF(C8=1,"annuale",IF(C8=2,"semestrale",IF(C8=3,"quadrimestrale",IF(C8=4,"trimestrale"))))</f>
        <v>annuale</v>
      </c>
      <c r="D12" s="60">
        <f>((1+C5)^(1/C8))-1</f>
        <v>0.07000000000000006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FY12" s="68" t="s">
        <v>103</v>
      </c>
      <c r="FZ12" s="67">
        <f t="shared" si="0"/>
        <v>11</v>
      </c>
      <c r="GA12" s="67"/>
      <c r="GB12" s="67"/>
      <c r="GC12" s="67"/>
      <c r="GD12" s="67"/>
      <c r="GE12" s="67"/>
      <c r="GF12" s="67"/>
      <c r="GG12" s="67"/>
      <c r="GH12" s="67"/>
      <c r="GI12" s="67"/>
      <c r="GJ12" s="67">
        <f t="shared" si="1"/>
        <v>11</v>
      </c>
      <c r="GK12" s="67">
        <f t="shared" si="2"/>
        <v>0</v>
      </c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</row>
    <row r="13" spans="1:212" ht="15">
      <c r="A13" s="46"/>
      <c r="C13" s="46"/>
      <c r="D13" s="46"/>
      <c r="E13" s="46"/>
      <c r="F13" s="46"/>
      <c r="G13" s="46"/>
      <c r="H13" s="46"/>
      <c r="I13" s="46"/>
      <c r="J13" s="46"/>
      <c r="K13" s="46"/>
      <c r="L13" s="46">
        <v>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FY13" s="68" t="s">
        <v>104</v>
      </c>
      <c r="FZ13" s="67">
        <f t="shared" si="0"/>
        <v>12</v>
      </c>
      <c r="GA13" s="67"/>
      <c r="GB13" s="67"/>
      <c r="GC13" s="67"/>
      <c r="GD13" s="67"/>
      <c r="GE13" s="67"/>
      <c r="GF13" s="67"/>
      <c r="GG13" s="67"/>
      <c r="GH13" s="67"/>
      <c r="GI13" s="67"/>
      <c r="GJ13" s="67">
        <f t="shared" si="1"/>
        <v>12</v>
      </c>
      <c r="GK13" s="67">
        <f t="shared" si="2"/>
        <v>0</v>
      </c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</row>
    <row r="14" spans="1:212" ht="15">
      <c r="A14" s="46"/>
      <c r="B14" s="58" t="s">
        <v>90</v>
      </c>
      <c r="C14" s="59" t="str">
        <f>C12</f>
        <v>annuale</v>
      </c>
      <c r="D14" s="61">
        <f>C7/((1-(1+D12)^(-C10))/D12)</f>
        <v>28475.500545472965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FY14" s="68" t="s">
        <v>105</v>
      </c>
      <c r="FZ14" s="67">
        <f t="shared" si="0"/>
        <v>13</v>
      </c>
      <c r="GA14" s="67"/>
      <c r="GB14" s="67"/>
      <c r="GC14" s="67"/>
      <c r="GD14" s="67"/>
      <c r="GE14" s="67"/>
      <c r="GF14" s="67"/>
      <c r="GG14" s="67"/>
      <c r="GH14" s="67"/>
      <c r="GI14" s="67"/>
      <c r="GJ14" s="67">
        <f t="shared" si="1"/>
        <v>13</v>
      </c>
      <c r="GK14" s="67">
        <f t="shared" si="2"/>
        <v>1</v>
      </c>
      <c r="GL14" s="67"/>
      <c r="GM14" s="67">
        <v>1</v>
      </c>
      <c r="GN14" s="67">
        <v>1</v>
      </c>
      <c r="GO14" s="67">
        <v>1</v>
      </c>
      <c r="GP14" s="67">
        <v>1</v>
      </c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</row>
    <row r="15" spans="1:212" s="69" customFormat="1" ht="15">
      <c r="A15" s="62"/>
      <c r="B15" s="62"/>
      <c r="C15" s="62"/>
      <c r="D15" s="62">
        <f>+_xlfn.IFERROR((VLOOKUP(D16,$GJ:$GK,2,FALSE)),0)</f>
        <v>0</v>
      </c>
      <c r="E15" s="72">
        <v>1</v>
      </c>
      <c r="F15" s="72">
        <v>1</v>
      </c>
      <c r="G15" s="72">
        <v>1</v>
      </c>
      <c r="H15" s="72">
        <v>1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2">
        <v>1</v>
      </c>
      <c r="S15" s="72">
        <v>1</v>
      </c>
      <c r="T15" s="72">
        <v>1</v>
      </c>
      <c r="U15" s="72">
        <v>1</v>
      </c>
      <c r="V15" s="72">
        <v>1</v>
      </c>
      <c r="W15" s="72">
        <v>1</v>
      </c>
      <c r="X15" s="72">
        <v>1</v>
      </c>
      <c r="Y15" s="72">
        <v>1</v>
      </c>
      <c r="Z15" s="72">
        <v>1</v>
      </c>
      <c r="AA15" s="72">
        <v>1</v>
      </c>
      <c r="AB15" s="72">
        <v>1</v>
      </c>
      <c r="AC15" s="72">
        <v>1</v>
      </c>
      <c r="AD15" s="72">
        <v>1</v>
      </c>
      <c r="AE15" s="72">
        <v>1</v>
      </c>
      <c r="AF15" s="72">
        <v>1</v>
      </c>
      <c r="AG15" s="72">
        <v>1</v>
      </c>
      <c r="AH15" s="72">
        <v>1</v>
      </c>
      <c r="AI15" s="72">
        <v>1</v>
      </c>
      <c r="AJ15" s="72">
        <v>1</v>
      </c>
      <c r="AK15" s="72">
        <v>1</v>
      </c>
      <c r="AL15" s="72">
        <v>1</v>
      </c>
      <c r="AM15" s="72">
        <v>1</v>
      </c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FY15" s="68" t="s">
        <v>106</v>
      </c>
      <c r="FZ15" s="70">
        <f t="shared" si="0"/>
        <v>14</v>
      </c>
      <c r="GA15" s="70"/>
      <c r="GB15" s="70"/>
      <c r="GC15" s="70"/>
      <c r="GD15" s="70"/>
      <c r="GE15" s="70"/>
      <c r="GF15" s="70"/>
      <c r="GG15" s="70"/>
      <c r="GH15" s="70"/>
      <c r="GI15" s="70"/>
      <c r="GJ15" s="70">
        <f t="shared" si="1"/>
        <v>14</v>
      </c>
      <c r="GK15" s="70">
        <f t="shared" si="2"/>
        <v>0</v>
      </c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</row>
    <row r="16" spans="1:212" s="69" customFormat="1" ht="15">
      <c r="A16" s="62"/>
      <c r="B16" s="62"/>
      <c r="C16" s="62" t="s">
        <v>91</v>
      </c>
      <c r="D16" s="62">
        <f>+IF(D17=$C$6,1,0)</f>
        <v>0</v>
      </c>
      <c r="E16" s="72">
        <f aca="true" t="shared" si="3" ref="E16:AM16">+IF(E17=$C$6,1,+IF(D16=0,0,D16+1))</f>
        <v>1</v>
      </c>
      <c r="F16" s="72">
        <f t="shared" si="3"/>
        <v>2</v>
      </c>
      <c r="G16" s="72">
        <f t="shared" si="3"/>
        <v>3</v>
      </c>
      <c r="H16" s="72">
        <f t="shared" si="3"/>
        <v>4</v>
      </c>
      <c r="I16" s="72">
        <f t="shared" si="3"/>
        <v>5</v>
      </c>
      <c r="J16" s="72">
        <f t="shared" si="3"/>
        <v>6</v>
      </c>
      <c r="K16" s="72">
        <f t="shared" si="3"/>
        <v>7</v>
      </c>
      <c r="L16" s="72">
        <f t="shared" si="3"/>
        <v>8</v>
      </c>
      <c r="M16" s="72">
        <f t="shared" si="3"/>
        <v>9</v>
      </c>
      <c r="N16" s="72">
        <f t="shared" si="3"/>
        <v>10</v>
      </c>
      <c r="O16" s="72">
        <f t="shared" si="3"/>
        <v>11</v>
      </c>
      <c r="P16" s="72">
        <f t="shared" si="3"/>
        <v>12</v>
      </c>
      <c r="Q16" s="72">
        <f t="shared" si="3"/>
        <v>13</v>
      </c>
      <c r="R16" s="72">
        <f t="shared" si="3"/>
        <v>14</v>
      </c>
      <c r="S16" s="72">
        <f t="shared" si="3"/>
        <v>15</v>
      </c>
      <c r="T16" s="72">
        <f t="shared" si="3"/>
        <v>16</v>
      </c>
      <c r="U16" s="72">
        <f t="shared" si="3"/>
        <v>17</v>
      </c>
      <c r="V16" s="72">
        <f t="shared" si="3"/>
        <v>18</v>
      </c>
      <c r="W16" s="72">
        <f t="shared" si="3"/>
        <v>19</v>
      </c>
      <c r="X16" s="72">
        <f t="shared" si="3"/>
        <v>20</v>
      </c>
      <c r="Y16" s="72">
        <f t="shared" si="3"/>
        <v>21</v>
      </c>
      <c r="Z16" s="72">
        <f t="shared" si="3"/>
        <v>22</v>
      </c>
      <c r="AA16" s="72">
        <f t="shared" si="3"/>
        <v>23</v>
      </c>
      <c r="AB16" s="72">
        <f t="shared" si="3"/>
        <v>24</v>
      </c>
      <c r="AC16" s="72">
        <f t="shared" si="3"/>
        <v>25</v>
      </c>
      <c r="AD16" s="72">
        <f t="shared" si="3"/>
        <v>26</v>
      </c>
      <c r="AE16" s="72">
        <f t="shared" si="3"/>
        <v>27</v>
      </c>
      <c r="AF16" s="72">
        <f t="shared" si="3"/>
        <v>28</v>
      </c>
      <c r="AG16" s="72">
        <f t="shared" si="3"/>
        <v>29</v>
      </c>
      <c r="AH16" s="72">
        <f t="shared" si="3"/>
        <v>30</v>
      </c>
      <c r="AI16" s="72">
        <f t="shared" si="3"/>
        <v>31</v>
      </c>
      <c r="AJ16" s="72">
        <f t="shared" si="3"/>
        <v>32</v>
      </c>
      <c r="AK16" s="72">
        <f t="shared" si="3"/>
        <v>33</v>
      </c>
      <c r="AL16" s="72">
        <f t="shared" si="3"/>
        <v>34</v>
      </c>
      <c r="AM16" s="72">
        <f t="shared" si="3"/>
        <v>35</v>
      </c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FY16" s="68" t="s">
        <v>107</v>
      </c>
      <c r="FZ16" s="70">
        <f t="shared" si="0"/>
        <v>15</v>
      </c>
      <c r="GA16" s="70"/>
      <c r="GB16" s="70"/>
      <c r="GC16" s="70"/>
      <c r="GD16" s="70"/>
      <c r="GE16" s="70"/>
      <c r="GF16" s="70"/>
      <c r="GG16" s="70"/>
      <c r="GH16" s="70"/>
      <c r="GI16" s="70"/>
      <c r="GJ16" s="70">
        <f t="shared" si="1"/>
        <v>15</v>
      </c>
      <c r="GK16" s="70">
        <f t="shared" si="2"/>
        <v>0</v>
      </c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</row>
    <row r="17" spans="1:212" ht="15">
      <c r="A17" s="46"/>
      <c r="B17" s="63" t="s">
        <v>92</v>
      </c>
      <c r="C17" s="64"/>
      <c r="D17" s="64"/>
      <c r="E17" s="64" t="s">
        <v>93</v>
      </c>
      <c r="F17" s="64" t="s">
        <v>94</v>
      </c>
      <c r="G17" s="64" t="s">
        <v>95</v>
      </c>
      <c r="H17" s="64" t="s">
        <v>96</v>
      </c>
      <c r="I17" s="64" t="s">
        <v>97</v>
      </c>
      <c r="J17" s="64" t="s">
        <v>98</v>
      </c>
      <c r="K17" s="64" t="s">
        <v>99</v>
      </c>
      <c r="L17" s="64" t="s">
        <v>100</v>
      </c>
      <c r="M17" s="64" t="s">
        <v>101</v>
      </c>
      <c r="N17" s="64" t="s">
        <v>102</v>
      </c>
      <c r="O17" s="64" t="s">
        <v>103</v>
      </c>
      <c r="P17" s="64" t="s">
        <v>104</v>
      </c>
      <c r="Q17" s="64" t="s">
        <v>105</v>
      </c>
      <c r="R17" s="64" t="s">
        <v>106</v>
      </c>
      <c r="S17" s="64" t="s">
        <v>107</v>
      </c>
      <c r="T17" s="64" t="s">
        <v>108</v>
      </c>
      <c r="U17" s="64" t="s">
        <v>109</v>
      </c>
      <c r="V17" s="64" t="s">
        <v>110</v>
      </c>
      <c r="W17" s="64" t="s">
        <v>111</v>
      </c>
      <c r="X17" s="64" t="s">
        <v>112</v>
      </c>
      <c r="Y17" s="64" t="s">
        <v>113</v>
      </c>
      <c r="Z17" s="64" t="s">
        <v>114</v>
      </c>
      <c r="AA17" s="64" t="s">
        <v>115</v>
      </c>
      <c r="AB17" s="64" t="s">
        <v>116</v>
      </c>
      <c r="AC17" s="64" t="s">
        <v>117</v>
      </c>
      <c r="AD17" s="64" t="s">
        <v>118</v>
      </c>
      <c r="AE17" s="64" t="s">
        <v>119</v>
      </c>
      <c r="AF17" s="64" t="s">
        <v>120</v>
      </c>
      <c r="AG17" s="64" t="s">
        <v>121</v>
      </c>
      <c r="AH17" s="64" t="s">
        <v>122</v>
      </c>
      <c r="AI17" s="64" t="s">
        <v>123</v>
      </c>
      <c r="AJ17" s="64" t="s">
        <v>124</v>
      </c>
      <c r="AK17" s="64" t="s">
        <v>125</v>
      </c>
      <c r="AL17" s="64" t="s">
        <v>126</v>
      </c>
      <c r="AM17" s="64" t="s">
        <v>127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Y17" s="68" t="s">
        <v>108</v>
      </c>
      <c r="FZ17" s="67">
        <f t="shared" si="0"/>
        <v>16</v>
      </c>
      <c r="GA17" s="67"/>
      <c r="GB17" s="67"/>
      <c r="GC17" s="67"/>
      <c r="GD17" s="67"/>
      <c r="GE17" s="67"/>
      <c r="GF17" s="67"/>
      <c r="GG17" s="67"/>
      <c r="GH17" s="67"/>
      <c r="GI17" s="67"/>
      <c r="GJ17" s="67">
        <f t="shared" si="1"/>
        <v>16</v>
      </c>
      <c r="GK17" s="67">
        <f t="shared" si="2"/>
        <v>0</v>
      </c>
      <c r="GL17" s="67"/>
      <c r="GM17" s="67"/>
      <c r="GN17" s="67"/>
      <c r="GO17" s="67"/>
      <c r="GP17" s="67">
        <v>1</v>
      </c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</row>
    <row r="18" spans="1:212" ht="15">
      <c r="A18" s="46"/>
      <c r="B18" s="53" t="s">
        <v>128</v>
      </c>
      <c r="C18" s="61"/>
      <c r="D18" s="61">
        <f aca="true" t="shared" si="4" ref="D18:AM18">IF(D16&gt;=1,IF(D15=1,$D$14,0))*IF(C22&lt;1,0,1)</f>
        <v>0</v>
      </c>
      <c r="E18" s="61">
        <f t="shared" si="4"/>
        <v>28475.500545472965</v>
      </c>
      <c r="F18" s="61">
        <f t="shared" si="4"/>
        <v>28475.500545472965</v>
      </c>
      <c r="G18" s="61">
        <f t="shared" si="4"/>
        <v>28475.500545472965</v>
      </c>
      <c r="H18" s="61">
        <f t="shared" si="4"/>
        <v>28475.500545472965</v>
      </c>
      <c r="I18" s="61">
        <f t="shared" si="4"/>
        <v>28475.500545472965</v>
      </c>
      <c r="J18" s="61">
        <f t="shared" si="4"/>
        <v>28475.500545472965</v>
      </c>
      <c r="K18" s="61">
        <f t="shared" si="4"/>
        <v>28475.500545472965</v>
      </c>
      <c r="L18" s="61">
        <f t="shared" si="4"/>
        <v>28475.500545472965</v>
      </c>
      <c r="M18" s="61">
        <f t="shared" si="4"/>
        <v>28475.500545472965</v>
      </c>
      <c r="N18" s="61">
        <f t="shared" si="4"/>
        <v>28475.500545472965</v>
      </c>
      <c r="O18" s="61">
        <f t="shared" si="4"/>
        <v>0</v>
      </c>
      <c r="P18" s="61">
        <f t="shared" si="4"/>
        <v>0</v>
      </c>
      <c r="Q18" s="61">
        <f t="shared" si="4"/>
        <v>0</v>
      </c>
      <c r="R18" s="61">
        <f t="shared" si="4"/>
        <v>0</v>
      </c>
      <c r="S18" s="61">
        <f t="shared" si="4"/>
        <v>0</v>
      </c>
      <c r="T18" s="61">
        <f t="shared" si="4"/>
        <v>0</v>
      </c>
      <c r="U18" s="61">
        <f t="shared" si="4"/>
        <v>0</v>
      </c>
      <c r="V18" s="61">
        <f t="shared" si="4"/>
        <v>0</v>
      </c>
      <c r="W18" s="61">
        <f t="shared" si="4"/>
        <v>0</v>
      </c>
      <c r="X18" s="61">
        <f t="shared" si="4"/>
        <v>0</v>
      </c>
      <c r="Y18" s="61">
        <f t="shared" si="4"/>
        <v>0</v>
      </c>
      <c r="Z18" s="61">
        <f t="shared" si="4"/>
        <v>0</v>
      </c>
      <c r="AA18" s="61">
        <f t="shared" si="4"/>
        <v>0</v>
      </c>
      <c r="AB18" s="61">
        <f t="shared" si="4"/>
        <v>0</v>
      </c>
      <c r="AC18" s="61">
        <f t="shared" si="4"/>
        <v>0</v>
      </c>
      <c r="AD18" s="61">
        <f t="shared" si="4"/>
        <v>0</v>
      </c>
      <c r="AE18" s="61">
        <f t="shared" si="4"/>
        <v>0</v>
      </c>
      <c r="AF18" s="61">
        <f t="shared" si="4"/>
        <v>0</v>
      </c>
      <c r="AG18" s="61">
        <f t="shared" si="4"/>
        <v>0</v>
      </c>
      <c r="AH18" s="61">
        <f t="shared" si="4"/>
        <v>0</v>
      </c>
      <c r="AI18" s="61">
        <f t="shared" si="4"/>
        <v>0</v>
      </c>
      <c r="AJ18" s="61">
        <f t="shared" si="4"/>
        <v>0</v>
      </c>
      <c r="AK18" s="61">
        <f t="shared" si="4"/>
        <v>0</v>
      </c>
      <c r="AL18" s="61">
        <f t="shared" si="4"/>
        <v>0</v>
      </c>
      <c r="AM18" s="61">
        <f t="shared" si="4"/>
        <v>0</v>
      </c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Y18" s="68" t="s">
        <v>109</v>
      </c>
      <c r="FZ18" s="67">
        <f t="shared" si="0"/>
        <v>17</v>
      </c>
      <c r="GA18" s="67"/>
      <c r="GB18" s="67"/>
      <c r="GC18" s="67"/>
      <c r="GD18" s="67"/>
      <c r="GE18" s="67"/>
      <c r="GF18" s="67"/>
      <c r="GG18" s="67"/>
      <c r="GH18" s="67"/>
      <c r="GI18" s="67"/>
      <c r="GJ18" s="67">
        <f t="shared" si="1"/>
        <v>17</v>
      </c>
      <c r="GK18" s="67">
        <f t="shared" si="2"/>
        <v>0</v>
      </c>
      <c r="GL18" s="67"/>
      <c r="GM18" s="67"/>
      <c r="GN18" s="67"/>
      <c r="GO18" s="67">
        <v>1</v>
      </c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</row>
    <row r="19" spans="1:212" ht="15">
      <c r="A19" s="46"/>
      <c r="B19" s="53" t="s">
        <v>129</v>
      </c>
      <c r="C19" s="61"/>
      <c r="D19" s="61">
        <f aca="true" t="shared" si="5" ref="D19:I19">D18-D21</f>
        <v>0</v>
      </c>
      <c r="E19" s="61">
        <f t="shared" si="5"/>
        <v>14475.500545472953</v>
      </c>
      <c r="F19" s="61">
        <f t="shared" si="5"/>
        <v>15488.785583656061</v>
      </c>
      <c r="G19" s="61">
        <f t="shared" si="5"/>
        <v>16573.000574511985</v>
      </c>
      <c r="H19" s="61">
        <f t="shared" si="5"/>
        <v>17733.110614727826</v>
      </c>
      <c r="I19" s="61">
        <f t="shared" si="5"/>
        <v>18974.428357758778</v>
      </c>
      <c r="J19" s="61">
        <f>J18-J21</f>
        <v>20302.63834280189</v>
      </c>
      <c r="K19" s="61">
        <f aca="true" t="shared" si="6" ref="K19:AM19">K18-K21</f>
        <v>21723.823026798025</v>
      </c>
      <c r="L19" s="61">
        <f t="shared" si="6"/>
        <v>23244.490638673888</v>
      </c>
      <c r="M19" s="61">
        <f t="shared" si="6"/>
        <v>24871.60498338106</v>
      </c>
      <c r="N19" s="61">
        <f t="shared" si="6"/>
        <v>26612.617332217735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0</v>
      </c>
      <c r="U19" s="61">
        <f t="shared" si="6"/>
        <v>0</v>
      </c>
      <c r="V19" s="61">
        <f t="shared" si="6"/>
        <v>0</v>
      </c>
      <c r="W19" s="61">
        <f t="shared" si="6"/>
        <v>0</v>
      </c>
      <c r="X19" s="61">
        <f t="shared" si="6"/>
        <v>0</v>
      </c>
      <c r="Y19" s="61">
        <f t="shared" si="6"/>
        <v>0</v>
      </c>
      <c r="Z19" s="61">
        <f t="shared" si="6"/>
        <v>0</v>
      </c>
      <c r="AA19" s="61">
        <f t="shared" si="6"/>
        <v>0</v>
      </c>
      <c r="AB19" s="61">
        <f t="shared" si="6"/>
        <v>0</v>
      </c>
      <c r="AC19" s="61">
        <f t="shared" si="6"/>
        <v>0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0</v>
      </c>
      <c r="AH19" s="61">
        <f t="shared" si="6"/>
        <v>0</v>
      </c>
      <c r="AI19" s="61">
        <f t="shared" si="6"/>
        <v>0</v>
      </c>
      <c r="AJ19" s="61">
        <f t="shared" si="6"/>
        <v>0</v>
      </c>
      <c r="AK19" s="61">
        <f t="shared" si="6"/>
        <v>0</v>
      </c>
      <c r="AL19" s="61">
        <f t="shared" si="6"/>
        <v>0</v>
      </c>
      <c r="AM19" s="61">
        <f t="shared" si="6"/>
        <v>0</v>
      </c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Y19" s="68" t="s">
        <v>110</v>
      </c>
      <c r="FZ19" s="67">
        <f t="shared" si="0"/>
        <v>18</v>
      </c>
      <c r="GA19" s="67"/>
      <c r="GB19" s="67"/>
      <c r="GC19" s="67"/>
      <c r="GD19" s="67"/>
      <c r="GE19" s="67"/>
      <c r="GF19" s="67"/>
      <c r="GG19" s="67"/>
      <c r="GH19" s="67"/>
      <c r="GI19" s="67"/>
      <c r="GJ19" s="67">
        <f t="shared" si="1"/>
        <v>18</v>
      </c>
      <c r="GK19" s="67">
        <f t="shared" si="2"/>
        <v>0</v>
      </c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</row>
    <row r="20" spans="1:212" ht="15">
      <c r="A20" s="46"/>
      <c r="B20" s="53" t="s">
        <v>130</v>
      </c>
      <c r="C20" s="61"/>
      <c r="D20" s="61">
        <f aca="true" t="shared" si="7" ref="D20:AM20">D19+C20*(IF(C22&lt;1,0,1))</f>
        <v>0</v>
      </c>
      <c r="E20" s="61">
        <f t="shared" si="7"/>
        <v>14475.500545472953</v>
      </c>
      <c r="F20" s="61">
        <f t="shared" si="7"/>
        <v>29964.286129129014</v>
      </c>
      <c r="G20" s="61">
        <f t="shared" si="7"/>
        <v>46537.286703641</v>
      </c>
      <c r="H20" s="61">
        <f t="shared" si="7"/>
        <v>64270.39731836883</v>
      </c>
      <c r="I20" s="61">
        <f t="shared" si="7"/>
        <v>83244.8256761276</v>
      </c>
      <c r="J20" s="61">
        <f t="shared" si="7"/>
        <v>103547.46401892949</v>
      </c>
      <c r="K20" s="61">
        <f t="shared" si="7"/>
        <v>125271.28704572751</v>
      </c>
      <c r="L20" s="61">
        <f t="shared" si="7"/>
        <v>148515.7776844014</v>
      </c>
      <c r="M20" s="61">
        <f t="shared" si="7"/>
        <v>173387.38266778245</v>
      </c>
      <c r="N20" s="61">
        <f t="shared" si="7"/>
        <v>200000.00000000017</v>
      </c>
      <c r="O20" s="61">
        <f t="shared" si="7"/>
        <v>0</v>
      </c>
      <c r="P20" s="61">
        <f t="shared" si="7"/>
        <v>0</v>
      </c>
      <c r="Q20" s="61">
        <f t="shared" si="7"/>
        <v>0</v>
      </c>
      <c r="R20" s="61">
        <f t="shared" si="7"/>
        <v>0</v>
      </c>
      <c r="S20" s="61">
        <f t="shared" si="7"/>
        <v>0</v>
      </c>
      <c r="T20" s="61">
        <f t="shared" si="7"/>
        <v>0</v>
      </c>
      <c r="U20" s="61">
        <f t="shared" si="7"/>
        <v>0</v>
      </c>
      <c r="V20" s="61">
        <f t="shared" si="7"/>
        <v>0</v>
      </c>
      <c r="W20" s="61">
        <f t="shared" si="7"/>
        <v>0</v>
      </c>
      <c r="X20" s="61">
        <f t="shared" si="7"/>
        <v>0</v>
      </c>
      <c r="Y20" s="61">
        <f t="shared" si="7"/>
        <v>0</v>
      </c>
      <c r="Z20" s="61">
        <f t="shared" si="7"/>
        <v>0</v>
      </c>
      <c r="AA20" s="61">
        <f t="shared" si="7"/>
        <v>0</v>
      </c>
      <c r="AB20" s="61">
        <f t="shared" si="7"/>
        <v>0</v>
      </c>
      <c r="AC20" s="61">
        <f t="shared" si="7"/>
        <v>0</v>
      </c>
      <c r="AD20" s="61">
        <f t="shared" si="7"/>
        <v>0</v>
      </c>
      <c r="AE20" s="61">
        <f t="shared" si="7"/>
        <v>0</v>
      </c>
      <c r="AF20" s="61">
        <f t="shared" si="7"/>
        <v>0</v>
      </c>
      <c r="AG20" s="61">
        <f t="shared" si="7"/>
        <v>0</v>
      </c>
      <c r="AH20" s="61">
        <f t="shared" si="7"/>
        <v>0</v>
      </c>
      <c r="AI20" s="61">
        <f t="shared" si="7"/>
        <v>0</v>
      </c>
      <c r="AJ20" s="61">
        <f t="shared" si="7"/>
        <v>0</v>
      </c>
      <c r="AK20" s="61">
        <f t="shared" si="7"/>
        <v>0</v>
      </c>
      <c r="AL20" s="61">
        <f t="shared" si="7"/>
        <v>0</v>
      </c>
      <c r="AM20" s="61">
        <f t="shared" si="7"/>
        <v>0</v>
      </c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Y20" s="68" t="s">
        <v>111</v>
      </c>
      <c r="FZ20" s="67">
        <f t="shared" si="0"/>
        <v>19</v>
      </c>
      <c r="GA20" s="67"/>
      <c r="GB20" s="67"/>
      <c r="GC20" s="67"/>
      <c r="GD20" s="67"/>
      <c r="GE20" s="67"/>
      <c r="GF20" s="67"/>
      <c r="GG20" s="67"/>
      <c r="GH20" s="67"/>
      <c r="GI20" s="67"/>
      <c r="GJ20" s="67">
        <f t="shared" si="1"/>
        <v>19</v>
      </c>
      <c r="GK20" s="67">
        <f t="shared" si="2"/>
        <v>0</v>
      </c>
      <c r="GL20" s="67"/>
      <c r="GM20" s="67"/>
      <c r="GN20" s="67">
        <v>1</v>
      </c>
      <c r="GO20" s="67"/>
      <c r="GP20" s="67">
        <v>1</v>
      </c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</row>
    <row r="21" spans="1:212" ht="15">
      <c r="A21" s="46"/>
      <c r="B21" s="53" t="s">
        <v>131</v>
      </c>
      <c r="C21" s="61">
        <f aca="true" t="shared" si="8" ref="C21:AM21">IF(C18&gt;0,B22*$D$12,0)</f>
        <v>0</v>
      </c>
      <c r="D21" s="61">
        <f t="shared" si="8"/>
        <v>0</v>
      </c>
      <c r="E21" s="61">
        <f t="shared" si="8"/>
        <v>14000.000000000013</v>
      </c>
      <c r="F21" s="61">
        <f t="shared" si="8"/>
        <v>12986.714961816904</v>
      </c>
      <c r="G21" s="61">
        <f t="shared" si="8"/>
        <v>11902.49997096098</v>
      </c>
      <c r="H21" s="61">
        <f t="shared" si="8"/>
        <v>10742.38993074514</v>
      </c>
      <c r="I21" s="61">
        <f t="shared" si="8"/>
        <v>9501.07218771419</v>
      </c>
      <c r="J21" s="61">
        <f t="shared" si="8"/>
        <v>8172.8622026710755</v>
      </c>
      <c r="K21" s="61">
        <f t="shared" si="8"/>
        <v>6751.677518674942</v>
      </c>
      <c r="L21" s="61">
        <f t="shared" si="8"/>
        <v>5231.009906799079</v>
      </c>
      <c r="M21" s="61">
        <f t="shared" si="8"/>
        <v>3603.895562091905</v>
      </c>
      <c r="N21" s="61">
        <f t="shared" si="8"/>
        <v>1862.8832132552297</v>
      </c>
      <c r="O21" s="61">
        <f t="shared" si="8"/>
        <v>0</v>
      </c>
      <c r="P21" s="61">
        <f t="shared" si="8"/>
        <v>0</v>
      </c>
      <c r="Q21" s="61">
        <f t="shared" si="8"/>
        <v>0</v>
      </c>
      <c r="R21" s="61">
        <f t="shared" si="8"/>
        <v>0</v>
      </c>
      <c r="S21" s="61">
        <f t="shared" si="8"/>
        <v>0</v>
      </c>
      <c r="T21" s="61">
        <f t="shared" si="8"/>
        <v>0</v>
      </c>
      <c r="U21" s="61">
        <f t="shared" si="8"/>
        <v>0</v>
      </c>
      <c r="V21" s="61">
        <f t="shared" si="8"/>
        <v>0</v>
      </c>
      <c r="W21" s="61">
        <f t="shared" si="8"/>
        <v>0</v>
      </c>
      <c r="X21" s="61">
        <f t="shared" si="8"/>
        <v>0</v>
      </c>
      <c r="Y21" s="61">
        <f t="shared" si="8"/>
        <v>0</v>
      </c>
      <c r="Z21" s="61">
        <f t="shared" si="8"/>
        <v>0</v>
      </c>
      <c r="AA21" s="61">
        <f t="shared" si="8"/>
        <v>0</v>
      </c>
      <c r="AB21" s="61">
        <f t="shared" si="8"/>
        <v>0</v>
      </c>
      <c r="AC21" s="61">
        <f t="shared" si="8"/>
        <v>0</v>
      </c>
      <c r="AD21" s="61">
        <f t="shared" si="8"/>
        <v>0</v>
      </c>
      <c r="AE21" s="61">
        <f t="shared" si="8"/>
        <v>0</v>
      </c>
      <c r="AF21" s="61">
        <f t="shared" si="8"/>
        <v>0</v>
      </c>
      <c r="AG21" s="61">
        <f t="shared" si="8"/>
        <v>0</v>
      </c>
      <c r="AH21" s="61">
        <f t="shared" si="8"/>
        <v>0</v>
      </c>
      <c r="AI21" s="61">
        <f t="shared" si="8"/>
        <v>0</v>
      </c>
      <c r="AJ21" s="61">
        <f t="shared" si="8"/>
        <v>0</v>
      </c>
      <c r="AK21" s="61">
        <f t="shared" si="8"/>
        <v>0</v>
      </c>
      <c r="AL21" s="61">
        <f t="shared" si="8"/>
        <v>0</v>
      </c>
      <c r="AM21" s="61">
        <f t="shared" si="8"/>
        <v>0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Y21" s="68" t="s">
        <v>112</v>
      </c>
      <c r="FZ21" s="67">
        <f t="shared" si="0"/>
        <v>20</v>
      </c>
      <c r="GA21" s="67"/>
      <c r="GB21" s="67"/>
      <c r="GC21" s="67"/>
      <c r="GD21" s="67"/>
      <c r="GE21" s="67"/>
      <c r="GF21" s="67"/>
      <c r="GG21" s="67"/>
      <c r="GH21" s="67"/>
      <c r="GI21" s="67"/>
      <c r="GJ21" s="67">
        <f t="shared" si="1"/>
        <v>20</v>
      </c>
      <c r="GK21" s="67">
        <f t="shared" si="2"/>
        <v>0</v>
      </c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</row>
    <row r="22" spans="1:212" ht="15">
      <c r="A22" s="46"/>
      <c r="B22" s="65" t="s">
        <v>132</v>
      </c>
      <c r="C22" s="61">
        <f>IF(D17=$C$4,$C$7,IF(C20=0,0,$C$7-C20))</f>
        <v>0</v>
      </c>
      <c r="D22" s="61">
        <f aca="true" t="shared" si="9" ref="D22:AM22">IF(E17=$C$4,$C$7,IF(D20=0,0,$C$7-D20))</f>
        <v>200000</v>
      </c>
      <c r="E22" s="61">
        <f t="shared" si="9"/>
        <v>185524.49945452705</v>
      </c>
      <c r="F22" s="61">
        <f t="shared" si="9"/>
        <v>170035.713870871</v>
      </c>
      <c r="G22" s="61">
        <f t="shared" si="9"/>
        <v>153462.713296359</v>
      </c>
      <c r="H22" s="61">
        <f t="shared" si="9"/>
        <v>135729.60268163116</v>
      </c>
      <c r="I22" s="61">
        <f t="shared" si="9"/>
        <v>116755.1743238724</v>
      </c>
      <c r="J22" s="61">
        <f t="shared" si="9"/>
        <v>96452.53598107051</v>
      </c>
      <c r="K22" s="61">
        <f t="shared" si="9"/>
        <v>74728.71295427249</v>
      </c>
      <c r="L22" s="61">
        <f t="shared" si="9"/>
        <v>51484.2223155986</v>
      </c>
      <c r="M22" s="61">
        <f t="shared" si="9"/>
        <v>26612.617332217545</v>
      </c>
      <c r="N22" s="61">
        <f t="shared" si="9"/>
        <v>-1.7462298274040222E-10</v>
      </c>
      <c r="O22" s="61">
        <f t="shared" si="9"/>
        <v>0</v>
      </c>
      <c r="P22" s="61">
        <f t="shared" si="9"/>
        <v>0</v>
      </c>
      <c r="Q22" s="61">
        <f t="shared" si="9"/>
        <v>0</v>
      </c>
      <c r="R22" s="61">
        <f t="shared" si="9"/>
        <v>0</v>
      </c>
      <c r="S22" s="61">
        <f t="shared" si="9"/>
        <v>0</v>
      </c>
      <c r="T22" s="61">
        <f t="shared" si="9"/>
        <v>0</v>
      </c>
      <c r="U22" s="61">
        <f t="shared" si="9"/>
        <v>0</v>
      </c>
      <c r="V22" s="61">
        <f t="shared" si="9"/>
        <v>0</v>
      </c>
      <c r="W22" s="61">
        <f t="shared" si="9"/>
        <v>0</v>
      </c>
      <c r="X22" s="61">
        <f t="shared" si="9"/>
        <v>0</v>
      </c>
      <c r="Y22" s="61">
        <f t="shared" si="9"/>
        <v>0</v>
      </c>
      <c r="Z22" s="61">
        <f t="shared" si="9"/>
        <v>0</v>
      </c>
      <c r="AA22" s="61">
        <f t="shared" si="9"/>
        <v>0</v>
      </c>
      <c r="AB22" s="61">
        <f t="shared" si="9"/>
        <v>0</v>
      </c>
      <c r="AC22" s="61">
        <f t="shared" si="9"/>
        <v>0</v>
      </c>
      <c r="AD22" s="61">
        <f t="shared" si="9"/>
        <v>0</v>
      </c>
      <c r="AE22" s="61">
        <f t="shared" si="9"/>
        <v>0</v>
      </c>
      <c r="AF22" s="61">
        <f t="shared" si="9"/>
        <v>0</v>
      </c>
      <c r="AG22" s="61">
        <f t="shared" si="9"/>
        <v>0</v>
      </c>
      <c r="AH22" s="61">
        <f t="shared" si="9"/>
        <v>0</v>
      </c>
      <c r="AI22" s="61">
        <f t="shared" si="9"/>
        <v>0</v>
      </c>
      <c r="AJ22" s="61">
        <f t="shared" si="9"/>
        <v>0</v>
      </c>
      <c r="AK22" s="61">
        <f t="shared" si="9"/>
        <v>0</v>
      </c>
      <c r="AL22" s="61">
        <f t="shared" si="9"/>
        <v>0</v>
      </c>
      <c r="AM22" s="61">
        <f t="shared" si="9"/>
        <v>0</v>
      </c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Y22" s="68" t="s">
        <v>113</v>
      </c>
      <c r="FZ22" s="67">
        <f t="shared" si="0"/>
        <v>21</v>
      </c>
      <c r="GA22" s="67"/>
      <c r="GB22" s="67"/>
      <c r="GC22" s="67"/>
      <c r="GD22" s="67"/>
      <c r="GE22" s="67"/>
      <c r="GF22" s="67"/>
      <c r="GG22" s="67"/>
      <c r="GH22" s="67"/>
      <c r="GI22" s="67"/>
      <c r="GJ22" s="67">
        <f t="shared" si="1"/>
        <v>21</v>
      </c>
      <c r="GK22" s="67">
        <f t="shared" si="2"/>
        <v>0</v>
      </c>
      <c r="GL22" s="67"/>
      <c r="GM22" s="67"/>
      <c r="GN22" s="67"/>
      <c r="GO22" s="67">
        <v>1</v>
      </c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</row>
    <row r="23" spans="1:212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FY23" s="68" t="s">
        <v>114</v>
      </c>
      <c r="FZ23" s="67">
        <f t="shared" si="0"/>
        <v>22</v>
      </c>
      <c r="GA23" s="67"/>
      <c r="GB23" s="67"/>
      <c r="GC23" s="67"/>
      <c r="GD23" s="67"/>
      <c r="GE23" s="67"/>
      <c r="GF23" s="67"/>
      <c r="GG23" s="67"/>
      <c r="GH23" s="67"/>
      <c r="GI23" s="67"/>
      <c r="GJ23" s="67">
        <f t="shared" si="1"/>
        <v>22</v>
      </c>
      <c r="GK23" s="67">
        <f t="shared" si="2"/>
        <v>0</v>
      </c>
      <c r="GL23" s="67"/>
      <c r="GM23" s="67"/>
      <c r="GN23" s="67"/>
      <c r="GO23" s="67"/>
      <c r="GP23" s="67">
        <v>1</v>
      </c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</row>
    <row r="24" spans="1:212" ht="15">
      <c r="A24" s="46"/>
      <c r="B24" s="46"/>
      <c r="C24" s="46"/>
      <c r="D24" s="46"/>
      <c r="E24" s="46"/>
      <c r="F24" s="73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FY24" s="68" t="s">
        <v>115</v>
      </c>
      <c r="FZ24" s="67">
        <f t="shared" si="0"/>
        <v>23</v>
      </c>
      <c r="GA24" s="67"/>
      <c r="GB24" s="67"/>
      <c r="GC24" s="67"/>
      <c r="GD24" s="67"/>
      <c r="GE24" s="67"/>
      <c r="GF24" s="67"/>
      <c r="GG24" s="67"/>
      <c r="GH24" s="67"/>
      <c r="GI24" s="67"/>
      <c r="GJ24" s="67">
        <f t="shared" si="1"/>
        <v>23</v>
      </c>
      <c r="GK24" s="67">
        <f t="shared" si="2"/>
        <v>0</v>
      </c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</row>
    <row r="25" spans="1:212" ht="15">
      <c r="A25" s="46"/>
      <c r="C25" s="46"/>
      <c r="D25" s="66">
        <f>+D17</f>
        <v>0</v>
      </c>
      <c r="E25" s="66" t="str">
        <f aca="true" t="shared" si="10" ref="E25:AM25">+E17</f>
        <v>A1</v>
      </c>
      <c r="F25" s="66" t="str">
        <f t="shared" si="10"/>
        <v>A2</v>
      </c>
      <c r="G25" s="66" t="str">
        <f t="shared" si="10"/>
        <v>A3</v>
      </c>
      <c r="H25" s="66" t="str">
        <f t="shared" si="10"/>
        <v>A4</v>
      </c>
      <c r="I25" s="66" t="str">
        <f t="shared" si="10"/>
        <v>A5</v>
      </c>
      <c r="J25" s="66" t="str">
        <f t="shared" si="10"/>
        <v>A6</v>
      </c>
      <c r="K25" s="66" t="str">
        <f t="shared" si="10"/>
        <v>A7</v>
      </c>
      <c r="L25" s="66" t="str">
        <f t="shared" si="10"/>
        <v>A8</v>
      </c>
      <c r="M25" s="66" t="str">
        <f t="shared" si="10"/>
        <v>A9</v>
      </c>
      <c r="N25" s="66" t="str">
        <f t="shared" si="10"/>
        <v>A10</v>
      </c>
      <c r="O25" s="66" t="str">
        <f t="shared" si="10"/>
        <v>A11</v>
      </c>
      <c r="P25" s="66" t="str">
        <f t="shared" si="10"/>
        <v>A12</v>
      </c>
      <c r="Q25" s="66" t="str">
        <f t="shared" si="10"/>
        <v>A13</v>
      </c>
      <c r="R25" s="66" t="str">
        <f t="shared" si="10"/>
        <v>A14</v>
      </c>
      <c r="S25" s="66" t="str">
        <f t="shared" si="10"/>
        <v>A15</v>
      </c>
      <c r="T25" s="66" t="str">
        <f t="shared" si="10"/>
        <v>A16</v>
      </c>
      <c r="U25" s="66" t="str">
        <f t="shared" si="10"/>
        <v>A17</v>
      </c>
      <c r="V25" s="66" t="str">
        <f t="shared" si="10"/>
        <v>A18</v>
      </c>
      <c r="W25" s="66" t="str">
        <f t="shared" si="10"/>
        <v>A19</v>
      </c>
      <c r="X25" s="66" t="str">
        <f t="shared" si="10"/>
        <v>A20</v>
      </c>
      <c r="Y25" s="66" t="str">
        <f t="shared" si="10"/>
        <v>A21</v>
      </c>
      <c r="Z25" s="66" t="str">
        <f t="shared" si="10"/>
        <v>A22</v>
      </c>
      <c r="AA25" s="66" t="str">
        <f t="shared" si="10"/>
        <v>A23</v>
      </c>
      <c r="AB25" s="66" t="str">
        <f t="shared" si="10"/>
        <v>A24</v>
      </c>
      <c r="AC25" s="66" t="str">
        <f t="shared" si="10"/>
        <v>A25</v>
      </c>
      <c r="AD25" s="66" t="str">
        <f t="shared" si="10"/>
        <v>A26</v>
      </c>
      <c r="AE25" s="66" t="str">
        <f t="shared" si="10"/>
        <v>A27</v>
      </c>
      <c r="AF25" s="66" t="str">
        <f t="shared" si="10"/>
        <v>A28</v>
      </c>
      <c r="AG25" s="66" t="str">
        <f t="shared" si="10"/>
        <v>A29</v>
      </c>
      <c r="AH25" s="66" t="str">
        <f t="shared" si="10"/>
        <v>A30</v>
      </c>
      <c r="AI25" s="66" t="str">
        <f t="shared" si="10"/>
        <v>A31</v>
      </c>
      <c r="AJ25" s="66" t="str">
        <f t="shared" si="10"/>
        <v>A32</v>
      </c>
      <c r="AK25" s="66" t="str">
        <f t="shared" si="10"/>
        <v>A33</v>
      </c>
      <c r="AL25" s="66" t="str">
        <f t="shared" si="10"/>
        <v>A34</v>
      </c>
      <c r="AM25" s="66" t="str">
        <f t="shared" si="10"/>
        <v>A35</v>
      </c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FY25" s="68" t="s">
        <v>116</v>
      </c>
      <c r="FZ25" s="67">
        <f t="shared" si="0"/>
        <v>24</v>
      </c>
      <c r="GA25" s="67"/>
      <c r="GB25" s="67"/>
      <c r="GC25" s="67"/>
      <c r="GD25" s="67"/>
      <c r="GE25" s="67"/>
      <c r="GF25" s="67"/>
      <c r="GG25" s="67"/>
      <c r="GH25" s="67"/>
      <c r="GI25" s="67"/>
      <c r="GJ25" s="67">
        <f t="shared" si="1"/>
        <v>24</v>
      </c>
      <c r="GK25" s="67">
        <f t="shared" si="2"/>
        <v>0</v>
      </c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</row>
    <row r="26" spans="1:212" ht="15">
      <c r="A26" s="46" t="s">
        <v>133</v>
      </c>
      <c r="B26" s="63" t="s">
        <v>134</v>
      </c>
      <c r="C26" s="46"/>
      <c r="D26" s="61">
        <f aca="true" t="shared" si="11" ref="D26:I26">+D22-D28</f>
        <v>200000</v>
      </c>
      <c r="E26" s="61">
        <f t="shared" si="11"/>
        <v>171524.49945452705</v>
      </c>
      <c r="F26" s="61">
        <f>+F22-F28</f>
        <v>157048.9989090541</v>
      </c>
      <c r="G26" s="61">
        <f t="shared" si="11"/>
        <v>141560.213325398</v>
      </c>
      <c r="H26" s="61">
        <f t="shared" si="11"/>
        <v>124987.21275088603</v>
      </c>
      <c r="I26" s="61">
        <f t="shared" si="11"/>
        <v>107254.10213615821</v>
      </c>
      <c r="J26" s="61">
        <f>+J22-SUM($I$28:J28)</f>
        <v>78778.60159068526</v>
      </c>
      <c r="K26" s="61">
        <f>+K22-SUM($I$28:K28)</f>
        <v>50303.10104521228</v>
      </c>
      <c r="L26" s="61">
        <f>+L22-SUM($I$28:L28)</f>
        <v>21827.600499739314</v>
      </c>
      <c r="M26" s="61">
        <f>+M22-SUM($I$28:M28)</f>
        <v>-6647.900045733644</v>
      </c>
      <c r="N26" s="61">
        <f>+N22-SUM($I$28:N28)</f>
        <v>-35123.40059120659</v>
      </c>
      <c r="O26" s="61">
        <f>+O22-SUM($I$28:O28)</f>
        <v>-35123.40059120642</v>
      </c>
      <c r="P26" s="61">
        <f>+P22-SUM($I$28:P28)</f>
        <v>-35123.40059120642</v>
      </c>
      <c r="Q26" s="61">
        <f>+Q22-SUM($I$28:Q28)</f>
        <v>-35123.40059120642</v>
      </c>
      <c r="R26" s="61">
        <f>+R22-SUM($I$28:R28)</f>
        <v>-35123.40059120642</v>
      </c>
      <c r="S26" s="61">
        <f>+S22-SUM($I$28:S28)</f>
        <v>-35123.40059120642</v>
      </c>
      <c r="T26" s="61">
        <f>+T22-SUM($I$28:T28)</f>
        <v>-35123.40059120642</v>
      </c>
      <c r="U26" s="61">
        <f>+U22-SUM($I$28:U28)</f>
        <v>-35123.40059120642</v>
      </c>
      <c r="V26" s="61">
        <f>+V22-SUM($I$28:V28)</f>
        <v>-35123.40059120642</v>
      </c>
      <c r="W26" s="61">
        <f>+W22-SUM($I$28:W28)</f>
        <v>-35123.40059120642</v>
      </c>
      <c r="X26" s="61">
        <f>+X22-SUM($I$28:X28)</f>
        <v>-35123.40059120642</v>
      </c>
      <c r="Y26" s="61">
        <f>+Y22-SUM($I$28:Y28)</f>
        <v>-35123.40059120642</v>
      </c>
      <c r="Z26" s="61">
        <f>+Z22-SUM($I$28:Z28)</f>
        <v>-35123.40059120642</v>
      </c>
      <c r="AA26" s="61">
        <f>+AA22-SUM($I$28:AA28)</f>
        <v>-35123.40059120642</v>
      </c>
      <c r="AB26" s="61">
        <f>+AB22-SUM($I$28:AB28)</f>
        <v>-35123.40059120642</v>
      </c>
      <c r="AC26" s="61">
        <f>+AC22-SUM($I$28:AC28)</f>
        <v>-35123.40059120642</v>
      </c>
      <c r="AD26" s="61">
        <f>+AD22-SUM($I$28:AD28)</f>
        <v>-35123.40059120642</v>
      </c>
      <c r="AE26" s="61">
        <f>+AE22-SUM($I$28:AE28)</f>
        <v>-35123.40059120642</v>
      </c>
      <c r="AF26" s="61">
        <f>+AF22-SUM($I$28:AF28)</f>
        <v>-35123.40059120642</v>
      </c>
      <c r="AG26" s="61">
        <f>+AG22-SUM($I$28:AG28)</f>
        <v>-35123.40059120642</v>
      </c>
      <c r="AH26" s="61">
        <f>+AH22-SUM($I$28:AH28)</f>
        <v>-35123.40059120642</v>
      </c>
      <c r="AI26" s="61">
        <f>+AI22-SUM($I$28:AI28)</f>
        <v>-35123.40059120642</v>
      </c>
      <c r="AJ26" s="61">
        <f>+AJ22-SUM($I$28:AJ28)</f>
        <v>-35123.40059120642</v>
      </c>
      <c r="AK26" s="61">
        <f>+AK22-SUM($I$28:AK28)</f>
        <v>-35123.40059120642</v>
      </c>
      <c r="AL26" s="61">
        <f>+AL22-SUM($I$28:AL28)</f>
        <v>-35123.40059120642</v>
      </c>
      <c r="AM26" s="61">
        <f>+AM22-SUM($I$28:AM28)</f>
        <v>-35123.40059120642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FY26" s="68" t="s">
        <v>117</v>
      </c>
      <c r="FZ26" s="67">
        <f t="shared" si="0"/>
        <v>25</v>
      </c>
      <c r="GA26" s="67"/>
      <c r="GB26" s="67"/>
      <c r="GC26" s="67"/>
      <c r="GD26" s="67"/>
      <c r="GE26" s="67"/>
      <c r="GF26" s="67"/>
      <c r="GG26" s="67"/>
      <c r="GH26" s="67"/>
      <c r="GI26" s="67"/>
      <c r="GJ26" s="67">
        <f t="shared" si="1"/>
        <v>25</v>
      </c>
      <c r="GK26" s="67">
        <f t="shared" si="2"/>
        <v>1</v>
      </c>
      <c r="GL26" s="67"/>
      <c r="GM26" s="67">
        <v>1</v>
      </c>
      <c r="GN26" s="67">
        <v>1</v>
      </c>
      <c r="GO26" s="67">
        <v>1</v>
      </c>
      <c r="GP26" s="67">
        <v>1</v>
      </c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</row>
    <row r="27" spans="1:212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FY27" s="68" t="s">
        <v>118</v>
      </c>
      <c r="FZ27" s="67">
        <f t="shared" si="0"/>
        <v>26</v>
      </c>
      <c r="GA27" s="67"/>
      <c r="GB27" s="67"/>
      <c r="GC27" s="67"/>
      <c r="GD27" s="67"/>
      <c r="GE27" s="67"/>
      <c r="GF27" s="67"/>
      <c r="GG27" s="67"/>
      <c r="GH27" s="67"/>
      <c r="GI27" s="67"/>
      <c r="GJ27" s="67">
        <f t="shared" si="1"/>
        <v>26</v>
      </c>
      <c r="GK27" s="67">
        <f t="shared" si="2"/>
        <v>0</v>
      </c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</row>
    <row r="28" spans="1:212" ht="15">
      <c r="A28" s="46" t="s">
        <v>135</v>
      </c>
      <c r="B28" s="63" t="s">
        <v>136</v>
      </c>
      <c r="C28" s="46"/>
      <c r="D28" s="61">
        <f>+D21</f>
        <v>0</v>
      </c>
      <c r="E28" s="61">
        <f aca="true" t="shared" si="12" ref="E28:AM28">+E21</f>
        <v>14000.000000000013</v>
      </c>
      <c r="F28" s="61">
        <f t="shared" si="12"/>
        <v>12986.714961816904</v>
      </c>
      <c r="G28" s="61">
        <f t="shared" si="12"/>
        <v>11902.49997096098</v>
      </c>
      <c r="H28" s="61">
        <f t="shared" si="12"/>
        <v>10742.38993074514</v>
      </c>
      <c r="I28" s="61">
        <f t="shared" si="12"/>
        <v>9501.07218771419</v>
      </c>
      <c r="J28" s="61">
        <f t="shared" si="12"/>
        <v>8172.8622026710755</v>
      </c>
      <c r="K28" s="61">
        <f t="shared" si="12"/>
        <v>6751.677518674942</v>
      </c>
      <c r="L28" s="61">
        <f t="shared" si="12"/>
        <v>5231.009906799079</v>
      </c>
      <c r="M28" s="61">
        <f t="shared" si="12"/>
        <v>3603.895562091905</v>
      </c>
      <c r="N28" s="61">
        <f t="shared" si="12"/>
        <v>1862.8832132552297</v>
      </c>
      <c r="O28" s="61">
        <f t="shared" si="12"/>
        <v>0</v>
      </c>
      <c r="P28" s="61">
        <f t="shared" si="12"/>
        <v>0</v>
      </c>
      <c r="Q28" s="61">
        <f t="shared" si="12"/>
        <v>0</v>
      </c>
      <c r="R28" s="61">
        <f t="shared" si="12"/>
        <v>0</v>
      </c>
      <c r="S28" s="61">
        <f t="shared" si="12"/>
        <v>0</v>
      </c>
      <c r="T28" s="61">
        <f t="shared" si="12"/>
        <v>0</v>
      </c>
      <c r="U28" s="61">
        <f t="shared" si="12"/>
        <v>0</v>
      </c>
      <c r="V28" s="61">
        <f t="shared" si="12"/>
        <v>0</v>
      </c>
      <c r="W28" s="61">
        <f t="shared" si="12"/>
        <v>0</v>
      </c>
      <c r="X28" s="61">
        <f t="shared" si="12"/>
        <v>0</v>
      </c>
      <c r="Y28" s="61">
        <f t="shared" si="12"/>
        <v>0</v>
      </c>
      <c r="Z28" s="61">
        <f t="shared" si="12"/>
        <v>0</v>
      </c>
      <c r="AA28" s="61">
        <f t="shared" si="12"/>
        <v>0</v>
      </c>
      <c r="AB28" s="61">
        <f t="shared" si="12"/>
        <v>0</v>
      </c>
      <c r="AC28" s="61">
        <f t="shared" si="12"/>
        <v>0</v>
      </c>
      <c r="AD28" s="61">
        <f t="shared" si="12"/>
        <v>0</v>
      </c>
      <c r="AE28" s="61">
        <f t="shared" si="12"/>
        <v>0</v>
      </c>
      <c r="AF28" s="61">
        <f t="shared" si="12"/>
        <v>0</v>
      </c>
      <c r="AG28" s="61">
        <f t="shared" si="12"/>
        <v>0</v>
      </c>
      <c r="AH28" s="61">
        <f t="shared" si="12"/>
        <v>0</v>
      </c>
      <c r="AI28" s="61">
        <f t="shared" si="12"/>
        <v>0</v>
      </c>
      <c r="AJ28" s="61">
        <f t="shared" si="12"/>
        <v>0</v>
      </c>
      <c r="AK28" s="61">
        <f t="shared" si="12"/>
        <v>0</v>
      </c>
      <c r="AL28" s="61">
        <f t="shared" si="12"/>
        <v>0</v>
      </c>
      <c r="AM28" s="61">
        <f t="shared" si="12"/>
        <v>0</v>
      </c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FY28" s="68" t="s">
        <v>119</v>
      </c>
      <c r="FZ28" s="67">
        <f t="shared" si="0"/>
        <v>27</v>
      </c>
      <c r="GA28" s="67"/>
      <c r="GB28" s="67"/>
      <c r="GC28" s="67"/>
      <c r="GD28" s="67"/>
      <c r="GE28" s="67"/>
      <c r="GF28" s="67"/>
      <c r="GG28" s="67"/>
      <c r="GH28" s="67"/>
      <c r="GI28" s="67"/>
      <c r="GJ28" s="67">
        <f t="shared" si="1"/>
        <v>27</v>
      </c>
      <c r="GK28" s="67">
        <f t="shared" si="2"/>
        <v>0</v>
      </c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</row>
    <row r="29" spans="1:212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FY29" s="68" t="s">
        <v>120</v>
      </c>
      <c r="FZ29" s="67">
        <f t="shared" si="0"/>
        <v>28</v>
      </c>
      <c r="GA29" s="67"/>
      <c r="GB29" s="67"/>
      <c r="GC29" s="67"/>
      <c r="GD29" s="67"/>
      <c r="GE29" s="67"/>
      <c r="GF29" s="67"/>
      <c r="GG29" s="67"/>
      <c r="GH29" s="67"/>
      <c r="GI29" s="67"/>
      <c r="GJ29" s="67">
        <f t="shared" si="1"/>
        <v>28</v>
      </c>
      <c r="GK29" s="67">
        <f t="shared" si="2"/>
        <v>0</v>
      </c>
      <c r="GL29" s="67"/>
      <c r="GM29" s="67"/>
      <c r="GN29" s="67"/>
      <c r="GO29" s="67"/>
      <c r="GP29" s="67">
        <v>1</v>
      </c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</row>
    <row r="30" spans="1:212" ht="15">
      <c r="A30" s="46"/>
      <c r="B30" s="46"/>
      <c r="C30" s="46"/>
      <c r="D30" s="4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FY30" s="68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</row>
    <row r="31" spans="1:212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FY31" s="68" t="s">
        <v>122</v>
      </c>
      <c r="FZ31" s="67">
        <f t="shared" si="0"/>
        <v>1</v>
      </c>
      <c r="GA31" s="67"/>
      <c r="GB31" s="67"/>
      <c r="GC31" s="67"/>
      <c r="GD31" s="67"/>
      <c r="GE31" s="67"/>
      <c r="GF31" s="67"/>
      <c r="GG31" s="67"/>
      <c r="GH31" s="67"/>
      <c r="GI31" s="67"/>
      <c r="GJ31" s="67">
        <f t="shared" si="1"/>
        <v>1</v>
      </c>
      <c r="GK31" s="67">
        <f t="shared" si="2"/>
        <v>0</v>
      </c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</row>
    <row r="32" spans="1:212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FY32" s="68" t="s">
        <v>123</v>
      </c>
      <c r="FZ32" s="67">
        <f t="shared" si="0"/>
        <v>2</v>
      </c>
      <c r="GA32" s="67"/>
      <c r="GB32" s="67"/>
      <c r="GC32" s="67"/>
      <c r="GD32" s="67"/>
      <c r="GE32" s="67"/>
      <c r="GF32" s="67"/>
      <c r="GG32" s="67"/>
      <c r="GH32" s="67"/>
      <c r="GI32" s="67"/>
      <c r="GJ32" s="67">
        <f t="shared" si="1"/>
        <v>2</v>
      </c>
      <c r="GK32" s="67">
        <f t="shared" si="2"/>
        <v>0</v>
      </c>
      <c r="GL32" s="67"/>
      <c r="GM32" s="67"/>
      <c r="GN32" s="67">
        <v>1</v>
      </c>
      <c r="GO32" s="67"/>
      <c r="GP32" s="67">
        <v>1</v>
      </c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</row>
    <row r="33" spans="1:212" ht="15">
      <c r="A33" s="46"/>
      <c r="B33" s="46" t="s">
        <v>36</v>
      </c>
      <c r="C33" s="46"/>
      <c r="D33" s="46"/>
      <c r="E33" s="74">
        <f>+IF(E22-E21&gt;0,E22-E21,0)</f>
        <v>171524.49945452705</v>
      </c>
      <c r="F33" s="74">
        <f>+IF(F22-F21-E22&gt;0,F22-F21-E22,0)</f>
        <v>0</v>
      </c>
      <c r="G33" s="74">
        <f aca="true" t="shared" si="13" ref="G33:L33">+IF(G22-G21-F22&gt;0,G22-G21-G19,0)</f>
        <v>0</v>
      </c>
      <c r="H33" s="74">
        <f t="shared" si="13"/>
        <v>0</v>
      </c>
      <c r="I33" s="74">
        <f t="shared" si="13"/>
        <v>0</v>
      </c>
      <c r="J33" s="74">
        <f t="shared" si="13"/>
        <v>0</v>
      </c>
      <c r="K33" s="74">
        <f t="shared" si="13"/>
        <v>0</v>
      </c>
      <c r="L33" s="74">
        <f t="shared" si="13"/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FY33" s="68" t="s">
        <v>124</v>
      </c>
      <c r="FZ33" s="67">
        <f t="shared" si="0"/>
        <v>3</v>
      </c>
      <c r="GA33" s="67"/>
      <c r="GB33" s="67"/>
      <c r="GC33" s="67"/>
      <c r="GD33" s="67"/>
      <c r="GE33" s="67"/>
      <c r="GF33" s="67"/>
      <c r="GG33" s="67"/>
      <c r="GH33" s="67"/>
      <c r="GI33" s="67"/>
      <c r="GJ33" s="67">
        <f t="shared" si="1"/>
        <v>3</v>
      </c>
      <c r="GK33" s="67">
        <f t="shared" si="2"/>
        <v>0</v>
      </c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</row>
    <row r="34" spans="1:212" ht="15">
      <c r="A34" s="46"/>
      <c r="B34" s="46" t="s">
        <v>39</v>
      </c>
      <c r="C34" s="46"/>
      <c r="D34" s="46"/>
      <c r="E34" s="74">
        <f>+IF(E22-E21-E19&lt;0,E22-E21-E19,0)</f>
        <v>0</v>
      </c>
      <c r="F34" s="74">
        <f>+IF(F22-F21-E22&lt;0,-(F22-F21-E22),0)</f>
        <v>28475.500545472954</v>
      </c>
      <c r="G34" s="74">
        <f aca="true" t="shared" si="14" ref="G34:L34">+IF(G22-G21-F22&lt;0,-(G22-G21-F22),0)</f>
        <v>28475.500545472984</v>
      </c>
      <c r="H34" s="74">
        <f t="shared" si="14"/>
        <v>28475.50054547297</v>
      </c>
      <c r="I34" s="74">
        <f t="shared" si="14"/>
        <v>28475.500545472954</v>
      </c>
      <c r="J34" s="74">
        <f t="shared" si="14"/>
        <v>28475.50054547297</v>
      </c>
      <c r="K34" s="74">
        <f t="shared" si="14"/>
        <v>28475.50054547297</v>
      </c>
      <c r="L34" s="74">
        <f t="shared" si="14"/>
        <v>28475.50054547297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FY34" s="68" t="s">
        <v>125</v>
      </c>
      <c r="FZ34" s="67">
        <f t="shared" si="0"/>
        <v>4</v>
      </c>
      <c r="GA34" s="67"/>
      <c r="GB34" s="67"/>
      <c r="GC34" s="67"/>
      <c r="GD34" s="67"/>
      <c r="GE34" s="67"/>
      <c r="GF34" s="67"/>
      <c r="GG34" s="67"/>
      <c r="GH34" s="67"/>
      <c r="GI34" s="67"/>
      <c r="GJ34" s="67">
        <f t="shared" si="1"/>
        <v>4</v>
      </c>
      <c r="GK34" s="67">
        <f t="shared" si="2"/>
        <v>0</v>
      </c>
      <c r="GL34" s="67"/>
      <c r="GM34" s="67"/>
      <c r="GN34" s="67"/>
      <c r="GO34" s="67">
        <v>1</v>
      </c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</row>
    <row r="35" spans="1:212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FY35" s="68" t="s">
        <v>126</v>
      </c>
      <c r="FZ35" s="67">
        <f t="shared" si="0"/>
        <v>5</v>
      </c>
      <c r="GA35" s="67"/>
      <c r="GB35" s="67"/>
      <c r="GC35" s="67"/>
      <c r="GD35" s="67"/>
      <c r="GE35" s="67"/>
      <c r="GF35" s="67"/>
      <c r="GG35" s="67"/>
      <c r="GH35" s="67"/>
      <c r="GI35" s="67"/>
      <c r="GJ35" s="67">
        <f t="shared" si="1"/>
        <v>5</v>
      </c>
      <c r="GK35" s="67">
        <f t="shared" si="2"/>
        <v>0</v>
      </c>
      <c r="GL35" s="67"/>
      <c r="GM35" s="67"/>
      <c r="GN35" s="67"/>
      <c r="GO35" s="67"/>
      <c r="GP35" s="67">
        <v>1</v>
      </c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</row>
    <row r="36" spans="1:212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FY36" s="68" t="s">
        <v>127</v>
      </c>
      <c r="FZ36" s="67">
        <f t="shared" si="0"/>
        <v>6</v>
      </c>
      <c r="GA36" s="67"/>
      <c r="GB36" s="67"/>
      <c r="GC36" s="67"/>
      <c r="GD36" s="67"/>
      <c r="GE36" s="67"/>
      <c r="GF36" s="67"/>
      <c r="GG36" s="67"/>
      <c r="GH36" s="67"/>
      <c r="GI36" s="67"/>
      <c r="GJ36" s="67">
        <f t="shared" si="1"/>
        <v>6</v>
      </c>
      <c r="GK36" s="67">
        <f t="shared" si="2"/>
        <v>0</v>
      </c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</row>
    <row r="37" spans="1:212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FY37" s="68" t="s">
        <v>140</v>
      </c>
      <c r="FZ37" s="67">
        <f t="shared" si="0"/>
        <v>7</v>
      </c>
      <c r="GA37" s="67"/>
      <c r="GB37" s="67"/>
      <c r="GC37" s="67"/>
      <c r="GD37" s="67"/>
      <c r="GE37" s="67"/>
      <c r="GF37" s="67"/>
      <c r="GG37" s="67"/>
      <c r="GH37" s="67"/>
      <c r="GI37" s="67"/>
      <c r="GJ37" s="67">
        <f t="shared" si="1"/>
        <v>7</v>
      </c>
      <c r="GK37" s="67">
        <f t="shared" si="2"/>
        <v>0</v>
      </c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</row>
    <row r="38" spans="1:212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FY38" s="68" t="s">
        <v>141</v>
      </c>
      <c r="FZ38" s="67">
        <f t="shared" si="0"/>
        <v>8</v>
      </c>
      <c r="GA38" s="67"/>
      <c r="GB38" s="67"/>
      <c r="GC38" s="67"/>
      <c r="GD38" s="67"/>
      <c r="GE38" s="67"/>
      <c r="GF38" s="67"/>
      <c r="GG38" s="67"/>
      <c r="GH38" s="67"/>
      <c r="GI38" s="67"/>
      <c r="GJ38" s="67">
        <f t="shared" si="1"/>
        <v>8</v>
      </c>
      <c r="GK38" s="67">
        <f t="shared" si="2"/>
        <v>1</v>
      </c>
      <c r="GL38" s="67"/>
      <c r="GM38" s="67">
        <v>1</v>
      </c>
      <c r="GN38" s="67">
        <v>1</v>
      </c>
      <c r="GO38" s="67">
        <v>1</v>
      </c>
      <c r="GP38" s="67">
        <v>1</v>
      </c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</row>
    <row r="39" spans="1:212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FY39" s="68" t="s">
        <v>142</v>
      </c>
      <c r="FZ39" s="67">
        <f t="shared" si="0"/>
        <v>9</v>
      </c>
      <c r="GA39" s="67"/>
      <c r="GB39" s="67"/>
      <c r="GC39" s="67"/>
      <c r="GD39" s="67"/>
      <c r="GE39" s="67"/>
      <c r="GF39" s="67"/>
      <c r="GG39" s="67"/>
      <c r="GH39" s="67"/>
      <c r="GI39" s="67"/>
      <c r="GJ39" s="67">
        <f t="shared" si="1"/>
        <v>9</v>
      </c>
      <c r="GK39" s="67">
        <f t="shared" si="2"/>
        <v>0</v>
      </c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</row>
    <row r="40" spans="1:212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FY40" s="68" t="s">
        <v>143</v>
      </c>
      <c r="FZ40" s="67">
        <f t="shared" si="0"/>
        <v>10</v>
      </c>
      <c r="GA40" s="67"/>
      <c r="GB40" s="67"/>
      <c r="GC40" s="67"/>
      <c r="GD40" s="67"/>
      <c r="GE40" s="67"/>
      <c r="GF40" s="67"/>
      <c r="GG40" s="67"/>
      <c r="GH40" s="67"/>
      <c r="GI40" s="67"/>
      <c r="GJ40" s="67">
        <f t="shared" si="1"/>
        <v>10</v>
      </c>
      <c r="GK40" s="67">
        <f t="shared" si="2"/>
        <v>0</v>
      </c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</row>
    <row r="41" spans="1:212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FY41" s="68" t="s">
        <v>144</v>
      </c>
      <c r="FZ41" s="67">
        <f t="shared" si="0"/>
        <v>11</v>
      </c>
      <c r="GA41" s="67"/>
      <c r="GB41" s="67"/>
      <c r="GC41" s="67"/>
      <c r="GD41" s="67"/>
      <c r="GE41" s="67"/>
      <c r="GF41" s="67"/>
      <c r="GG41" s="67"/>
      <c r="GH41" s="67"/>
      <c r="GI41" s="67"/>
      <c r="GJ41" s="67">
        <f t="shared" si="1"/>
        <v>11</v>
      </c>
      <c r="GK41" s="67">
        <f t="shared" si="2"/>
        <v>0</v>
      </c>
      <c r="GL41" s="67"/>
      <c r="GM41" s="67"/>
      <c r="GN41" s="67"/>
      <c r="GO41" s="67"/>
      <c r="GP41" s="67">
        <v>1</v>
      </c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</row>
    <row r="42" spans="1:212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FY42" s="68" t="s">
        <v>145</v>
      </c>
      <c r="FZ42" s="67">
        <f t="shared" si="0"/>
        <v>12</v>
      </c>
      <c r="GA42" s="67"/>
      <c r="GB42" s="67"/>
      <c r="GC42" s="67"/>
      <c r="GD42" s="67"/>
      <c r="GE42" s="67"/>
      <c r="GF42" s="67"/>
      <c r="GG42" s="67"/>
      <c r="GH42" s="67"/>
      <c r="GI42" s="67"/>
      <c r="GJ42" s="67">
        <f t="shared" si="1"/>
        <v>12</v>
      </c>
      <c r="GK42" s="67">
        <f t="shared" si="2"/>
        <v>0</v>
      </c>
      <c r="GL42" s="67"/>
      <c r="GM42" s="67"/>
      <c r="GN42" s="67"/>
      <c r="GO42" s="67">
        <v>1</v>
      </c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</row>
    <row r="43" spans="1:212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FY43" s="68" t="s">
        <v>146</v>
      </c>
      <c r="FZ43" s="67">
        <f t="shared" si="0"/>
        <v>13</v>
      </c>
      <c r="GA43" s="67"/>
      <c r="GB43" s="67"/>
      <c r="GC43" s="67"/>
      <c r="GD43" s="67"/>
      <c r="GE43" s="67"/>
      <c r="GF43" s="67"/>
      <c r="GG43" s="67"/>
      <c r="GH43" s="67"/>
      <c r="GI43" s="67"/>
      <c r="GJ43" s="67">
        <f t="shared" si="1"/>
        <v>13</v>
      </c>
      <c r="GK43" s="67">
        <f t="shared" si="2"/>
        <v>0</v>
      </c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</row>
    <row r="44" spans="1:212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FY44" s="68" t="s">
        <v>147</v>
      </c>
      <c r="FZ44" s="67">
        <f t="shared" si="0"/>
        <v>14</v>
      </c>
      <c r="GA44" s="67"/>
      <c r="GB44" s="67"/>
      <c r="GC44" s="67"/>
      <c r="GD44" s="67"/>
      <c r="GE44" s="67"/>
      <c r="GF44" s="67"/>
      <c r="GG44" s="67"/>
      <c r="GH44" s="67"/>
      <c r="GI44" s="67"/>
      <c r="GJ44" s="67">
        <f t="shared" si="1"/>
        <v>14</v>
      </c>
      <c r="GK44" s="67">
        <f t="shared" si="2"/>
        <v>0</v>
      </c>
      <c r="GL44" s="67"/>
      <c r="GM44" s="67"/>
      <c r="GN44" s="67">
        <v>1</v>
      </c>
      <c r="GO44" s="67"/>
      <c r="GP44" s="67">
        <v>1</v>
      </c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</row>
    <row r="45" spans="1:212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FY45" s="68" t="s">
        <v>148</v>
      </c>
      <c r="FZ45" s="67">
        <f t="shared" si="0"/>
        <v>15</v>
      </c>
      <c r="GA45" s="67"/>
      <c r="GB45" s="67"/>
      <c r="GC45" s="67"/>
      <c r="GD45" s="67"/>
      <c r="GE45" s="67"/>
      <c r="GF45" s="67"/>
      <c r="GG45" s="67"/>
      <c r="GH45" s="67"/>
      <c r="GI45" s="67"/>
      <c r="GJ45" s="67">
        <f t="shared" si="1"/>
        <v>15</v>
      </c>
      <c r="GK45" s="67">
        <f t="shared" si="2"/>
        <v>0</v>
      </c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</row>
    <row r="46" spans="1:212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FY46" s="68" t="s">
        <v>149</v>
      </c>
      <c r="FZ46" s="67">
        <f t="shared" si="0"/>
        <v>16</v>
      </c>
      <c r="GA46" s="67"/>
      <c r="GB46" s="67"/>
      <c r="GC46" s="67"/>
      <c r="GD46" s="67"/>
      <c r="GE46" s="67"/>
      <c r="GF46" s="67"/>
      <c r="GG46" s="67"/>
      <c r="GH46" s="67"/>
      <c r="GI46" s="67"/>
      <c r="GJ46" s="67">
        <f t="shared" si="1"/>
        <v>16</v>
      </c>
      <c r="GK46" s="67">
        <f t="shared" si="2"/>
        <v>0</v>
      </c>
      <c r="GL46" s="67"/>
      <c r="GM46" s="67"/>
      <c r="GN46" s="67"/>
      <c r="GO46" s="67">
        <v>1</v>
      </c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</row>
    <row r="47" spans="1:212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FY47" s="68" t="s">
        <v>150</v>
      </c>
      <c r="FZ47" s="67">
        <f t="shared" si="0"/>
        <v>17</v>
      </c>
      <c r="GA47" s="67"/>
      <c r="GB47" s="67"/>
      <c r="GC47" s="67"/>
      <c r="GD47" s="67"/>
      <c r="GE47" s="67"/>
      <c r="GF47" s="67"/>
      <c r="GG47" s="67"/>
      <c r="GH47" s="67"/>
      <c r="GI47" s="67"/>
      <c r="GJ47" s="67">
        <f t="shared" si="1"/>
        <v>17</v>
      </c>
      <c r="GK47" s="67">
        <f t="shared" si="2"/>
        <v>0</v>
      </c>
      <c r="GL47" s="67"/>
      <c r="GM47" s="67"/>
      <c r="GN47" s="67"/>
      <c r="GO47" s="67"/>
      <c r="GP47" s="67">
        <v>1</v>
      </c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</row>
    <row r="48" spans="1:212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FY48" s="68" t="s">
        <v>151</v>
      </c>
      <c r="FZ48" s="67">
        <f t="shared" si="0"/>
        <v>18</v>
      </c>
      <c r="GA48" s="67"/>
      <c r="GB48" s="67"/>
      <c r="GC48" s="67"/>
      <c r="GD48" s="67"/>
      <c r="GE48" s="67"/>
      <c r="GF48" s="67"/>
      <c r="GG48" s="67"/>
      <c r="GH48" s="67"/>
      <c r="GI48" s="67"/>
      <c r="GJ48" s="67">
        <f t="shared" si="1"/>
        <v>18</v>
      </c>
      <c r="GK48" s="67">
        <f t="shared" si="2"/>
        <v>0</v>
      </c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</row>
    <row r="49" spans="1:212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FY49" s="68" t="s">
        <v>152</v>
      </c>
      <c r="FZ49" s="67">
        <f t="shared" si="0"/>
        <v>19</v>
      </c>
      <c r="GA49" s="67"/>
      <c r="GB49" s="67"/>
      <c r="GC49" s="67"/>
      <c r="GD49" s="67"/>
      <c r="GE49" s="67"/>
      <c r="GF49" s="67"/>
      <c r="GG49" s="67"/>
      <c r="GH49" s="67"/>
      <c r="GI49" s="67"/>
      <c r="GJ49" s="67">
        <f t="shared" si="1"/>
        <v>19</v>
      </c>
      <c r="GK49" s="67">
        <f t="shared" si="2"/>
        <v>0</v>
      </c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</row>
    <row r="50" spans="1:212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FY50" s="68" t="s">
        <v>153</v>
      </c>
      <c r="FZ50" s="67">
        <f t="shared" si="0"/>
        <v>20</v>
      </c>
      <c r="GA50" s="67"/>
      <c r="GB50" s="67"/>
      <c r="GC50" s="67"/>
      <c r="GD50" s="67"/>
      <c r="GE50" s="67"/>
      <c r="GF50" s="67"/>
      <c r="GG50" s="67"/>
      <c r="GH50" s="67"/>
      <c r="GI50" s="67"/>
      <c r="GJ50" s="67">
        <f t="shared" si="1"/>
        <v>20</v>
      </c>
      <c r="GK50" s="67">
        <f t="shared" si="2"/>
        <v>1</v>
      </c>
      <c r="GL50" s="67"/>
      <c r="GM50" s="67">
        <v>1</v>
      </c>
      <c r="GN50" s="67">
        <v>1</v>
      </c>
      <c r="GO50" s="67">
        <v>1</v>
      </c>
      <c r="GP50" s="67">
        <v>1</v>
      </c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</row>
    <row r="51" spans="1:212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FY51" s="68" t="s">
        <v>154</v>
      </c>
      <c r="FZ51" s="67">
        <f t="shared" si="0"/>
        <v>21</v>
      </c>
      <c r="GA51" s="67"/>
      <c r="GB51" s="67"/>
      <c r="GC51" s="67"/>
      <c r="GD51" s="67"/>
      <c r="GE51" s="67"/>
      <c r="GF51" s="67"/>
      <c r="GG51" s="67"/>
      <c r="GH51" s="67"/>
      <c r="GI51" s="67"/>
      <c r="GJ51" s="67">
        <f t="shared" si="1"/>
        <v>21</v>
      </c>
      <c r="GK51" s="67">
        <f t="shared" si="2"/>
        <v>0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</row>
    <row r="52" spans="1:212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FY52" s="68" t="s">
        <v>155</v>
      </c>
      <c r="FZ52" s="67">
        <f t="shared" si="0"/>
        <v>22</v>
      </c>
      <c r="GA52" s="67"/>
      <c r="GB52" s="67"/>
      <c r="GC52" s="67"/>
      <c r="GD52" s="67"/>
      <c r="GE52" s="67"/>
      <c r="GF52" s="67"/>
      <c r="GG52" s="67"/>
      <c r="GH52" s="67"/>
      <c r="GI52" s="67"/>
      <c r="GJ52" s="67">
        <f t="shared" si="1"/>
        <v>22</v>
      </c>
      <c r="GK52" s="67">
        <f t="shared" si="2"/>
        <v>0</v>
      </c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</row>
    <row r="53" spans="1:212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FY53" s="68" t="s">
        <v>156</v>
      </c>
      <c r="FZ53" s="67">
        <f t="shared" si="0"/>
        <v>23</v>
      </c>
      <c r="GA53" s="67"/>
      <c r="GB53" s="67"/>
      <c r="GC53" s="67"/>
      <c r="GD53" s="67"/>
      <c r="GE53" s="67"/>
      <c r="GF53" s="67"/>
      <c r="GG53" s="67"/>
      <c r="GH53" s="67"/>
      <c r="GI53" s="67"/>
      <c r="GJ53" s="67">
        <f t="shared" si="1"/>
        <v>23</v>
      </c>
      <c r="GK53" s="67">
        <f t="shared" si="2"/>
        <v>0</v>
      </c>
      <c r="GL53" s="67"/>
      <c r="GM53" s="67"/>
      <c r="GN53" s="67"/>
      <c r="GO53" s="67"/>
      <c r="GP53" s="67">
        <v>1</v>
      </c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</row>
    <row r="54" spans="1:212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FY54" s="68" t="s">
        <v>157</v>
      </c>
      <c r="FZ54" s="67">
        <f t="shared" si="0"/>
        <v>24</v>
      </c>
      <c r="GA54" s="67"/>
      <c r="GB54" s="67"/>
      <c r="GC54" s="67"/>
      <c r="GD54" s="67"/>
      <c r="GE54" s="67"/>
      <c r="GF54" s="67"/>
      <c r="GG54" s="67"/>
      <c r="GH54" s="67"/>
      <c r="GI54" s="67"/>
      <c r="GJ54" s="67">
        <f t="shared" si="1"/>
        <v>24</v>
      </c>
      <c r="GK54" s="67">
        <f t="shared" si="2"/>
        <v>0</v>
      </c>
      <c r="GL54" s="67"/>
      <c r="GM54" s="67"/>
      <c r="GN54" s="67"/>
      <c r="GO54" s="67">
        <v>1</v>
      </c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</row>
    <row r="55" spans="1:212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FY55" s="68" t="s">
        <v>158</v>
      </c>
      <c r="FZ55" s="67">
        <f t="shared" si="0"/>
        <v>25</v>
      </c>
      <c r="GA55" s="67"/>
      <c r="GB55" s="67"/>
      <c r="GC55" s="67"/>
      <c r="GD55" s="67"/>
      <c r="GE55" s="67"/>
      <c r="GF55" s="67"/>
      <c r="GG55" s="67"/>
      <c r="GH55" s="67"/>
      <c r="GI55" s="67"/>
      <c r="GJ55" s="67">
        <f t="shared" si="1"/>
        <v>25</v>
      </c>
      <c r="GK55" s="67">
        <f t="shared" si="2"/>
        <v>0</v>
      </c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</row>
    <row r="56" spans="1:212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FY56" s="68" t="s">
        <v>159</v>
      </c>
      <c r="FZ56" s="67">
        <f t="shared" si="0"/>
        <v>26</v>
      </c>
      <c r="GA56" s="67"/>
      <c r="GB56" s="67"/>
      <c r="GC56" s="67"/>
      <c r="GD56" s="67"/>
      <c r="GE56" s="67"/>
      <c r="GF56" s="67"/>
      <c r="GG56" s="67"/>
      <c r="GH56" s="67"/>
      <c r="GI56" s="67"/>
      <c r="GJ56" s="67">
        <f t="shared" si="1"/>
        <v>26</v>
      </c>
      <c r="GK56" s="67">
        <f t="shared" si="2"/>
        <v>0</v>
      </c>
      <c r="GL56" s="67"/>
      <c r="GM56" s="67"/>
      <c r="GN56" s="67">
        <v>1</v>
      </c>
      <c r="GO56" s="67"/>
      <c r="GP56" s="67">
        <v>1</v>
      </c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</row>
    <row r="57" spans="1:212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FY57" s="68" t="s">
        <v>160</v>
      </c>
      <c r="FZ57" s="67">
        <f t="shared" si="0"/>
        <v>27</v>
      </c>
      <c r="GA57" s="67"/>
      <c r="GB57" s="67"/>
      <c r="GC57" s="67"/>
      <c r="GD57" s="67"/>
      <c r="GE57" s="67"/>
      <c r="GF57" s="67"/>
      <c r="GG57" s="67"/>
      <c r="GH57" s="67"/>
      <c r="GI57" s="67"/>
      <c r="GJ57" s="67">
        <f t="shared" si="1"/>
        <v>27</v>
      </c>
      <c r="GK57" s="67">
        <f t="shared" si="2"/>
        <v>0</v>
      </c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</row>
    <row r="58" spans="1:212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FY58" s="68" t="s">
        <v>161</v>
      </c>
      <c r="FZ58" s="67">
        <f t="shared" si="0"/>
        <v>28</v>
      </c>
      <c r="GA58" s="67"/>
      <c r="GB58" s="67"/>
      <c r="GC58" s="67"/>
      <c r="GD58" s="67"/>
      <c r="GE58" s="67"/>
      <c r="GF58" s="67"/>
      <c r="GG58" s="67"/>
      <c r="GH58" s="67"/>
      <c r="GI58" s="67"/>
      <c r="GJ58" s="67">
        <f t="shared" si="1"/>
        <v>28</v>
      </c>
      <c r="GK58" s="67">
        <f t="shared" si="2"/>
        <v>0</v>
      </c>
      <c r="GL58" s="67"/>
      <c r="GM58" s="67"/>
      <c r="GN58" s="67"/>
      <c r="GO58" s="67">
        <v>1</v>
      </c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</row>
    <row r="59" spans="1:212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FY59" s="68" t="s">
        <v>162</v>
      </c>
      <c r="FZ59" s="67">
        <f t="shared" si="0"/>
        <v>29</v>
      </c>
      <c r="GA59" s="67"/>
      <c r="GB59" s="67"/>
      <c r="GC59" s="67"/>
      <c r="GD59" s="67"/>
      <c r="GE59" s="67"/>
      <c r="GF59" s="67"/>
      <c r="GG59" s="67"/>
      <c r="GH59" s="67"/>
      <c r="GI59" s="67"/>
      <c r="GJ59" s="67">
        <f t="shared" si="1"/>
        <v>29</v>
      </c>
      <c r="GK59" s="67">
        <f t="shared" si="2"/>
        <v>0</v>
      </c>
      <c r="GL59" s="67"/>
      <c r="GM59" s="67"/>
      <c r="GN59" s="67"/>
      <c r="GO59" s="67"/>
      <c r="GP59" s="67">
        <v>1</v>
      </c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</row>
    <row r="60" spans="1:212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FY60" s="68" t="s">
        <v>163</v>
      </c>
      <c r="FZ60" s="67">
        <f t="shared" si="0"/>
        <v>30</v>
      </c>
      <c r="GA60" s="67"/>
      <c r="GB60" s="67"/>
      <c r="GC60" s="67"/>
      <c r="GD60" s="67"/>
      <c r="GE60" s="67"/>
      <c r="GF60" s="67"/>
      <c r="GG60" s="67"/>
      <c r="GH60" s="67"/>
      <c r="GI60" s="67"/>
      <c r="GJ60" s="67">
        <f t="shared" si="1"/>
        <v>30</v>
      </c>
      <c r="GK60" s="67">
        <f t="shared" si="2"/>
        <v>0</v>
      </c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</row>
    <row r="61" spans="1:212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FY61" s="68" t="s">
        <v>164</v>
      </c>
      <c r="FZ61" s="67">
        <f t="shared" si="0"/>
        <v>31</v>
      </c>
      <c r="GA61" s="67"/>
      <c r="GB61" s="67"/>
      <c r="GC61" s="67"/>
      <c r="GD61" s="67"/>
      <c r="GE61" s="67"/>
      <c r="GF61" s="67"/>
      <c r="GG61" s="67"/>
      <c r="GH61" s="67"/>
      <c r="GI61" s="67"/>
      <c r="GJ61" s="67">
        <f t="shared" si="1"/>
        <v>31</v>
      </c>
      <c r="GK61" s="67">
        <f t="shared" si="2"/>
        <v>0</v>
      </c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</row>
    <row r="62" spans="1:212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FY62" s="68" t="s">
        <v>165</v>
      </c>
      <c r="FZ62" s="67">
        <f t="shared" si="0"/>
        <v>32</v>
      </c>
      <c r="GA62" s="67"/>
      <c r="GB62" s="67"/>
      <c r="GC62" s="67"/>
      <c r="GD62" s="67"/>
      <c r="GE62" s="67"/>
      <c r="GF62" s="67"/>
      <c r="GG62" s="67"/>
      <c r="GH62" s="67"/>
      <c r="GI62" s="67"/>
      <c r="GJ62" s="67">
        <f t="shared" si="1"/>
        <v>32</v>
      </c>
      <c r="GK62" s="67">
        <f t="shared" si="2"/>
        <v>1</v>
      </c>
      <c r="GL62" s="67"/>
      <c r="GM62" s="67">
        <v>1</v>
      </c>
      <c r="GN62" s="67">
        <v>1</v>
      </c>
      <c r="GO62" s="67">
        <v>1</v>
      </c>
      <c r="GP62" s="67">
        <v>1</v>
      </c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</row>
    <row r="63" spans="1:212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FY63" s="68" t="s">
        <v>166</v>
      </c>
      <c r="FZ63" s="67">
        <f t="shared" si="0"/>
        <v>33</v>
      </c>
      <c r="GA63" s="67"/>
      <c r="GB63" s="67"/>
      <c r="GC63" s="67"/>
      <c r="GD63" s="67"/>
      <c r="GE63" s="67"/>
      <c r="GF63" s="67"/>
      <c r="GG63" s="67"/>
      <c r="GH63" s="67"/>
      <c r="GI63" s="67"/>
      <c r="GJ63" s="67">
        <f t="shared" si="1"/>
        <v>33</v>
      </c>
      <c r="GK63" s="67">
        <f t="shared" si="2"/>
        <v>0</v>
      </c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</row>
    <row r="64" spans="1:212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FY64" s="68" t="s">
        <v>167</v>
      </c>
      <c r="FZ64" s="67">
        <f t="shared" si="0"/>
        <v>34</v>
      </c>
      <c r="GA64" s="67"/>
      <c r="GB64" s="67"/>
      <c r="GC64" s="67"/>
      <c r="GD64" s="67"/>
      <c r="GE64" s="67"/>
      <c r="GF64" s="67"/>
      <c r="GG64" s="67"/>
      <c r="GH64" s="67"/>
      <c r="GI64" s="67"/>
      <c r="GJ64" s="67">
        <f t="shared" si="1"/>
        <v>34</v>
      </c>
      <c r="GK64" s="67">
        <f t="shared" si="2"/>
        <v>0</v>
      </c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</row>
    <row r="65" spans="1:212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FY65" s="68" t="s">
        <v>168</v>
      </c>
      <c r="FZ65" s="67">
        <f t="shared" si="0"/>
        <v>35</v>
      </c>
      <c r="GA65" s="67"/>
      <c r="GB65" s="67"/>
      <c r="GC65" s="67"/>
      <c r="GD65" s="67"/>
      <c r="GE65" s="67"/>
      <c r="GF65" s="67"/>
      <c r="GG65" s="67"/>
      <c r="GH65" s="67"/>
      <c r="GI65" s="67"/>
      <c r="GJ65" s="67">
        <f t="shared" si="1"/>
        <v>35</v>
      </c>
      <c r="GK65" s="67">
        <f t="shared" si="2"/>
        <v>0</v>
      </c>
      <c r="GL65" s="67"/>
      <c r="GM65" s="67"/>
      <c r="GN65" s="67"/>
      <c r="GO65" s="67"/>
      <c r="GP65" s="67">
        <v>1</v>
      </c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</row>
    <row r="66" spans="1:212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FY66" s="68" t="s">
        <v>169</v>
      </c>
      <c r="FZ66" s="67">
        <f t="shared" si="0"/>
        <v>36</v>
      </c>
      <c r="GA66" s="67"/>
      <c r="GB66" s="67"/>
      <c r="GC66" s="67"/>
      <c r="GD66" s="67"/>
      <c r="GE66" s="67"/>
      <c r="GF66" s="67"/>
      <c r="GG66" s="67"/>
      <c r="GH66" s="67"/>
      <c r="GI66" s="67"/>
      <c r="GJ66" s="67">
        <f t="shared" si="1"/>
        <v>36</v>
      </c>
      <c r="GK66" s="67">
        <f t="shared" si="2"/>
        <v>0</v>
      </c>
      <c r="GL66" s="67"/>
      <c r="GM66" s="67"/>
      <c r="GN66" s="67"/>
      <c r="GO66" s="67">
        <v>1</v>
      </c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</row>
    <row r="67" spans="1:212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FY67" s="68" t="s">
        <v>170</v>
      </c>
      <c r="FZ67" s="67">
        <f t="shared" si="0"/>
        <v>37</v>
      </c>
      <c r="GA67" s="67"/>
      <c r="GB67" s="67"/>
      <c r="GC67" s="67"/>
      <c r="GD67" s="67"/>
      <c r="GE67" s="67"/>
      <c r="GF67" s="67"/>
      <c r="GG67" s="67"/>
      <c r="GH67" s="67"/>
      <c r="GI67" s="67"/>
      <c r="GJ67" s="67">
        <f t="shared" si="1"/>
        <v>37</v>
      </c>
      <c r="GK67" s="67">
        <f t="shared" si="2"/>
        <v>0</v>
      </c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</row>
    <row r="68" spans="1:212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FY68" s="68" t="s">
        <v>171</v>
      </c>
      <c r="FZ68" s="67">
        <f aca="true" t="shared" si="15" ref="FZ68:FZ121">1+FZ67</f>
        <v>38</v>
      </c>
      <c r="GA68" s="67"/>
      <c r="GB68" s="67"/>
      <c r="GC68" s="67"/>
      <c r="GD68" s="67"/>
      <c r="GE68" s="67"/>
      <c r="GF68" s="67"/>
      <c r="GG68" s="67"/>
      <c r="GH68" s="67"/>
      <c r="GI68" s="67"/>
      <c r="GJ68" s="67">
        <f aca="true" t="shared" si="16" ref="GJ68:GJ131">+GJ67+1</f>
        <v>38</v>
      </c>
      <c r="GK68" s="67">
        <f t="shared" si="2"/>
        <v>0</v>
      </c>
      <c r="GL68" s="67"/>
      <c r="GM68" s="67"/>
      <c r="GN68" s="67">
        <v>1</v>
      </c>
      <c r="GO68" s="67"/>
      <c r="GP68" s="67">
        <v>1</v>
      </c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</row>
    <row r="69" spans="1:212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FY69" s="68" t="s">
        <v>172</v>
      </c>
      <c r="FZ69" s="67">
        <f t="shared" si="15"/>
        <v>39</v>
      </c>
      <c r="GA69" s="67"/>
      <c r="GB69" s="67"/>
      <c r="GC69" s="67"/>
      <c r="GD69" s="67"/>
      <c r="GE69" s="67"/>
      <c r="GF69" s="67"/>
      <c r="GG69" s="67"/>
      <c r="GH69" s="67"/>
      <c r="GI69" s="67"/>
      <c r="GJ69" s="67">
        <f t="shared" si="16"/>
        <v>39</v>
      </c>
      <c r="GK69" s="67">
        <f aca="true" t="shared" si="17" ref="GK69:GK132">+IF($C$8=$GM$1,GM69,IF($C$8=$GN$1,GN69,IF($C$8=$GO$1,GO69,IF($C$8=$GP$1,GP69,0))))</f>
        <v>0</v>
      </c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</row>
    <row r="70" spans="1:212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FY70" s="68" t="s">
        <v>173</v>
      </c>
      <c r="FZ70" s="67">
        <f t="shared" si="15"/>
        <v>40</v>
      </c>
      <c r="GA70" s="67"/>
      <c r="GB70" s="67"/>
      <c r="GC70" s="67"/>
      <c r="GD70" s="67"/>
      <c r="GE70" s="67"/>
      <c r="GF70" s="67"/>
      <c r="GG70" s="67"/>
      <c r="GH70" s="67"/>
      <c r="GI70" s="67"/>
      <c r="GJ70" s="67">
        <f t="shared" si="16"/>
        <v>40</v>
      </c>
      <c r="GK70" s="67">
        <f t="shared" si="17"/>
        <v>0</v>
      </c>
      <c r="GL70" s="67"/>
      <c r="GM70" s="67"/>
      <c r="GN70" s="67"/>
      <c r="GO70" s="67">
        <v>1</v>
      </c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</row>
    <row r="71" spans="1:212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FY71" s="68" t="s">
        <v>174</v>
      </c>
      <c r="FZ71" s="67">
        <f t="shared" si="15"/>
        <v>41</v>
      </c>
      <c r="GA71" s="67"/>
      <c r="GB71" s="67"/>
      <c r="GC71" s="67"/>
      <c r="GD71" s="67"/>
      <c r="GE71" s="67"/>
      <c r="GF71" s="67"/>
      <c r="GG71" s="67"/>
      <c r="GH71" s="67"/>
      <c r="GI71" s="67"/>
      <c r="GJ71" s="67">
        <f t="shared" si="16"/>
        <v>41</v>
      </c>
      <c r="GK71" s="67">
        <f t="shared" si="17"/>
        <v>0</v>
      </c>
      <c r="GL71" s="67"/>
      <c r="GM71" s="67"/>
      <c r="GN71" s="67"/>
      <c r="GO71" s="67"/>
      <c r="GP71" s="67">
        <v>1</v>
      </c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</row>
    <row r="72" spans="1:212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FY72" s="68" t="s">
        <v>175</v>
      </c>
      <c r="FZ72" s="67">
        <f t="shared" si="15"/>
        <v>42</v>
      </c>
      <c r="GA72" s="67"/>
      <c r="GB72" s="67"/>
      <c r="GC72" s="67"/>
      <c r="GD72" s="67"/>
      <c r="GE72" s="67"/>
      <c r="GF72" s="67"/>
      <c r="GG72" s="67"/>
      <c r="GH72" s="67"/>
      <c r="GI72" s="67"/>
      <c r="GJ72" s="67">
        <f t="shared" si="16"/>
        <v>42</v>
      </c>
      <c r="GK72" s="67">
        <f t="shared" si="17"/>
        <v>0</v>
      </c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</row>
    <row r="73" spans="1:212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FY73" s="68" t="s">
        <v>176</v>
      </c>
      <c r="FZ73" s="67">
        <f t="shared" si="15"/>
        <v>43</v>
      </c>
      <c r="GA73" s="67"/>
      <c r="GB73" s="67"/>
      <c r="GC73" s="67"/>
      <c r="GD73" s="67"/>
      <c r="GE73" s="67"/>
      <c r="GF73" s="67"/>
      <c r="GG73" s="67"/>
      <c r="GH73" s="67"/>
      <c r="GI73" s="67"/>
      <c r="GJ73" s="67">
        <f t="shared" si="16"/>
        <v>43</v>
      </c>
      <c r="GK73" s="67">
        <f t="shared" si="17"/>
        <v>0</v>
      </c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</row>
    <row r="74" spans="1:212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FY74" s="68" t="s">
        <v>177</v>
      </c>
      <c r="FZ74" s="67">
        <f t="shared" si="15"/>
        <v>44</v>
      </c>
      <c r="GA74" s="67"/>
      <c r="GB74" s="67"/>
      <c r="GC74" s="67"/>
      <c r="GD74" s="67"/>
      <c r="GE74" s="67"/>
      <c r="GF74" s="67"/>
      <c r="GG74" s="67"/>
      <c r="GH74" s="67"/>
      <c r="GI74" s="67"/>
      <c r="GJ74" s="67">
        <f t="shared" si="16"/>
        <v>44</v>
      </c>
      <c r="GK74" s="67">
        <f t="shared" si="17"/>
        <v>1</v>
      </c>
      <c r="GL74" s="67"/>
      <c r="GM74" s="67">
        <v>1</v>
      </c>
      <c r="GN74" s="67">
        <v>1</v>
      </c>
      <c r="GO74" s="67">
        <v>1</v>
      </c>
      <c r="GP74" s="67">
        <v>1</v>
      </c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</row>
    <row r="75" spans="1:212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FY75" s="68" t="s">
        <v>178</v>
      </c>
      <c r="FZ75" s="67">
        <f t="shared" si="15"/>
        <v>45</v>
      </c>
      <c r="GA75" s="67"/>
      <c r="GB75" s="67"/>
      <c r="GC75" s="67"/>
      <c r="GD75" s="67"/>
      <c r="GE75" s="67"/>
      <c r="GF75" s="67"/>
      <c r="GG75" s="67"/>
      <c r="GH75" s="67"/>
      <c r="GI75" s="67"/>
      <c r="GJ75" s="67">
        <f t="shared" si="16"/>
        <v>45</v>
      </c>
      <c r="GK75" s="67">
        <f t="shared" si="17"/>
        <v>0</v>
      </c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</row>
    <row r="76" spans="1:212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FY76" s="68" t="s">
        <v>179</v>
      </c>
      <c r="FZ76" s="67">
        <f t="shared" si="15"/>
        <v>46</v>
      </c>
      <c r="GA76" s="67"/>
      <c r="GB76" s="67"/>
      <c r="GC76" s="67"/>
      <c r="GD76" s="67"/>
      <c r="GE76" s="67"/>
      <c r="GF76" s="67"/>
      <c r="GG76" s="67"/>
      <c r="GH76" s="67"/>
      <c r="GI76" s="67"/>
      <c r="GJ76" s="67">
        <f t="shared" si="16"/>
        <v>46</v>
      </c>
      <c r="GK76" s="67">
        <f t="shared" si="17"/>
        <v>0</v>
      </c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</row>
    <row r="77" spans="1:212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FY77" s="68" t="s">
        <v>180</v>
      </c>
      <c r="FZ77" s="67">
        <f t="shared" si="15"/>
        <v>47</v>
      </c>
      <c r="GA77" s="67"/>
      <c r="GB77" s="67"/>
      <c r="GC77" s="67"/>
      <c r="GD77" s="67"/>
      <c r="GE77" s="67"/>
      <c r="GF77" s="67"/>
      <c r="GG77" s="67"/>
      <c r="GH77" s="67"/>
      <c r="GI77" s="67"/>
      <c r="GJ77" s="67">
        <f t="shared" si="16"/>
        <v>47</v>
      </c>
      <c r="GK77" s="67">
        <f t="shared" si="17"/>
        <v>0</v>
      </c>
      <c r="GL77" s="67"/>
      <c r="GM77" s="67"/>
      <c r="GN77" s="67"/>
      <c r="GO77" s="67"/>
      <c r="GP77" s="67">
        <v>1</v>
      </c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</row>
    <row r="78" spans="1:212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FY78" s="68" t="s">
        <v>181</v>
      </c>
      <c r="FZ78" s="67">
        <f t="shared" si="15"/>
        <v>48</v>
      </c>
      <c r="GA78" s="67"/>
      <c r="GB78" s="67"/>
      <c r="GC78" s="67"/>
      <c r="GD78" s="67"/>
      <c r="GE78" s="67"/>
      <c r="GF78" s="67"/>
      <c r="GG78" s="67"/>
      <c r="GH78" s="67"/>
      <c r="GI78" s="67"/>
      <c r="GJ78" s="67">
        <f t="shared" si="16"/>
        <v>48</v>
      </c>
      <c r="GK78" s="67">
        <f t="shared" si="17"/>
        <v>0</v>
      </c>
      <c r="GL78" s="67"/>
      <c r="GM78" s="67"/>
      <c r="GN78" s="67"/>
      <c r="GO78" s="67">
        <v>1</v>
      </c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</row>
    <row r="79" spans="1:212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FY79" s="68" t="s">
        <v>182</v>
      </c>
      <c r="FZ79" s="67">
        <f t="shared" si="15"/>
        <v>49</v>
      </c>
      <c r="GA79" s="67"/>
      <c r="GB79" s="67"/>
      <c r="GC79" s="67"/>
      <c r="GD79" s="67"/>
      <c r="GE79" s="67"/>
      <c r="GF79" s="67"/>
      <c r="GG79" s="67"/>
      <c r="GH79" s="67"/>
      <c r="GI79" s="67"/>
      <c r="GJ79" s="67">
        <f t="shared" si="16"/>
        <v>49</v>
      </c>
      <c r="GK79" s="67">
        <f t="shared" si="17"/>
        <v>0</v>
      </c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</row>
    <row r="80" spans="1:212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FY80" s="68" t="s">
        <v>183</v>
      </c>
      <c r="FZ80" s="67">
        <f t="shared" si="15"/>
        <v>50</v>
      </c>
      <c r="GA80" s="67"/>
      <c r="GB80" s="67"/>
      <c r="GC80" s="67"/>
      <c r="GD80" s="67"/>
      <c r="GE80" s="67"/>
      <c r="GF80" s="67"/>
      <c r="GG80" s="67"/>
      <c r="GH80" s="67"/>
      <c r="GI80" s="67"/>
      <c r="GJ80" s="67">
        <f t="shared" si="16"/>
        <v>50</v>
      </c>
      <c r="GK80" s="67">
        <f t="shared" si="17"/>
        <v>0</v>
      </c>
      <c r="GL80" s="67"/>
      <c r="GM80" s="67"/>
      <c r="GN80" s="67">
        <v>1</v>
      </c>
      <c r="GO80" s="67"/>
      <c r="GP80" s="67">
        <v>1</v>
      </c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</row>
    <row r="81" spans="1:2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FY81" s="68" t="s">
        <v>184</v>
      </c>
      <c r="FZ81" s="67">
        <f t="shared" si="15"/>
        <v>51</v>
      </c>
      <c r="GA81" s="67"/>
      <c r="GB81" s="67"/>
      <c r="GC81" s="67"/>
      <c r="GD81" s="67"/>
      <c r="GE81" s="67"/>
      <c r="GF81" s="67"/>
      <c r="GG81" s="67"/>
      <c r="GH81" s="67"/>
      <c r="GI81" s="67"/>
      <c r="GJ81" s="67">
        <f t="shared" si="16"/>
        <v>51</v>
      </c>
      <c r="GK81" s="67">
        <f t="shared" si="17"/>
        <v>0</v>
      </c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</row>
    <row r="82" spans="1:212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FY82" s="68" t="s">
        <v>185</v>
      </c>
      <c r="FZ82" s="67">
        <f t="shared" si="15"/>
        <v>52</v>
      </c>
      <c r="GA82" s="67"/>
      <c r="GB82" s="67"/>
      <c r="GC82" s="67"/>
      <c r="GD82" s="67"/>
      <c r="GE82" s="67"/>
      <c r="GF82" s="67"/>
      <c r="GG82" s="67"/>
      <c r="GH82" s="67"/>
      <c r="GI82" s="67"/>
      <c r="GJ82" s="67">
        <f t="shared" si="16"/>
        <v>52</v>
      </c>
      <c r="GK82" s="67">
        <f t="shared" si="17"/>
        <v>0</v>
      </c>
      <c r="GL82" s="67"/>
      <c r="GM82" s="67"/>
      <c r="GN82" s="67"/>
      <c r="GO82" s="67">
        <v>1</v>
      </c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</row>
    <row r="83" spans="1:212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FY83" s="68" t="s">
        <v>186</v>
      </c>
      <c r="FZ83" s="67">
        <f t="shared" si="15"/>
        <v>53</v>
      </c>
      <c r="GA83" s="67"/>
      <c r="GB83" s="67"/>
      <c r="GC83" s="67"/>
      <c r="GD83" s="67"/>
      <c r="GE83" s="67"/>
      <c r="GF83" s="67"/>
      <c r="GG83" s="67"/>
      <c r="GH83" s="67"/>
      <c r="GI83" s="67"/>
      <c r="GJ83" s="67">
        <f t="shared" si="16"/>
        <v>53</v>
      </c>
      <c r="GK83" s="67">
        <f t="shared" si="17"/>
        <v>0</v>
      </c>
      <c r="GL83" s="67"/>
      <c r="GM83" s="67"/>
      <c r="GN83" s="67"/>
      <c r="GO83" s="67"/>
      <c r="GP83" s="67">
        <v>1</v>
      </c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</row>
    <row r="84" spans="1:212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FY84" s="68" t="s">
        <v>187</v>
      </c>
      <c r="FZ84" s="67">
        <f t="shared" si="15"/>
        <v>54</v>
      </c>
      <c r="GA84" s="67"/>
      <c r="GB84" s="67"/>
      <c r="GC84" s="67"/>
      <c r="GD84" s="67"/>
      <c r="GE84" s="67"/>
      <c r="GF84" s="67"/>
      <c r="GG84" s="67"/>
      <c r="GH84" s="67"/>
      <c r="GI84" s="67"/>
      <c r="GJ84" s="67">
        <f t="shared" si="16"/>
        <v>54</v>
      </c>
      <c r="GK84" s="67">
        <f t="shared" si="17"/>
        <v>0</v>
      </c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</row>
    <row r="85" spans="1:212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FY85" s="68" t="s">
        <v>188</v>
      </c>
      <c r="FZ85" s="67">
        <f t="shared" si="15"/>
        <v>55</v>
      </c>
      <c r="GA85" s="67"/>
      <c r="GB85" s="67"/>
      <c r="GC85" s="67"/>
      <c r="GD85" s="67"/>
      <c r="GE85" s="67"/>
      <c r="GF85" s="67"/>
      <c r="GG85" s="67"/>
      <c r="GH85" s="67"/>
      <c r="GI85" s="67"/>
      <c r="GJ85" s="67">
        <f t="shared" si="16"/>
        <v>55</v>
      </c>
      <c r="GK85" s="67">
        <f t="shared" si="17"/>
        <v>0</v>
      </c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</row>
    <row r="86" spans="1:212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FY86" s="68" t="s">
        <v>189</v>
      </c>
      <c r="FZ86" s="67">
        <f t="shared" si="15"/>
        <v>56</v>
      </c>
      <c r="GA86" s="67"/>
      <c r="GB86" s="67"/>
      <c r="GC86" s="67"/>
      <c r="GD86" s="67"/>
      <c r="GE86" s="67"/>
      <c r="GF86" s="67"/>
      <c r="GG86" s="67"/>
      <c r="GH86" s="67"/>
      <c r="GI86" s="67"/>
      <c r="GJ86" s="67">
        <f t="shared" si="16"/>
        <v>56</v>
      </c>
      <c r="GK86" s="67">
        <f t="shared" si="17"/>
        <v>1</v>
      </c>
      <c r="GL86" s="67"/>
      <c r="GM86" s="67">
        <v>1</v>
      </c>
      <c r="GN86" s="67">
        <v>1</v>
      </c>
      <c r="GO86" s="67">
        <v>1</v>
      </c>
      <c r="GP86" s="67">
        <v>1</v>
      </c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</row>
    <row r="87" spans="1:212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FY87" s="68" t="s">
        <v>190</v>
      </c>
      <c r="FZ87" s="67">
        <f t="shared" si="15"/>
        <v>57</v>
      </c>
      <c r="GA87" s="67"/>
      <c r="GB87" s="67"/>
      <c r="GC87" s="67"/>
      <c r="GD87" s="67"/>
      <c r="GE87" s="67"/>
      <c r="GF87" s="67"/>
      <c r="GG87" s="67"/>
      <c r="GH87" s="67"/>
      <c r="GI87" s="67"/>
      <c r="GJ87" s="67">
        <f t="shared" si="16"/>
        <v>57</v>
      </c>
      <c r="GK87" s="67">
        <f t="shared" si="17"/>
        <v>0</v>
      </c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</row>
    <row r="88" spans="1:212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FY88" s="68" t="s">
        <v>191</v>
      </c>
      <c r="FZ88" s="67">
        <f t="shared" si="15"/>
        <v>58</v>
      </c>
      <c r="GA88" s="67"/>
      <c r="GB88" s="67"/>
      <c r="GC88" s="67"/>
      <c r="GD88" s="67"/>
      <c r="GE88" s="67"/>
      <c r="GF88" s="67"/>
      <c r="GG88" s="67"/>
      <c r="GH88" s="67"/>
      <c r="GI88" s="67"/>
      <c r="GJ88" s="67">
        <f t="shared" si="16"/>
        <v>58</v>
      </c>
      <c r="GK88" s="67">
        <f t="shared" si="17"/>
        <v>0</v>
      </c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</row>
    <row r="89" spans="1:212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FY89" s="68" t="s">
        <v>192</v>
      </c>
      <c r="FZ89" s="67">
        <f t="shared" si="15"/>
        <v>59</v>
      </c>
      <c r="GA89" s="67"/>
      <c r="GB89" s="67"/>
      <c r="GC89" s="67"/>
      <c r="GD89" s="67"/>
      <c r="GE89" s="67"/>
      <c r="GF89" s="67"/>
      <c r="GG89" s="67"/>
      <c r="GH89" s="67"/>
      <c r="GI89" s="67"/>
      <c r="GJ89" s="67">
        <f t="shared" si="16"/>
        <v>59</v>
      </c>
      <c r="GK89" s="67">
        <f t="shared" si="17"/>
        <v>0</v>
      </c>
      <c r="GL89" s="67"/>
      <c r="GM89" s="67"/>
      <c r="GN89" s="67"/>
      <c r="GO89" s="67"/>
      <c r="GP89" s="67">
        <v>1</v>
      </c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</row>
    <row r="90" spans="1:212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FY90" s="68" t="s">
        <v>193</v>
      </c>
      <c r="FZ90" s="67">
        <f t="shared" si="15"/>
        <v>60</v>
      </c>
      <c r="GA90" s="67"/>
      <c r="GB90" s="67"/>
      <c r="GC90" s="67"/>
      <c r="GD90" s="67"/>
      <c r="GE90" s="67"/>
      <c r="GF90" s="67"/>
      <c r="GG90" s="67"/>
      <c r="GH90" s="67"/>
      <c r="GI90" s="67"/>
      <c r="GJ90" s="67">
        <f t="shared" si="16"/>
        <v>60</v>
      </c>
      <c r="GK90" s="67">
        <f t="shared" si="17"/>
        <v>0</v>
      </c>
      <c r="GL90" s="67"/>
      <c r="GM90" s="67"/>
      <c r="GN90" s="67"/>
      <c r="GO90" s="67">
        <v>1</v>
      </c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</row>
    <row r="91" spans="1:212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FY91" s="68" t="s">
        <v>194</v>
      </c>
      <c r="FZ91" s="67">
        <f t="shared" si="15"/>
        <v>61</v>
      </c>
      <c r="GA91" s="67"/>
      <c r="GB91" s="67"/>
      <c r="GC91" s="67"/>
      <c r="GD91" s="67"/>
      <c r="GE91" s="67"/>
      <c r="GF91" s="67"/>
      <c r="GG91" s="67"/>
      <c r="GH91" s="67"/>
      <c r="GI91" s="67"/>
      <c r="GJ91" s="67">
        <f t="shared" si="16"/>
        <v>61</v>
      </c>
      <c r="GK91" s="67">
        <f t="shared" si="17"/>
        <v>0</v>
      </c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</row>
    <row r="92" spans="1:212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FY92" s="68" t="s">
        <v>195</v>
      </c>
      <c r="FZ92" s="67">
        <f t="shared" si="15"/>
        <v>62</v>
      </c>
      <c r="GA92" s="67"/>
      <c r="GB92" s="67"/>
      <c r="GC92" s="67"/>
      <c r="GD92" s="67"/>
      <c r="GE92" s="67"/>
      <c r="GF92" s="67"/>
      <c r="GG92" s="67"/>
      <c r="GH92" s="67"/>
      <c r="GI92" s="67"/>
      <c r="GJ92" s="67">
        <f t="shared" si="16"/>
        <v>62</v>
      </c>
      <c r="GK92" s="67">
        <f t="shared" si="17"/>
        <v>0</v>
      </c>
      <c r="GL92" s="67"/>
      <c r="GM92" s="67"/>
      <c r="GN92" s="67">
        <v>1</v>
      </c>
      <c r="GO92" s="67"/>
      <c r="GP92" s="67">
        <v>1</v>
      </c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</row>
    <row r="93" spans="1:212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FY93" s="68" t="s">
        <v>196</v>
      </c>
      <c r="FZ93" s="67">
        <f t="shared" si="15"/>
        <v>63</v>
      </c>
      <c r="GA93" s="67"/>
      <c r="GB93" s="67"/>
      <c r="GC93" s="67"/>
      <c r="GD93" s="67"/>
      <c r="GE93" s="67"/>
      <c r="GF93" s="67"/>
      <c r="GG93" s="67"/>
      <c r="GH93" s="67"/>
      <c r="GI93" s="67"/>
      <c r="GJ93" s="67">
        <f t="shared" si="16"/>
        <v>63</v>
      </c>
      <c r="GK93" s="67">
        <f t="shared" si="17"/>
        <v>0</v>
      </c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</row>
    <row r="94" spans="1:212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FY94" s="68" t="s">
        <v>197</v>
      </c>
      <c r="FZ94" s="67">
        <f t="shared" si="15"/>
        <v>64</v>
      </c>
      <c r="GA94" s="67"/>
      <c r="GB94" s="67"/>
      <c r="GC94" s="67"/>
      <c r="GD94" s="67"/>
      <c r="GE94" s="67"/>
      <c r="GF94" s="67"/>
      <c r="GG94" s="67"/>
      <c r="GH94" s="67"/>
      <c r="GI94" s="67"/>
      <c r="GJ94" s="67">
        <f t="shared" si="16"/>
        <v>64</v>
      </c>
      <c r="GK94" s="67">
        <f t="shared" si="17"/>
        <v>0</v>
      </c>
      <c r="GL94" s="67"/>
      <c r="GM94" s="67"/>
      <c r="GN94" s="67"/>
      <c r="GO94" s="67">
        <v>1</v>
      </c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</row>
    <row r="95" spans="1:212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FY95" s="68" t="s">
        <v>198</v>
      </c>
      <c r="FZ95" s="67">
        <f t="shared" si="15"/>
        <v>65</v>
      </c>
      <c r="GA95" s="67"/>
      <c r="GB95" s="67"/>
      <c r="GC95" s="67"/>
      <c r="GD95" s="67"/>
      <c r="GE95" s="67"/>
      <c r="GF95" s="67"/>
      <c r="GG95" s="67"/>
      <c r="GH95" s="67"/>
      <c r="GI95" s="67"/>
      <c r="GJ95" s="67">
        <f t="shared" si="16"/>
        <v>65</v>
      </c>
      <c r="GK95" s="67">
        <f t="shared" si="17"/>
        <v>0</v>
      </c>
      <c r="GL95" s="67"/>
      <c r="GM95" s="67"/>
      <c r="GN95" s="67"/>
      <c r="GO95" s="67"/>
      <c r="GP95" s="67">
        <v>1</v>
      </c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</row>
    <row r="96" spans="1:212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FY96" s="68" t="s">
        <v>199</v>
      </c>
      <c r="FZ96" s="67">
        <f t="shared" si="15"/>
        <v>66</v>
      </c>
      <c r="GA96" s="67"/>
      <c r="GB96" s="67"/>
      <c r="GC96" s="67"/>
      <c r="GD96" s="67"/>
      <c r="GE96" s="67"/>
      <c r="GF96" s="67"/>
      <c r="GG96" s="67"/>
      <c r="GH96" s="67"/>
      <c r="GI96" s="67"/>
      <c r="GJ96" s="67">
        <f t="shared" si="16"/>
        <v>66</v>
      </c>
      <c r="GK96" s="67">
        <f t="shared" si="17"/>
        <v>0</v>
      </c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</row>
    <row r="97" spans="1:212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FY97" s="68" t="s">
        <v>200</v>
      </c>
      <c r="FZ97" s="67">
        <f t="shared" si="15"/>
        <v>67</v>
      </c>
      <c r="GA97" s="67"/>
      <c r="GB97" s="67"/>
      <c r="GC97" s="67"/>
      <c r="GD97" s="67"/>
      <c r="GE97" s="67"/>
      <c r="GF97" s="67"/>
      <c r="GG97" s="67"/>
      <c r="GH97" s="67"/>
      <c r="GI97" s="67"/>
      <c r="GJ97" s="67">
        <f t="shared" si="16"/>
        <v>67</v>
      </c>
      <c r="GK97" s="67">
        <f t="shared" si="17"/>
        <v>0</v>
      </c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</row>
    <row r="98" spans="1:212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FY98" s="68" t="s">
        <v>201</v>
      </c>
      <c r="FZ98" s="67">
        <f t="shared" si="15"/>
        <v>68</v>
      </c>
      <c r="GA98" s="67"/>
      <c r="GB98" s="67"/>
      <c r="GC98" s="67"/>
      <c r="GD98" s="67"/>
      <c r="GE98" s="67"/>
      <c r="GF98" s="67"/>
      <c r="GG98" s="67"/>
      <c r="GH98" s="67"/>
      <c r="GI98" s="67"/>
      <c r="GJ98" s="67">
        <f t="shared" si="16"/>
        <v>68</v>
      </c>
      <c r="GK98" s="67">
        <f t="shared" si="17"/>
        <v>1</v>
      </c>
      <c r="GL98" s="67"/>
      <c r="GM98" s="67">
        <v>1</v>
      </c>
      <c r="GN98" s="67">
        <v>1</v>
      </c>
      <c r="GO98" s="67">
        <v>1</v>
      </c>
      <c r="GP98" s="67">
        <v>1</v>
      </c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</row>
    <row r="99" spans="1:212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FY99" s="68" t="s">
        <v>202</v>
      </c>
      <c r="FZ99" s="67">
        <f t="shared" si="15"/>
        <v>69</v>
      </c>
      <c r="GA99" s="67"/>
      <c r="GB99" s="67"/>
      <c r="GC99" s="67"/>
      <c r="GD99" s="67"/>
      <c r="GE99" s="67"/>
      <c r="GF99" s="67"/>
      <c r="GG99" s="67"/>
      <c r="GH99" s="67"/>
      <c r="GI99" s="67"/>
      <c r="GJ99" s="67">
        <f t="shared" si="16"/>
        <v>69</v>
      </c>
      <c r="GK99" s="67">
        <f t="shared" si="17"/>
        <v>0</v>
      </c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</row>
    <row r="100" spans="1:212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FY100" s="68" t="s">
        <v>203</v>
      </c>
      <c r="FZ100" s="67">
        <f t="shared" si="15"/>
        <v>70</v>
      </c>
      <c r="GA100" s="67"/>
      <c r="GB100" s="67"/>
      <c r="GC100" s="67"/>
      <c r="GD100" s="67"/>
      <c r="GE100" s="67"/>
      <c r="GF100" s="67"/>
      <c r="GG100" s="67"/>
      <c r="GH100" s="67"/>
      <c r="GI100" s="67"/>
      <c r="GJ100" s="67">
        <f t="shared" si="16"/>
        <v>70</v>
      </c>
      <c r="GK100" s="67">
        <f t="shared" si="17"/>
        <v>0</v>
      </c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</row>
    <row r="101" spans="1:212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FY101" s="68" t="s">
        <v>204</v>
      </c>
      <c r="FZ101" s="67">
        <f t="shared" si="15"/>
        <v>71</v>
      </c>
      <c r="GA101" s="67"/>
      <c r="GB101" s="67"/>
      <c r="GC101" s="67"/>
      <c r="GD101" s="67"/>
      <c r="GE101" s="67"/>
      <c r="GF101" s="67"/>
      <c r="GG101" s="67"/>
      <c r="GH101" s="67"/>
      <c r="GI101" s="67"/>
      <c r="GJ101" s="67">
        <f t="shared" si="16"/>
        <v>71</v>
      </c>
      <c r="GK101" s="67">
        <f t="shared" si="17"/>
        <v>0</v>
      </c>
      <c r="GL101" s="67"/>
      <c r="GM101" s="67"/>
      <c r="GN101" s="67"/>
      <c r="GO101" s="67"/>
      <c r="GP101" s="67">
        <v>1</v>
      </c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</row>
    <row r="102" spans="1:212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FY102" s="68" t="s">
        <v>205</v>
      </c>
      <c r="FZ102" s="67">
        <f t="shared" si="15"/>
        <v>72</v>
      </c>
      <c r="GA102" s="67"/>
      <c r="GB102" s="67"/>
      <c r="GC102" s="67"/>
      <c r="GD102" s="67"/>
      <c r="GE102" s="67"/>
      <c r="GF102" s="67"/>
      <c r="GG102" s="67"/>
      <c r="GH102" s="67"/>
      <c r="GI102" s="67"/>
      <c r="GJ102" s="67">
        <f t="shared" si="16"/>
        <v>72</v>
      </c>
      <c r="GK102" s="67">
        <f t="shared" si="17"/>
        <v>0</v>
      </c>
      <c r="GL102" s="67"/>
      <c r="GM102" s="67"/>
      <c r="GN102" s="67"/>
      <c r="GO102" s="67">
        <v>1</v>
      </c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</row>
    <row r="103" spans="1:2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FY103" s="68" t="s">
        <v>206</v>
      </c>
      <c r="FZ103" s="67">
        <f t="shared" si="15"/>
        <v>73</v>
      </c>
      <c r="GA103" s="67"/>
      <c r="GB103" s="67"/>
      <c r="GC103" s="67"/>
      <c r="GD103" s="67"/>
      <c r="GE103" s="67"/>
      <c r="GF103" s="67"/>
      <c r="GG103" s="67"/>
      <c r="GH103" s="67"/>
      <c r="GI103" s="67"/>
      <c r="GJ103" s="67">
        <f t="shared" si="16"/>
        <v>73</v>
      </c>
      <c r="GK103" s="67">
        <f t="shared" si="17"/>
        <v>0</v>
      </c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</row>
    <row r="104" spans="1:212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FY104" s="68" t="s">
        <v>207</v>
      </c>
      <c r="FZ104" s="67">
        <f t="shared" si="15"/>
        <v>74</v>
      </c>
      <c r="GA104" s="67"/>
      <c r="GB104" s="67"/>
      <c r="GC104" s="67"/>
      <c r="GD104" s="67"/>
      <c r="GE104" s="67"/>
      <c r="GF104" s="67"/>
      <c r="GG104" s="67"/>
      <c r="GH104" s="67"/>
      <c r="GI104" s="67"/>
      <c r="GJ104" s="67">
        <f t="shared" si="16"/>
        <v>74</v>
      </c>
      <c r="GK104" s="67">
        <f t="shared" si="17"/>
        <v>0</v>
      </c>
      <c r="GL104" s="67"/>
      <c r="GM104" s="67"/>
      <c r="GN104" s="67">
        <v>1</v>
      </c>
      <c r="GO104" s="67"/>
      <c r="GP104" s="67">
        <v>1</v>
      </c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</row>
    <row r="105" spans="1:212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FY105" s="68" t="s">
        <v>208</v>
      </c>
      <c r="FZ105" s="67">
        <f t="shared" si="15"/>
        <v>75</v>
      </c>
      <c r="GA105" s="67"/>
      <c r="GB105" s="67"/>
      <c r="GC105" s="67"/>
      <c r="GD105" s="67"/>
      <c r="GE105" s="67"/>
      <c r="GF105" s="67"/>
      <c r="GG105" s="67"/>
      <c r="GH105" s="67"/>
      <c r="GI105" s="67"/>
      <c r="GJ105" s="67">
        <f t="shared" si="16"/>
        <v>75</v>
      </c>
      <c r="GK105" s="67">
        <f t="shared" si="17"/>
        <v>0</v>
      </c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</row>
    <row r="106" spans="1:212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FY106" s="68" t="s">
        <v>209</v>
      </c>
      <c r="FZ106" s="67">
        <f t="shared" si="15"/>
        <v>76</v>
      </c>
      <c r="GA106" s="67"/>
      <c r="GB106" s="67"/>
      <c r="GC106" s="67"/>
      <c r="GD106" s="67"/>
      <c r="GE106" s="67"/>
      <c r="GF106" s="67"/>
      <c r="GG106" s="67"/>
      <c r="GH106" s="67"/>
      <c r="GI106" s="67"/>
      <c r="GJ106" s="67">
        <f t="shared" si="16"/>
        <v>76</v>
      </c>
      <c r="GK106" s="67">
        <f t="shared" si="17"/>
        <v>0</v>
      </c>
      <c r="GL106" s="67"/>
      <c r="GM106" s="67"/>
      <c r="GN106" s="67"/>
      <c r="GO106" s="67">
        <v>1</v>
      </c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</row>
    <row r="107" spans="1:212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FY107" s="68" t="s">
        <v>210</v>
      </c>
      <c r="FZ107" s="67">
        <f t="shared" si="15"/>
        <v>77</v>
      </c>
      <c r="GA107" s="67"/>
      <c r="GB107" s="67"/>
      <c r="GC107" s="67"/>
      <c r="GD107" s="67"/>
      <c r="GE107" s="67"/>
      <c r="GF107" s="67"/>
      <c r="GG107" s="67"/>
      <c r="GH107" s="67"/>
      <c r="GI107" s="67"/>
      <c r="GJ107" s="67">
        <f t="shared" si="16"/>
        <v>77</v>
      </c>
      <c r="GK107" s="67">
        <f t="shared" si="17"/>
        <v>0</v>
      </c>
      <c r="GL107" s="67"/>
      <c r="GM107" s="67"/>
      <c r="GN107" s="67"/>
      <c r="GO107" s="67"/>
      <c r="GP107" s="67">
        <v>1</v>
      </c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</row>
    <row r="108" spans="1:212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FY108" s="68" t="s">
        <v>211</v>
      </c>
      <c r="FZ108" s="67">
        <f t="shared" si="15"/>
        <v>78</v>
      </c>
      <c r="GA108" s="67"/>
      <c r="GB108" s="67"/>
      <c r="GC108" s="67"/>
      <c r="GD108" s="67"/>
      <c r="GE108" s="67"/>
      <c r="GF108" s="67"/>
      <c r="GG108" s="67"/>
      <c r="GH108" s="67"/>
      <c r="GI108" s="67"/>
      <c r="GJ108" s="67">
        <f t="shared" si="16"/>
        <v>78</v>
      </c>
      <c r="GK108" s="67">
        <f t="shared" si="17"/>
        <v>0</v>
      </c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</row>
    <row r="109" spans="1:212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FY109" s="68" t="s">
        <v>212</v>
      </c>
      <c r="FZ109" s="67">
        <f t="shared" si="15"/>
        <v>79</v>
      </c>
      <c r="GA109" s="67"/>
      <c r="GB109" s="67"/>
      <c r="GC109" s="67"/>
      <c r="GD109" s="67"/>
      <c r="GE109" s="67"/>
      <c r="GF109" s="67"/>
      <c r="GG109" s="67"/>
      <c r="GH109" s="67"/>
      <c r="GI109" s="67"/>
      <c r="GJ109" s="67">
        <f t="shared" si="16"/>
        <v>79</v>
      </c>
      <c r="GK109" s="67">
        <f t="shared" si="17"/>
        <v>0</v>
      </c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</row>
    <row r="110" spans="1:212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FY110" s="68" t="s">
        <v>213</v>
      </c>
      <c r="FZ110" s="67">
        <f t="shared" si="15"/>
        <v>80</v>
      </c>
      <c r="GA110" s="67"/>
      <c r="GB110" s="67"/>
      <c r="GC110" s="67"/>
      <c r="GD110" s="67"/>
      <c r="GE110" s="67"/>
      <c r="GF110" s="67"/>
      <c r="GG110" s="67"/>
      <c r="GH110" s="67"/>
      <c r="GI110" s="67"/>
      <c r="GJ110" s="67">
        <f t="shared" si="16"/>
        <v>80</v>
      </c>
      <c r="GK110" s="67">
        <f t="shared" si="17"/>
        <v>1</v>
      </c>
      <c r="GL110" s="67"/>
      <c r="GM110" s="67">
        <v>1</v>
      </c>
      <c r="GN110" s="67">
        <v>1</v>
      </c>
      <c r="GO110" s="67">
        <v>1</v>
      </c>
      <c r="GP110" s="67">
        <v>1</v>
      </c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</row>
    <row r="111" spans="1:212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FY111" s="68" t="s">
        <v>214</v>
      </c>
      <c r="FZ111" s="67">
        <f t="shared" si="15"/>
        <v>81</v>
      </c>
      <c r="GA111" s="67"/>
      <c r="GB111" s="67"/>
      <c r="GC111" s="67"/>
      <c r="GD111" s="67"/>
      <c r="GE111" s="67"/>
      <c r="GF111" s="67"/>
      <c r="GG111" s="67"/>
      <c r="GH111" s="67"/>
      <c r="GI111" s="67"/>
      <c r="GJ111" s="67">
        <f t="shared" si="16"/>
        <v>81</v>
      </c>
      <c r="GK111" s="67">
        <f t="shared" si="17"/>
        <v>0</v>
      </c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</row>
    <row r="112" spans="1:212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FY112" s="68" t="s">
        <v>215</v>
      </c>
      <c r="FZ112" s="67">
        <f t="shared" si="15"/>
        <v>82</v>
      </c>
      <c r="GA112" s="67"/>
      <c r="GB112" s="67"/>
      <c r="GC112" s="67"/>
      <c r="GD112" s="67"/>
      <c r="GE112" s="67"/>
      <c r="GF112" s="67"/>
      <c r="GG112" s="67"/>
      <c r="GH112" s="67"/>
      <c r="GI112" s="67"/>
      <c r="GJ112" s="67">
        <f t="shared" si="16"/>
        <v>82</v>
      </c>
      <c r="GK112" s="67">
        <f t="shared" si="17"/>
        <v>0</v>
      </c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</row>
    <row r="113" spans="1:212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FY113" s="68" t="s">
        <v>216</v>
      </c>
      <c r="FZ113" s="67">
        <f t="shared" si="15"/>
        <v>83</v>
      </c>
      <c r="GA113" s="67"/>
      <c r="GB113" s="67"/>
      <c r="GC113" s="67"/>
      <c r="GD113" s="67"/>
      <c r="GE113" s="67"/>
      <c r="GF113" s="67"/>
      <c r="GG113" s="67"/>
      <c r="GH113" s="67"/>
      <c r="GI113" s="67"/>
      <c r="GJ113" s="67">
        <f t="shared" si="16"/>
        <v>83</v>
      </c>
      <c r="GK113" s="67">
        <f t="shared" si="17"/>
        <v>0</v>
      </c>
      <c r="GL113" s="67"/>
      <c r="GM113" s="67"/>
      <c r="GN113" s="67"/>
      <c r="GO113" s="67"/>
      <c r="GP113" s="67">
        <v>1</v>
      </c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</row>
    <row r="114" spans="1:212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FY114" s="68" t="s">
        <v>217</v>
      </c>
      <c r="FZ114" s="67">
        <f t="shared" si="15"/>
        <v>84</v>
      </c>
      <c r="GA114" s="67"/>
      <c r="GB114" s="67"/>
      <c r="GC114" s="67"/>
      <c r="GD114" s="67"/>
      <c r="GE114" s="67"/>
      <c r="GF114" s="67"/>
      <c r="GG114" s="67"/>
      <c r="GH114" s="67"/>
      <c r="GI114" s="67"/>
      <c r="GJ114" s="67">
        <f t="shared" si="16"/>
        <v>84</v>
      </c>
      <c r="GK114" s="67">
        <f t="shared" si="17"/>
        <v>0</v>
      </c>
      <c r="GL114" s="67"/>
      <c r="GM114" s="67"/>
      <c r="GN114" s="67"/>
      <c r="GO114" s="67">
        <v>1</v>
      </c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</row>
    <row r="115" spans="1:212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FY115" s="68" t="s">
        <v>218</v>
      </c>
      <c r="FZ115" s="67">
        <f t="shared" si="15"/>
        <v>85</v>
      </c>
      <c r="GA115" s="67"/>
      <c r="GB115" s="67"/>
      <c r="GC115" s="67"/>
      <c r="GD115" s="67"/>
      <c r="GE115" s="67"/>
      <c r="GF115" s="67"/>
      <c r="GG115" s="67"/>
      <c r="GH115" s="67"/>
      <c r="GI115" s="67"/>
      <c r="GJ115" s="67">
        <f t="shared" si="16"/>
        <v>85</v>
      </c>
      <c r="GK115" s="67">
        <f t="shared" si="17"/>
        <v>0</v>
      </c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</row>
    <row r="116" spans="1:212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FY116" s="68" t="s">
        <v>219</v>
      </c>
      <c r="FZ116" s="67">
        <f t="shared" si="15"/>
        <v>86</v>
      </c>
      <c r="GA116" s="67"/>
      <c r="GB116" s="67"/>
      <c r="GC116" s="67"/>
      <c r="GD116" s="67"/>
      <c r="GE116" s="67"/>
      <c r="GF116" s="67"/>
      <c r="GG116" s="67"/>
      <c r="GH116" s="67"/>
      <c r="GI116" s="67"/>
      <c r="GJ116" s="67">
        <f t="shared" si="16"/>
        <v>86</v>
      </c>
      <c r="GK116" s="67">
        <f t="shared" si="17"/>
        <v>0</v>
      </c>
      <c r="GL116" s="67"/>
      <c r="GM116" s="67"/>
      <c r="GN116" s="67">
        <v>1</v>
      </c>
      <c r="GO116" s="67"/>
      <c r="GP116" s="67">
        <v>1</v>
      </c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</row>
    <row r="117" spans="1:212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FY117" s="68" t="s">
        <v>220</v>
      </c>
      <c r="FZ117" s="67">
        <f t="shared" si="15"/>
        <v>87</v>
      </c>
      <c r="GA117" s="67"/>
      <c r="GB117" s="67"/>
      <c r="GC117" s="67"/>
      <c r="GD117" s="67"/>
      <c r="GE117" s="67"/>
      <c r="GF117" s="67"/>
      <c r="GG117" s="67"/>
      <c r="GH117" s="67"/>
      <c r="GI117" s="67"/>
      <c r="GJ117" s="67">
        <f t="shared" si="16"/>
        <v>87</v>
      </c>
      <c r="GK117" s="67">
        <f t="shared" si="17"/>
        <v>0</v>
      </c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</row>
    <row r="118" spans="1:212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FY118" s="68" t="s">
        <v>221</v>
      </c>
      <c r="FZ118" s="67">
        <f t="shared" si="15"/>
        <v>88</v>
      </c>
      <c r="GA118" s="67"/>
      <c r="GB118" s="67"/>
      <c r="GC118" s="67"/>
      <c r="GD118" s="67"/>
      <c r="GE118" s="67"/>
      <c r="GF118" s="67"/>
      <c r="GG118" s="67"/>
      <c r="GH118" s="67"/>
      <c r="GI118" s="67"/>
      <c r="GJ118" s="67">
        <f t="shared" si="16"/>
        <v>88</v>
      </c>
      <c r="GK118" s="67">
        <f t="shared" si="17"/>
        <v>0</v>
      </c>
      <c r="GL118" s="67"/>
      <c r="GM118" s="67"/>
      <c r="GN118" s="67"/>
      <c r="GO118" s="67">
        <v>1</v>
      </c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</row>
    <row r="119" spans="1:212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FY119" s="68" t="s">
        <v>222</v>
      </c>
      <c r="FZ119" s="67">
        <f t="shared" si="15"/>
        <v>89</v>
      </c>
      <c r="GA119" s="67"/>
      <c r="GB119" s="67"/>
      <c r="GC119" s="67"/>
      <c r="GD119" s="67"/>
      <c r="GE119" s="67"/>
      <c r="GF119" s="67"/>
      <c r="GG119" s="67"/>
      <c r="GH119" s="67"/>
      <c r="GI119" s="67"/>
      <c r="GJ119" s="67">
        <f t="shared" si="16"/>
        <v>89</v>
      </c>
      <c r="GK119" s="67">
        <f t="shared" si="17"/>
        <v>0</v>
      </c>
      <c r="GL119" s="67"/>
      <c r="GM119" s="67"/>
      <c r="GN119" s="67"/>
      <c r="GO119" s="67"/>
      <c r="GP119" s="67">
        <v>1</v>
      </c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</row>
    <row r="120" spans="1:212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FY120" s="68" t="s">
        <v>223</v>
      </c>
      <c r="FZ120" s="67">
        <f t="shared" si="15"/>
        <v>90</v>
      </c>
      <c r="GA120" s="67"/>
      <c r="GB120" s="67"/>
      <c r="GC120" s="67"/>
      <c r="GD120" s="67"/>
      <c r="GE120" s="67"/>
      <c r="GF120" s="67"/>
      <c r="GG120" s="67"/>
      <c r="GH120" s="67"/>
      <c r="GI120" s="67"/>
      <c r="GJ120" s="67">
        <f t="shared" si="16"/>
        <v>90</v>
      </c>
      <c r="GK120" s="67">
        <f t="shared" si="17"/>
        <v>0</v>
      </c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</row>
    <row r="121" spans="1:212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FY121" s="68" t="s">
        <v>224</v>
      </c>
      <c r="FZ121" s="67">
        <f t="shared" si="15"/>
        <v>91</v>
      </c>
      <c r="GA121" s="67"/>
      <c r="GB121" s="67"/>
      <c r="GC121" s="67"/>
      <c r="GD121" s="67"/>
      <c r="GE121" s="67"/>
      <c r="GF121" s="67"/>
      <c r="GG121" s="67"/>
      <c r="GH121" s="67"/>
      <c r="GI121" s="67"/>
      <c r="GJ121" s="67">
        <f t="shared" si="16"/>
        <v>91</v>
      </c>
      <c r="GK121" s="67">
        <f t="shared" si="17"/>
        <v>0</v>
      </c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</row>
    <row r="122" spans="1:212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FY122" s="68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>
        <f t="shared" si="16"/>
        <v>92</v>
      </c>
      <c r="GK122" s="67">
        <f t="shared" si="17"/>
        <v>1</v>
      </c>
      <c r="GL122" s="67"/>
      <c r="GM122" s="67">
        <v>1</v>
      </c>
      <c r="GN122" s="67">
        <v>1</v>
      </c>
      <c r="GO122" s="67">
        <v>1</v>
      </c>
      <c r="GP122" s="67">
        <v>1</v>
      </c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</row>
    <row r="123" spans="1:212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FY123" s="68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>
        <f t="shared" si="16"/>
        <v>93</v>
      </c>
      <c r="GK123" s="67">
        <f t="shared" si="17"/>
        <v>0</v>
      </c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</row>
    <row r="124" spans="1:212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FY124" s="68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>
        <f t="shared" si="16"/>
        <v>94</v>
      </c>
      <c r="GK124" s="67">
        <f t="shared" si="17"/>
        <v>0</v>
      </c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</row>
    <row r="125" spans="1:212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FY125" s="68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>
        <f t="shared" si="16"/>
        <v>95</v>
      </c>
      <c r="GK125" s="67">
        <f t="shared" si="17"/>
        <v>0</v>
      </c>
      <c r="GL125" s="67"/>
      <c r="GM125" s="67"/>
      <c r="GN125" s="67"/>
      <c r="GO125" s="67"/>
      <c r="GP125" s="67">
        <v>1</v>
      </c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</row>
    <row r="126" spans="1:212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FY126" s="68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>
        <f t="shared" si="16"/>
        <v>96</v>
      </c>
      <c r="GK126" s="67">
        <f t="shared" si="17"/>
        <v>0</v>
      </c>
      <c r="GL126" s="67"/>
      <c r="GM126" s="67"/>
      <c r="GN126" s="67"/>
      <c r="GO126" s="67">
        <v>1</v>
      </c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</row>
    <row r="127" spans="1:212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FY127" s="68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>
        <f t="shared" si="16"/>
        <v>97</v>
      </c>
      <c r="GK127" s="67">
        <f t="shared" si="17"/>
        <v>0</v>
      </c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</row>
    <row r="128" spans="1:212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FY128" s="68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>
        <f t="shared" si="16"/>
        <v>98</v>
      </c>
      <c r="GK128" s="67">
        <f t="shared" si="17"/>
        <v>0</v>
      </c>
      <c r="GL128" s="67"/>
      <c r="GM128" s="67"/>
      <c r="GN128" s="67">
        <v>1</v>
      </c>
      <c r="GO128" s="67"/>
      <c r="GP128" s="67">
        <v>1</v>
      </c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</row>
    <row r="129" spans="1:212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FY129" s="68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>
        <f t="shared" si="16"/>
        <v>99</v>
      </c>
      <c r="GK129" s="67">
        <f t="shared" si="17"/>
        <v>0</v>
      </c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</row>
    <row r="130" spans="1:212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FY130" s="68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>
        <f t="shared" si="16"/>
        <v>100</v>
      </c>
      <c r="GK130" s="67">
        <f t="shared" si="17"/>
        <v>0</v>
      </c>
      <c r="GL130" s="67"/>
      <c r="GM130" s="67"/>
      <c r="GN130" s="67"/>
      <c r="GO130" s="67">
        <v>1</v>
      </c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</row>
    <row r="131" spans="1:212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FY131" s="68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>
        <f t="shared" si="16"/>
        <v>101</v>
      </c>
      <c r="GK131" s="67">
        <f t="shared" si="17"/>
        <v>0</v>
      </c>
      <c r="GL131" s="67"/>
      <c r="GM131" s="67"/>
      <c r="GN131" s="67"/>
      <c r="GO131" s="67"/>
      <c r="GP131" s="67">
        <v>1</v>
      </c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</row>
    <row r="132" spans="1:212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FY132" s="68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>
        <f aca="true" t="shared" si="18" ref="GJ132:GJ173">+GJ131+1</f>
        <v>102</v>
      </c>
      <c r="GK132" s="67">
        <f t="shared" si="17"/>
        <v>0</v>
      </c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</row>
    <row r="133" spans="1:212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FY133" s="68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>
        <f t="shared" si="18"/>
        <v>103</v>
      </c>
      <c r="GK133" s="67">
        <f aca="true" t="shared" si="19" ref="GK133:GK173">+IF($C$8=$GM$1,GM133,IF($C$8=$GN$1,GN133,IF($C$8=$GO$1,GO133,IF($C$8=$GP$1,GP133,0))))</f>
        <v>0</v>
      </c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</row>
    <row r="134" spans="1:212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FY134" s="68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>
        <f t="shared" si="18"/>
        <v>104</v>
      </c>
      <c r="GK134" s="67">
        <f t="shared" si="19"/>
        <v>1</v>
      </c>
      <c r="GL134" s="67"/>
      <c r="GM134" s="67">
        <v>1</v>
      </c>
      <c r="GN134" s="67">
        <v>1</v>
      </c>
      <c r="GO134" s="67">
        <v>1</v>
      </c>
      <c r="GP134" s="67">
        <v>1</v>
      </c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</row>
    <row r="135" spans="1:212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FY135" s="68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>
        <f t="shared" si="18"/>
        <v>105</v>
      </c>
      <c r="GK135" s="67">
        <f t="shared" si="19"/>
        <v>0</v>
      </c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</row>
    <row r="136" spans="1:212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FY136" s="68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>
        <f t="shared" si="18"/>
        <v>106</v>
      </c>
      <c r="GK136" s="67">
        <f t="shared" si="19"/>
        <v>0</v>
      </c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</row>
    <row r="137" spans="1:212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FY137" s="68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>
        <f t="shared" si="18"/>
        <v>107</v>
      </c>
      <c r="GK137" s="67">
        <f t="shared" si="19"/>
        <v>0</v>
      </c>
      <c r="GL137" s="67"/>
      <c r="GM137" s="67"/>
      <c r="GN137" s="67"/>
      <c r="GO137" s="67"/>
      <c r="GP137" s="67">
        <v>1</v>
      </c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</row>
    <row r="138" spans="1:212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FY138" s="68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>
        <f t="shared" si="18"/>
        <v>108</v>
      </c>
      <c r="GK138" s="67">
        <f t="shared" si="19"/>
        <v>0</v>
      </c>
      <c r="GL138" s="67"/>
      <c r="GM138" s="67"/>
      <c r="GN138" s="67"/>
      <c r="GO138" s="67">
        <v>1</v>
      </c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</row>
    <row r="139" spans="1:212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FY139" s="68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>
        <f t="shared" si="18"/>
        <v>109</v>
      </c>
      <c r="GK139" s="67">
        <f t="shared" si="19"/>
        <v>0</v>
      </c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</row>
    <row r="140" spans="1:212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FY140" s="68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>
        <f t="shared" si="18"/>
        <v>110</v>
      </c>
      <c r="GK140" s="67">
        <f t="shared" si="19"/>
        <v>0</v>
      </c>
      <c r="GL140" s="67"/>
      <c r="GM140" s="67"/>
      <c r="GN140" s="67">
        <v>1</v>
      </c>
      <c r="GO140" s="67"/>
      <c r="GP140" s="67">
        <v>1</v>
      </c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</row>
    <row r="141" spans="1:212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FY141" s="68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>
        <f t="shared" si="18"/>
        <v>111</v>
      </c>
      <c r="GK141" s="67">
        <f t="shared" si="19"/>
        <v>0</v>
      </c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</row>
    <row r="142" spans="1:212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FY142" s="68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>
        <f t="shared" si="18"/>
        <v>112</v>
      </c>
      <c r="GK142" s="67">
        <f t="shared" si="19"/>
        <v>0</v>
      </c>
      <c r="GL142" s="67"/>
      <c r="GM142" s="67"/>
      <c r="GN142" s="67"/>
      <c r="GO142" s="67">
        <v>1</v>
      </c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</row>
    <row r="143" spans="1:212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FY143" s="68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>
        <f t="shared" si="18"/>
        <v>113</v>
      </c>
      <c r="GK143" s="67">
        <f t="shared" si="19"/>
        <v>0</v>
      </c>
      <c r="GL143" s="67"/>
      <c r="GM143" s="67"/>
      <c r="GN143" s="67"/>
      <c r="GO143" s="67"/>
      <c r="GP143" s="67">
        <v>1</v>
      </c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</row>
    <row r="144" spans="1:212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FY144" s="68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>
        <f t="shared" si="18"/>
        <v>114</v>
      </c>
      <c r="GK144" s="67">
        <f t="shared" si="19"/>
        <v>0</v>
      </c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</row>
    <row r="145" spans="1:212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FY145" s="68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>
        <f t="shared" si="18"/>
        <v>115</v>
      </c>
      <c r="GK145" s="67">
        <f t="shared" si="19"/>
        <v>0</v>
      </c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</row>
    <row r="146" spans="1:212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FY146" s="68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>
        <f t="shared" si="18"/>
        <v>116</v>
      </c>
      <c r="GK146" s="67">
        <f t="shared" si="19"/>
        <v>1</v>
      </c>
      <c r="GL146" s="67"/>
      <c r="GM146" s="67">
        <v>1</v>
      </c>
      <c r="GN146" s="67">
        <v>1</v>
      </c>
      <c r="GO146" s="67">
        <v>1</v>
      </c>
      <c r="GP146" s="67">
        <v>1</v>
      </c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</row>
    <row r="147" spans="1:212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FY147" s="68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>
        <f t="shared" si="18"/>
        <v>117</v>
      </c>
      <c r="GK147" s="67">
        <f t="shared" si="19"/>
        <v>0</v>
      </c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</row>
    <row r="148" spans="1:212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FY148" s="68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>
        <f t="shared" si="18"/>
        <v>118</v>
      </c>
      <c r="GK148" s="67">
        <f t="shared" si="19"/>
        <v>0</v>
      </c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</row>
    <row r="149" spans="1:212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FY149" s="68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>
        <f t="shared" si="18"/>
        <v>119</v>
      </c>
      <c r="GK149" s="67">
        <f t="shared" si="19"/>
        <v>0</v>
      </c>
      <c r="GL149" s="67"/>
      <c r="GM149" s="67"/>
      <c r="GN149" s="67"/>
      <c r="GO149" s="67"/>
      <c r="GP149" s="67">
        <v>1</v>
      </c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</row>
    <row r="150" spans="1:212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FY150" s="68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>
        <f t="shared" si="18"/>
        <v>120</v>
      </c>
      <c r="GK150" s="67">
        <f t="shared" si="19"/>
        <v>0</v>
      </c>
      <c r="GL150" s="67"/>
      <c r="GM150" s="67"/>
      <c r="GN150" s="67"/>
      <c r="GO150" s="67">
        <v>1</v>
      </c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</row>
    <row r="151" spans="1:212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FY151" s="68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>
        <f t="shared" si="18"/>
        <v>121</v>
      </c>
      <c r="GK151" s="67">
        <f t="shared" si="19"/>
        <v>0</v>
      </c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</row>
    <row r="152" spans="1:212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FY152" s="68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>
        <f t="shared" si="18"/>
        <v>122</v>
      </c>
      <c r="GK152" s="67">
        <f t="shared" si="19"/>
        <v>0</v>
      </c>
      <c r="GL152" s="67"/>
      <c r="GM152" s="67"/>
      <c r="GN152" s="67">
        <v>1</v>
      </c>
      <c r="GO152" s="67"/>
      <c r="GP152" s="67">
        <v>1</v>
      </c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</row>
    <row r="153" spans="1:212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FY153" s="68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>
        <f t="shared" si="18"/>
        <v>123</v>
      </c>
      <c r="GK153" s="67">
        <f t="shared" si="19"/>
        <v>0</v>
      </c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</row>
    <row r="154" spans="1:212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FY154" s="68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>
        <f t="shared" si="18"/>
        <v>124</v>
      </c>
      <c r="GK154" s="67">
        <f t="shared" si="19"/>
        <v>0</v>
      </c>
      <c r="GL154" s="67"/>
      <c r="GM154" s="67"/>
      <c r="GN154" s="67"/>
      <c r="GO154" s="67">
        <v>1</v>
      </c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</row>
    <row r="155" spans="1:212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FY155" s="68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>
        <f t="shared" si="18"/>
        <v>125</v>
      </c>
      <c r="GK155" s="67">
        <f t="shared" si="19"/>
        <v>0</v>
      </c>
      <c r="GL155" s="67"/>
      <c r="GM155" s="67"/>
      <c r="GN155" s="67"/>
      <c r="GO155" s="67"/>
      <c r="GP155" s="67">
        <v>1</v>
      </c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</row>
    <row r="156" spans="1:212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FY156" s="68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>
        <f t="shared" si="18"/>
        <v>126</v>
      </c>
      <c r="GK156" s="67">
        <f t="shared" si="19"/>
        <v>0</v>
      </c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</row>
    <row r="157" spans="1:212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FY157" s="68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>
        <f t="shared" si="18"/>
        <v>127</v>
      </c>
      <c r="GK157" s="67">
        <f t="shared" si="19"/>
        <v>0</v>
      </c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</row>
    <row r="158" spans="1:212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FY158" s="68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>
        <f t="shared" si="18"/>
        <v>128</v>
      </c>
      <c r="GK158" s="67">
        <f t="shared" si="19"/>
        <v>1</v>
      </c>
      <c r="GL158" s="67"/>
      <c r="GM158" s="67">
        <v>1</v>
      </c>
      <c r="GN158" s="67">
        <v>1</v>
      </c>
      <c r="GO158" s="67">
        <v>1</v>
      </c>
      <c r="GP158" s="67">
        <v>1</v>
      </c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</row>
    <row r="159" spans="1:212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FY159" s="68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>
        <f t="shared" si="18"/>
        <v>129</v>
      </c>
      <c r="GK159" s="67">
        <f t="shared" si="19"/>
        <v>0</v>
      </c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</row>
    <row r="160" spans="1:212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FY160" s="68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>
        <f t="shared" si="18"/>
        <v>130</v>
      </c>
      <c r="GK160" s="67">
        <f t="shared" si="19"/>
        <v>0</v>
      </c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</row>
    <row r="161" spans="1:212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FY161" s="68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>
        <f t="shared" si="18"/>
        <v>131</v>
      </c>
      <c r="GK161" s="67">
        <f t="shared" si="19"/>
        <v>0</v>
      </c>
      <c r="GL161" s="67"/>
      <c r="GM161" s="67"/>
      <c r="GN161" s="67"/>
      <c r="GO161" s="67"/>
      <c r="GP161" s="67">
        <v>1</v>
      </c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</row>
    <row r="162" spans="1:212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FY162" s="68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>
        <f t="shared" si="18"/>
        <v>132</v>
      </c>
      <c r="GK162" s="67">
        <f t="shared" si="19"/>
        <v>0</v>
      </c>
      <c r="GL162" s="67"/>
      <c r="GM162" s="67"/>
      <c r="GN162" s="67"/>
      <c r="GO162" s="67">
        <v>1</v>
      </c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</row>
    <row r="163" spans="1:212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FY163" s="68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>
        <f t="shared" si="18"/>
        <v>133</v>
      </c>
      <c r="GK163" s="67">
        <f t="shared" si="19"/>
        <v>0</v>
      </c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</row>
    <row r="164" spans="1:212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FY164" s="68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>
        <f t="shared" si="18"/>
        <v>134</v>
      </c>
      <c r="GK164" s="67">
        <f t="shared" si="19"/>
        <v>0</v>
      </c>
      <c r="GL164" s="67"/>
      <c r="GM164" s="67"/>
      <c r="GN164" s="67">
        <v>1</v>
      </c>
      <c r="GO164" s="67"/>
      <c r="GP164" s="67">
        <v>1</v>
      </c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</row>
    <row r="165" spans="1:212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FY165" s="68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>
        <f t="shared" si="18"/>
        <v>135</v>
      </c>
      <c r="GK165" s="67">
        <f t="shared" si="19"/>
        <v>0</v>
      </c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</row>
    <row r="166" spans="1:212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FY166" s="68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>
        <f t="shared" si="18"/>
        <v>136</v>
      </c>
      <c r="GK166" s="67">
        <f t="shared" si="19"/>
        <v>0</v>
      </c>
      <c r="GL166" s="67"/>
      <c r="GM166" s="67"/>
      <c r="GN166" s="67"/>
      <c r="GO166" s="67">
        <v>1</v>
      </c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</row>
    <row r="167" spans="1:212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FY167" s="68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>
        <f t="shared" si="18"/>
        <v>137</v>
      </c>
      <c r="GK167" s="67">
        <f t="shared" si="19"/>
        <v>0</v>
      </c>
      <c r="GL167" s="67"/>
      <c r="GM167" s="67"/>
      <c r="GN167" s="67"/>
      <c r="GO167" s="67"/>
      <c r="GP167" s="67">
        <v>1</v>
      </c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</row>
    <row r="168" spans="1:212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FY168" s="68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>
        <f t="shared" si="18"/>
        <v>138</v>
      </c>
      <c r="GK168" s="67">
        <f t="shared" si="19"/>
        <v>0</v>
      </c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</row>
    <row r="169" spans="1:212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FY169" s="68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>
        <f t="shared" si="18"/>
        <v>139</v>
      </c>
      <c r="GK169" s="67">
        <f t="shared" si="19"/>
        <v>0</v>
      </c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</row>
    <row r="170" spans="1:212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FY170" s="68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>
        <f t="shared" si="18"/>
        <v>140</v>
      </c>
      <c r="GK170" s="67">
        <f t="shared" si="19"/>
        <v>1</v>
      </c>
      <c r="GL170" s="67"/>
      <c r="GM170" s="67">
        <v>1</v>
      </c>
      <c r="GN170" s="67">
        <v>1</v>
      </c>
      <c r="GO170" s="67">
        <v>1</v>
      </c>
      <c r="GP170" s="67">
        <v>1</v>
      </c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</row>
    <row r="171" spans="1:212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FY171" s="68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>
        <f t="shared" si="18"/>
        <v>141</v>
      </c>
      <c r="GK171" s="67">
        <f t="shared" si="19"/>
        <v>0</v>
      </c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</row>
    <row r="172" spans="1:212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FY172" s="68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>
        <f t="shared" si="18"/>
        <v>142</v>
      </c>
      <c r="GK172" s="67">
        <f t="shared" si="19"/>
        <v>0</v>
      </c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</row>
    <row r="173" spans="1:212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FY173" s="68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>
        <f t="shared" si="18"/>
        <v>143</v>
      </c>
      <c r="GK173" s="67">
        <f t="shared" si="19"/>
        <v>0</v>
      </c>
      <c r="GL173" s="67"/>
      <c r="GM173" s="67"/>
      <c r="GN173" s="67"/>
      <c r="GO173" s="67"/>
      <c r="GP173" s="67">
        <v>1</v>
      </c>
      <c r="GQ173" s="67"/>
      <c r="GR173" s="67"/>
      <c r="GS173" s="67"/>
      <c r="GT173" s="67"/>
      <c r="GU173" s="67"/>
      <c r="GV173" s="67"/>
      <c r="GW173" s="67"/>
      <c r="GX173" s="67"/>
      <c r="GY173" s="67"/>
      <c r="GZ173" s="67"/>
      <c r="HA173" s="67"/>
      <c r="HB173" s="67"/>
      <c r="HC173" s="67"/>
      <c r="HD173" s="67"/>
    </row>
    <row r="174" spans="1:212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FY174" s="68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>
        <v>1</v>
      </c>
      <c r="GP174" s="67"/>
      <c r="GQ174" s="67"/>
      <c r="GR174" s="67"/>
      <c r="GS174" s="67"/>
      <c r="GT174" s="67"/>
      <c r="GU174" s="67"/>
      <c r="GV174" s="67"/>
      <c r="GW174" s="67"/>
      <c r="GX174" s="67"/>
      <c r="GY174" s="67"/>
      <c r="GZ174" s="67"/>
      <c r="HA174" s="67"/>
      <c r="HB174" s="67"/>
      <c r="HC174" s="67"/>
      <c r="HD174" s="67"/>
    </row>
    <row r="175" spans="1:212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FY175" s="68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</row>
    <row r="176" spans="1:212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FY176" s="68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>
        <v>1</v>
      </c>
      <c r="GO176" s="67"/>
      <c r="GP176" s="67">
        <v>1</v>
      </c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</row>
    <row r="177" spans="1:212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FY177" s="68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</row>
    <row r="178" spans="1:212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FY178" s="68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67"/>
      <c r="GL178" s="67"/>
      <c r="GM178" s="67"/>
      <c r="GN178" s="67"/>
      <c r="GO178" s="67">
        <v>1</v>
      </c>
      <c r="GP178" s="67"/>
      <c r="GQ178" s="67"/>
      <c r="GR178" s="67"/>
      <c r="GS178" s="67"/>
      <c r="GT178" s="67"/>
      <c r="GU178" s="67"/>
      <c r="GV178" s="67"/>
      <c r="GW178" s="67"/>
      <c r="GX178" s="67"/>
      <c r="GY178" s="67"/>
      <c r="GZ178" s="67"/>
      <c r="HA178" s="67"/>
      <c r="HB178" s="67"/>
      <c r="HC178" s="67"/>
      <c r="HD178" s="67"/>
    </row>
    <row r="179" spans="1:212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FY179" s="68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>
        <v>1</v>
      </c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</row>
    <row r="180" spans="1:212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FY180" s="68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  <c r="GX180" s="67"/>
      <c r="GY180" s="67"/>
      <c r="GZ180" s="67"/>
      <c r="HA180" s="67"/>
      <c r="HB180" s="67"/>
      <c r="HC180" s="67"/>
      <c r="HD180" s="67"/>
    </row>
    <row r="181" spans="1:212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FY181" s="68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</row>
    <row r="182" spans="1:212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FY182" s="68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>
        <v>1</v>
      </c>
      <c r="GN182" s="67">
        <v>1</v>
      </c>
      <c r="GO182" s="67">
        <v>1</v>
      </c>
      <c r="GP182" s="67">
        <v>1</v>
      </c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</row>
    <row r="183" spans="1:212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FY183" s="68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>
        <v>1</v>
      </c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</row>
    <row r="184" spans="1:212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FY184" s="68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>
        <v>1</v>
      </c>
      <c r="GN184" s="67">
        <v>1</v>
      </c>
      <c r="GO184" s="67"/>
      <c r="GP184" s="67"/>
      <c r="GQ184" s="67"/>
      <c r="GR184" s="67"/>
      <c r="GS184" s="67"/>
      <c r="GT184" s="67"/>
      <c r="GU184" s="67"/>
      <c r="GV184" s="67"/>
      <c r="GW184" s="67"/>
      <c r="GX184" s="67"/>
      <c r="GY184" s="67"/>
      <c r="GZ184" s="67"/>
      <c r="HA184" s="67"/>
      <c r="HB184" s="67"/>
      <c r="HC184" s="67"/>
      <c r="HD184" s="67"/>
    </row>
    <row r="185" spans="1:212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FY185" s="68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>
        <v>1</v>
      </c>
      <c r="GN185" s="67"/>
      <c r="GO185" s="67">
        <v>1</v>
      </c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</row>
    <row r="186" spans="1:212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FY186" s="68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>
        <v>1</v>
      </c>
      <c r="GN186" s="67">
        <v>1</v>
      </c>
      <c r="GO186" s="67"/>
      <c r="GP186" s="67">
        <v>1</v>
      </c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</row>
    <row r="187" spans="1:212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FY187" s="68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>
        <v>1</v>
      </c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</row>
    <row r="188" spans="1:212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FY188" s="68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>
        <v>1</v>
      </c>
      <c r="GN188" s="67">
        <v>1</v>
      </c>
      <c r="GO188" s="67">
        <v>1</v>
      </c>
      <c r="GP188" s="67"/>
      <c r="GQ188" s="67"/>
      <c r="GR188" s="67"/>
      <c r="GS188" s="67"/>
      <c r="GT188" s="67"/>
      <c r="GU188" s="67"/>
      <c r="GV188" s="67"/>
      <c r="GW188" s="67"/>
      <c r="GX188" s="67"/>
      <c r="GY188" s="67"/>
      <c r="GZ188" s="67"/>
      <c r="HA188" s="67"/>
      <c r="HB188" s="67"/>
      <c r="HC188" s="67"/>
      <c r="HD188" s="67"/>
    </row>
    <row r="189" spans="1:212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FY189" s="68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>
        <v>1</v>
      </c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</row>
    <row r="190" spans="1:212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FY190" s="68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>
        <v>1</v>
      </c>
      <c r="GN190" s="67">
        <v>1</v>
      </c>
      <c r="GO190" s="67"/>
      <c r="GP190" s="67">
        <v>1</v>
      </c>
      <c r="GQ190" s="67"/>
      <c r="GR190" s="67"/>
      <c r="GS190" s="67"/>
      <c r="GT190" s="67"/>
      <c r="GU190" s="67"/>
      <c r="GV190" s="67"/>
      <c r="GW190" s="67"/>
      <c r="GX190" s="67"/>
      <c r="GY190" s="67"/>
      <c r="GZ190" s="67"/>
      <c r="HA190" s="67"/>
      <c r="HB190" s="67"/>
      <c r="HC190" s="67"/>
      <c r="HD190" s="67"/>
    </row>
    <row r="191" spans="1:212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FY191" s="68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>
        <v>1</v>
      </c>
      <c r="GN191" s="67"/>
      <c r="GO191" s="67">
        <v>1</v>
      </c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</row>
    <row r="192" spans="1:212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FY192" s="68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>
        <v>1</v>
      </c>
      <c r="GN192" s="67">
        <v>1</v>
      </c>
      <c r="GO192" s="67"/>
      <c r="GP192" s="67"/>
      <c r="GQ192" s="67"/>
      <c r="GR192" s="67"/>
      <c r="GS192" s="67"/>
      <c r="GT192" s="67"/>
      <c r="GU192" s="67"/>
      <c r="GV192" s="67"/>
      <c r="GW192" s="67"/>
      <c r="GX192" s="67"/>
      <c r="GY192" s="67"/>
      <c r="GZ192" s="67"/>
      <c r="HA192" s="67"/>
      <c r="HB192" s="67"/>
      <c r="HC192" s="67"/>
      <c r="HD192" s="67"/>
    </row>
    <row r="193" spans="1:212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FY193" s="68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>
        <v>1</v>
      </c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</row>
    <row r="194" spans="1:212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FY194" s="68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>
        <v>1</v>
      </c>
      <c r="GN194" s="67">
        <v>1</v>
      </c>
      <c r="GO194" s="67">
        <v>1</v>
      </c>
      <c r="GP194" s="67">
        <v>1</v>
      </c>
      <c r="GQ194" s="67"/>
      <c r="GR194" s="67"/>
      <c r="GS194" s="67"/>
      <c r="GT194" s="67"/>
      <c r="GU194" s="67"/>
      <c r="GV194" s="67"/>
      <c r="GW194" s="67"/>
      <c r="GX194" s="67"/>
      <c r="GY194" s="67"/>
      <c r="GZ194" s="67"/>
      <c r="HA194" s="67"/>
      <c r="HB194" s="67"/>
      <c r="HC194" s="67"/>
      <c r="HD194" s="67"/>
    </row>
    <row r="195" spans="1:212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FY195" s="68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>
        <v>1</v>
      </c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</row>
    <row r="196" spans="1:212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FY196" s="68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>
        <v>1</v>
      </c>
      <c r="GN196" s="67">
        <v>1</v>
      </c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</row>
    <row r="197" spans="1:212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FY197" s="68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>
        <v>1</v>
      </c>
      <c r="GN197" s="67"/>
      <c r="GO197" s="67">
        <v>1</v>
      </c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</row>
    <row r="198" spans="1:212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FY198" s="68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>
        <v>1</v>
      </c>
      <c r="GN198" s="67">
        <v>1</v>
      </c>
      <c r="GO198" s="67"/>
      <c r="GP198" s="67">
        <v>1</v>
      </c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</row>
    <row r="199" spans="1:212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FY199" s="68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>
        <v>1</v>
      </c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</row>
    <row r="200" spans="1:212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FY200" s="68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>
        <v>1</v>
      </c>
      <c r="GN200" s="67">
        <v>1</v>
      </c>
      <c r="GO200" s="67">
        <v>1</v>
      </c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</row>
    <row r="201" spans="1:212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FY201" s="68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>
        <v>1</v>
      </c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  <c r="GX201" s="67"/>
      <c r="GY201" s="67"/>
      <c r="GZ201" s="67"/>
      <c r="HA201" s="67"/>
      <c r="HB201" s="67"/>
      <c r="HC201" s="67"/>
      <c r="HD201" s="67"/>
    </row>
    <row r="202" spans="1:212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FY202" s="68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>
        <v>1</v>
      </c>
      <c r="GN202" s="67">
        <v>1</v>
      </c>
      <c r="GO202" s="67"/>
      <c r="GP202" s="67">
        <v>1</v>
      </c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</row>
    <row r="203" spans="1:212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FY203" s="68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>
        <v>1</v>
      </c>
      <c r="GN203" s="67"/>
      <c r="GO203" s="67">
        <v>1</v>
      </c>
      <c r="GP203" s="67"/>
      <c r="GQ203" s="67"/>
      <c r="GR203" s="67"/>
      <c r="GS203" s="67"/>
      <c r="GT203" s="67"/>
      <c r="GU203" s="67"/>
      <c r="GV203" s="67"/>
      <c r="GW203" s="67"/>
      <c r="GX203" s="67"/>
      <c r="GY203" s="67"/>
      <c r="GZ203" s="67"/>
      <c r="HA203" s="67"/>
      <c r="HB203" s="67"/>
      <c r="HC203" s="67"/>
      <c r="HD203" s="67"/>
    </row>
    <row r="204" spans="1:212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FY204" s="68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>
        <v>1</v>
      </c>
      <c r="GN204" s="67">
        <v>1</v>
      </c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</row>
    <row r="205" spans="1:212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FY205" s="68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>
        <v>1</v>
      </c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  <c r="GX205" s="67"/>
      <c r="GY205" s="67"/>
      <c r="GZ205" s="67"/>
      <c r="HA205" s="67"/>
      <c r="HB205" s="67"/>
      <c r="HC205" s="67"/>
      <c r="HD205" s="67"/>
    </row>
    <row r="206" spans="1:212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FY206" s="68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>
        <v>1</v>
      </c>
      <c r="GN206" s="67">
        <v>1</v>
      </c>
      <c r="GO206" s="67">
        <v>1</v>
      </c>
      <c r="GP206" s="67">
        <v>1</v>
      </c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</row>
    <row r="207" spans="1:212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FY207" s="68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>
        <v>1</v>
      </c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</row>
    <row r="208" spans="1:212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FY208" s="68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>
        <v>1</v>
      </c>
      <c r="GN208" s="67">
        <v>1</v>
      </c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</row>
    <row r="209" spans="1:212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FY209" s="68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>
        <v>1</v>
      </c>
      <c r="GN209" s="67"/>
      <c r="GO209" s="67">
        <v>1</v>
      </c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</row>
    <row r="210" spans="1:212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FY210" s="68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>
        <v>1</v>
      </c>
      <c r="GN210" s="67">
        <v>1</v>
      </c>
      <c r="GO210" s="67"/>
      <c r="GP210" s="67">
        <v>1</v>
      </c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</row>
    <row r="211" spans="1:212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FY211" s="68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>
        <v>1</v>
      </c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</row>
    <row r="212" spans="1:212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FY212" s="68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>
        <v>1</v>
      </c>
      <c r="GN212" s="67">
        <v>1</v>
      </c>
      <c r="GO212" s="67">
        <v>1</v>
      </c>
      <c r="GP212" s="67"/>
      <c r="GQ212" s="67"/>
      <c r="GR212" s="67"/>
      <c r="GS212" s="67"/>
      <c r="GT212" s="67"/>
      <c r="GU212" s="67"/>
      <c r="GV212" s="67"/>
      <c r="GW212" s="67"/>
      <c r="GX212" s="67"/>
      <c r="GY212" s="67"/>
      <c r="GZ212" s="67"/>
      <c r="HA212" s="67"/>
      <c r="HB212" s="67"/>
      <c r="HC212" s="67"/>
      <c r="HD212" s="67"/>
    </row>
    <row r="213" spans="1:212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FY213" s="68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>
        <v>1</v>
      </c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</row>
    <row r="214" spans="1:212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FY214" s="68"/>
      <c r="FZ214" s="67"/>
      <c r="GA214" s="67"/>
      <c r="GB214" s="67"/>
      <c r="GC214" s="67"/>
      <c r="GD214" s="67"/>
      <c r="GE214" s="67"/>
      <c r="GF214" s="67"/>
      <c r="GG214" s="67"/>
      <c r="GH214" s="67"/>
      <c r="GI214" s="67"/>
      <c r="GJ214" s="67"/>
      <c r="GK214" s="67"/>
      <c r="GL214" s="67"/>
      <c r="GM214" s="67">
        <v>1</v>
      </c>
      <c r="GN214" s="67">
        <v>1</v>
      </c>
      <c r="GO214" s="67"/>
      <c r="GP214" s="67">
        <v>1</v>
      </c>
      <c r="GQ214" s="67"/>
      <c r="GR214" s="67"/>
      <c r="GS214" s="67"/>
      <c r="GT214" s="67"/>
      <c r="GU214" s="67"/>
      <c r="GV214" s="67"/>
      <c r="GW214" s="67"/>
      <c r="GX214" s="67"/>
      <c r="GY214" s="67"/>
      <c r="GZ214" s="67"/>
      <c r="HA214" s="67"/>
      <c r="HB214" s="67"/>
      <c r="HC214" s="67"/>
      <c r="HD214" s="67"/>
    </row>
    <row r="215" spans="1:212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FY215" s="68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>
        <v>1</v>
      </c>
      <c r="GN215" s="67"/>
      <c r="GO215" s="67">
        <v>1</v>
      </c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</row>
    <row r="216" spans="1:212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FY216" s="68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>
        <v>1</v>
      </c>
      <c r="GN216" s="67">
        <v>1</v>
      </c>
      <c r="GO216" s="67"/>
      <c r="GP216" s="67"/>
      <c r="GQ216" s="67"/>
      <c r="GR216" s="67"/>
      <c r="GS216" s="67"/>
      <c r="GT216" s="67"/>
      <c r="GU216" s="67"/>
      <c r="GV216" s="67"/>
      <c r="GW216" s="67"/>
      <c r="GX216" s="67"/>
      <c r="GY216" s="67"/>
      <c r="GZ216" s="67"/>
      <c r="HA216" s="67"/>
      <c r="HB216" s="67"/>
      <c r="HC216" s="67"/>
      <c r="HD216" s="67"/>
    </row>
    <row r="217" spans="1:212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FY217" s="68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>
        <v>1</v>
      </c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</row>
    <row r="218" spans="1:212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FY218" s="68"/>
      <c r="FZ218" s="67"/>
      <c r="GA218" s="67"/>
      <c r="GB218" s="67"/>
      <c r="GC218" s="67"/>
      <c r="GD218" s="67"/>
      <c r="GE218" s="67"/>
      <c r="GF218" s="67"/>
      <c r="GG218" s="67"/>
      <c r="GH218" s="67"/>
      <c r="GI218" s="67"/>
      <c r="GJ218" s="67"/>
      <c r="GK218" s="67"/>
      <c r="GL218" s="67"/>
      <c r="GM218" s="67">
        <v>1</v>
      </c>
      <c r="GN218" s="67">
        <v>1</v>
      </c>
      <c r="GO218" s="67">
        <v>1</v>
      </c>
      <c r="GP218" s="67">
        <v>1</v>
      </c>
      <c r="GQ218" s="67"/>
      <c r="GR218" s="67"/>
      <c r="GS218" s="67"/>
      <c r="GT218" s="67"/>
      <c r="GU218" s="67"/>
      <c r="GV218" s="67"/>
      <c r="GW218" s="67"/>
      <c r="GX218" s="67"/>
      <c r="GY218" s="67"/>
      <c r="GZ218" s="67"/>
      <c r="HA218" s="67"/>
      <c r="HB218" s="67"/>
      <c r="HC218" s="67"/>
      <c r="HD218" s="67"/>
    </row>
    <row r="219" spans="1:212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FY219" s="68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>
        <v>1</v>
      </c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</row>
    <row r="220" spans="1:212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FY220" s="68"/>
      <c r="FZ220" s="67"/>
      <c r="GA220" s="67"/>
      <c r="GB220" s="67"/>
      <c r="GC220" s="67"/>
      <c r="GD220" s="67"/>
      <c r="GE220" s="67"/>
      <c r="GF220" s="67"/>
      <c r="GG220" s="67"/>
      <c r="GH220" s="67"/>
      <c r="GI220" s="67"/>
      <c r="GJ220" s="67"/>
      <c r="GK220" s="67"/>
      <c r="GL220" s="67"/>
      <c r="GM220" s="67">
        <v>1</v>
      </c>
      <c r="GN220" s="67">
        <v>1</v>
      </c>
      <c r="GO220" s="67"/>
      <c r="GP220" s="67"/>
      <c r="GQ220" s="67"/>
      <c r="GR220" s="67"/>
      <c r="GS220" s="67"/>
      <c r="GT220" s="67"/>
      <c r="GU220" s="67"/>
      <c r="GV220" s="67"/>
      <c r="GW220" s="67"/>
      <c r="GX220" s="67"/>
      <c r="GY220" s="67"/>
      <c r="GZ220" s="67"/>
      <c r="HA220" s="67"/>
      <c r="HB220" s="67"/>
      <c r="HC220" s="67"/>
      <c r="HD220" s="67"/>
    </row>
    <row r="221" spans="1:212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FY221" s="68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>
        <v>1</v>
      </c>
      <c r="GN221" s="67"/>
      <c r="GO221" s="67">
        <v>1</v>
      </c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</row>
    <row r="222" spans="1:212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FY222" s="68"/>
      <c r="FZ222" s="67"/>
      <c r="GA222" s="67"/>
      <c r="GB222" s="67"/>
      <c r="GC222" s="67"/>
      <c r="GD222" s="67"/>
      <c r="GE222" s="67"/>
      <c r="GF222" s="67"/>
      <c r="GG222" s="67"/>
      <c r="GH222" s="67"/>
      <c r="GI222" s="67"/>
      <c r="GJ222" s="67"/>
      <c r="GK222" s="67"/>
      <c r="GL222" s="67"/>
      <c r="GM222" s="67">
        <v>1</v>
      </c>
      <c r="GN222" s="67"/>
      <c r="GO222" s="67"/>
      <c r="GP222" s="67">
        <v>1</v>
      </c>
      <c r="GQ222" s="67"/>
      <c r="GR222" s="67"/>
      <c r="GS222" s="67"/>
      <c r="GT222" s="67"/>
      <c r="GU222" s="67"/>
      <c r="GV222" s="67"/>
      <c r="GW222" s="67"/>
      <c r="GX222" s="67"/>
      <c r="GY222" s="67"/>
      <c r="GZ222" s="67"/>
      <c r="HA222" s="67"/>
      <c r="HB222" s="67"/>
      <c r="HC222" s="67"/>
      <c r="HD222" s="67"/>
    </row>
    <row r="223" spans="1:212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FY223" s="68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>
        <v>1</v>
      </c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</row>
    <row r="224" spans="1:212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FY224" s="68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>
        <v>1</v>
      </c>
      <c r="GN224" s="67"/>
      <c r="GO224" s="67">
        <v>1</v>
      </c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</row>
    <row r="225" spans="1:212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FY225" s="68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>
        <v>1</v>
      </c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</row>
    <row r="226" spans="1:212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FY226" s="68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>
        <v>1</v>
      </c>
      <c r="GN226" s="67"/>
      <c r="GO226" s="67"/>
      <c r="GP226" s="67">
        <v>1</v>
      </c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</row>
    <row r="227" spans="1:212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FY227" s="68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>
        <v>1</v>
      </c>
      <c r="GN227" s="67"/>
      <c r="GO227" s="67">
        <v>1</v>
      </c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</row>
    <row r="228" spans="1:212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FY228" s="68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>
        <v>1</v>
      </c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</row>
    <row r="229" spans="1:212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FY229" s="68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>
        <v>1</v>
      </c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</row>
    <row r="230" spans="1:212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FY230" s="68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67"/>
      <c r="GR230" s="67"/>
      <c r="GS230" s="67"/>
      <c r="GT230" s="67"/>
      <c r="GU230" s="67"/>
      <c r="GV230" s="67"/>
      <c r="GW230" s="67"/>
      <c r="GX230" s="67"/>
      <c r="GY230" s="67"/>
      <c r="GZ230" s="67"/>
      <c r="HA230" s="67"/>
      <c r="HB230" s="67"/>
      <c r="HC230" s="67"/>
      <c r="HD230" s="67"/>
    </row>
    <row r="231" spans="1:212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FY231" s="68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>
        <v>1</v>
      </c>
      <c r="GP231" s="67">
        <v>1</v>
      </c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</row>
    <row r="232" spans="1:212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FY232" s="68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</row>
    <row r="233" spans="1:212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FY233" s="68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</row>
    <row r="234" spans="1:212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FY234" s="68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  <c r="GX234" s="67"/>
      <c r="GY234" s="67"/>
      <c r="GZ234" s="67"/>
      <c r="HA234" s="67"/>
      <c r="HB234" s="67"/>
      <c r="HC234" s="67"/>
      <c r="HD234" s="67"/>
    </row>
    <row r="235" spans="1:212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FY235" s="68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</row>
    <row r="236" spans="1:212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FY236" s="68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</row>
    <row r="237" spans="1:212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FY237" s="68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  <c r="GX237" s="67"/>
      <c r="GY237" s="67"/>
      <c r="GZ237" s="67"/>
      <c r="HA237" s="67"/>
      <c r="HB237" s="67"/>
      <c r="HC237" s="67"/>
      <c r="HD237" s="67"/>
    </row>
    <row r="238" spans="1:212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FY238" s="68"/>
      <c r="FZ238" s="67"/>
      <c r="GA238" s="67"/>
      <c r="GB238" s="67"/>
      <c r="GC238" s="67"/>
      <c r="GD238" s="67"/>
      <c r="GE238" s="67"/>
      <c r="GF238" s="67"/>
      <c r="GG238" s="67"/>
      <c r="GH238" s="67"/>
      <c r="GI238" s="67"/>
      <c r="GJ238" s="67"/>
      <c r="GK238" s="67"/>
      <c r="GL238" s="67"/>
      <c r="GM238" s="67"/>
      <c r="GN238" s="67"/>
      <c r="GO238" s="67"/>
      <c r="GP238" s="67"/>
      <c r="GQ238" s="67"/>
      <c r="GR238" s="67"/>
      <c r="GS238" s="67"/>
      <c r="GT238" s="67"/>
      <c r="GU238" s="67"/>
      <c r="GV238" s="67"/>
      <c r="GW238" s="67"/>
      <c r="GX238" s="67"/>
      <c r="GY238" s="67"/>
      <c r="GZ238" s="67"/>
      <c r="HA238" s="67"/>
      <c r="HB238" s="67"/>
      <c r="HC238" s="67"/>
      <c r="HD238" s="67"/>
    </row>
    <row r="239" spans="1:212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FY239" s="68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  <c r="GX239" s="67"/>
      <c r="GY239" s="67"/>
      <c r="GZ239" s="67"/>
      <c r="HA239" s="67"/>
      <c r="HB239" s="67"/>
      <c r="HC239" s="67"/>
      <c r="HD239" s="67"/>
    </row>
    <row r="240" spans="1:212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FY240" s="68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  <c r="GX240" s="67"/>
      <c r="GY240" s="67"/>
      <c r="GZ240" s="67"/>
      <c r="HA240" s="67"/>
      <c r="HB240" s="67"/>
      <c r="HC240" s="67"/>
      <c r="HD240" s="67"/>
    </row>
    <row r="241" spans="1:212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FY241" s="68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</row>
    <row r="242" spans="1:212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FY242" s="68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</row>
    <row r="243" spans="1:212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FY243" s="68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  <c r="GX243" s="67"/>
      <c r="GY243" s="67"/>
      <c r="GZ243" s="67"/>
      <c r="HA243" s="67"/>
      <c r="HB243" s="67"/>
      <c r="HC243" s="67"/>
      <c r="HD243" s="67"/>
    </row>
    <row r="244" spans="1:212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FY244" s="68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</row>
    <row r="245" spans="1:212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FY245" s="68"/>
      <c r="FZ245" s="67"/>
      <c r="GA245" s="67"/>
      <c r="GB245" s="67"/>
      <c r="GC245" s="67"/>
      <c r="GD245" s="67"/>
      <c r="GE245" s="67"/>
      <c r="GF245" s="67"/>
      <c r="GG245" s="67"/>
      <c r="GH245" s="67"/>
      <c r="GI245" s="67"/>
      <c r="GJ245" s="67"/>
      <c r="GK245" s="67"/>
      <c r="GL245" s="67"/>
      <c r="GM245" s="67"/>
      <c r="GN245" s="67"/>
      <c r="GO245" s="67"/>
      <c r="GP245" s="67"/>
      <c r="GQ245" s="67"/>
      <c r="GR245" s="67"/>
      <c r="GS245" s="67"/>
      <c r="GT245" s="67"/>
      <c r="GU245" s="67"/>
      <c r="GV245" s="67"/>
      <c r="GW245" s="67"/>
      <c r="GX245" s="67"/>
      <c r="GY245" s="67"/>
      <c r="GZ245" s="67"/>
      <c r="HA245" s="67"/>
      <c r="HB245" s="67"/>
      <c r="HC245" s="67"/>
      <c r="HD245" s="67"/>
    </row>
    <row r="246" spans="1:212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FY246" s="68"/>
      <c r="FZ246" s="67"/>
      <c r="GA246" s="67"/>
      <c r="GB246" s="67"/>
      <c r="GC246" s="67"/>
      <c r="GD246" s="67"/>
      <c r="GE246" s="67"/>
      <c r="GF246" s="67"/>
      <c r="GG246" s="67"/>
      <c r="GH246" s="67"/>
      <c r="GI246" s="67"/>
      <c r="GJ246" s="67"/>
      <c r="GK246" s="67"/>
      <c r="GL246" s="67"/>
      <c r="GM246" s="67"/>
      <c r="GN246" s="67"/>
      <c r="GO246" s="67"/>
      <c r="GP246" s="67"/>
      <c r="GQ246" s="67"/>
      <c r="GR246" s="67"/>
      <c r="GS246" s="67"/>
      <c r="GT246" s="67"/>
      <c r="GU246" s="67"/>
      <c r="GV246" s="67"/>
      <c r="GW246" s="67"/>
      <c r="GX246" s="67"/>
      <c r="GY246" s="67"/>
      <c r="GZ246" s="67"/>
      <c r="HA246" s="67"/>
      <c r="HB246" s="67"/>
      <c r="HC246" s="67"/>
      <c r="HD246" s="67"/>
    </row>
    <row r="247" spans="1:212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FY247" s="68"/>
      <c r="FZ247" s="67"/>
      <c r="GA247" s="67"/>
      <c r="GB247" s="67"/>
      <c r="GC247" s="67"/>
      <c r="GD247" s="67"/>
      <c r="GE247" s="67"/>
      <c r="GF247" s="67"/>
      <c r="GG247" s="67"/>
      <c r="GH247" s="67"/>
      <c r="GI247" s="67"/>
      <c r="GJ247" s="67"/>
      <c r="GK247" s="67"/>
      <c r="GL247" s="67"/>
      <c r="GM247" s="67"/>
      <c r="GN247" s="67"/>
      <c r="GO247" s="67"/>
      <c r="GP247" s="67"/>
      <c r="GQ247" s="67"/>
      <c r="GR247" s="67"/>
      <c r="GS247" s="67"/>
      <c r="GT247" s="67"/>
      <c r="GU247" s="67"/>
      <c r="GV247" s="67"/>
      <c r="GW247" s="67"/>
      <c r="GX247" s="67"/>
      <c r="GY247" s="67"/>
      <c r="GZ247" s="67"/>
      <c r="HA247" s="67"/>
      <c r="HB247" s="67"/>
      <c r="HC247" s="67"/>
      <c r="HD247" s="67"/>
    </row>
    <row r="248" spans="1:212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FY248" s="68"/>
      <c r="FZ248" s="67"/>
      <c r="GA248" s="67"/>
      <c r="GB248" s="67"/>
      <c r="GC248" s="67"/>
      <c r="GD248" s="67"/>
      <c r="GE248" s="67"/>
      <c r="GF248" s="67"/>
      <c r="GG248" s="67"/>
      <c r="GH248" s="67"/>
      <c r="GI248" s="67"/>
      <c r="GJ248" s="67"/>
      <c r="GK248" s="67"/>
      <c r="GL248" s="67"/>
      <c r="GM248" s="67"/>
      <c r="GN248" s="67"/>
      <c r="GO248" s="67"/>
      <c r="GP248" s="67"/>
      <c r="GQ248" s="67"/>
      <c r="GR248" s="67"/>
      <c r="GS248" s="67"/>
      <c r="GT248" s="67"/>
      <c r="GU248" s="67"/>
      <c r="GV248" s="67"/>
      <c r="GW248" s="67"/>
      <c r="GX248" s="67"/>
      <c r="GY248" s="67"/>
      <c r="GZ248" s="67"/>
      <c r="HA248" s="67"/>
      <c r="HB248" s="67"/>
      <c r="HC248" s="67"/>
      <c r="HD248" s="67"/>
    </row>
    <row r="249" spans="1:212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FY249" s="68"/>
      <c r="FZ249" s="67"/>
      <c r="GA249" s="67"/>
      <c r="GB249" s="67"/>
      <c r="GC249" s="67"/>
      <c r="GD249" s="67"/>
      <c r="GE249" s="67"/>
      <c r="GF249" s="67"/>
      <c r="GG249" s="67"/>
      <c r="GH249" s="67"/>
      <c r="GI249" s="67"/>
      <c r="GJ249" s="67"/>
      <c r="GK249" s="67"/>
      <c r="GL249" s="67"/>
      <c r="GM249" s="67"/>
      <c r="GN249" s="67"/>
      <c r="GO249" s="67"/>
      <c r="GP249" s="67"/>
      <c r="GQ249" s="67"/>
      <c r="GR249" s="67"/>
      <c r="GS249" s="67"/>
      <c r="GT249" s="67"/>
      <c r="GU249" s="67"/>
      <c r="GV249" s="67"/>
      <c r="GW249" s="67"/>
      <c r="GX249" s="67"/>
      <c r="GY249" s="67"/>
      <c r="GZ249" s="67"/>
      <c r="HA249" s="67"/>
      <c r="HB249" s="67"/>
      <c r="HC249" s="67"/>
      <c r="HD249" s="67"/>
    </row>
    <row r="250" spans="1:212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FY250" s="68"/>
      <c r="FZ250" s="67"/>
      <c r="GA250" s="67"/>
      <c r="GB250" s="67"/>
      <c r="GC250" s="67"/>
      <c r="GD250" s="67"/>
      <c r="GE250" s="67"/>
      <c r="GF250" s="67"/>
      <c r="GG250" s="67"/>
      <c r="GH250" s="67"/>
      <c r="GI250" s="67"/>
      <c r="GJ250" s="67"/>
      <c r="GK250" s="67"/>
      <c r="GL250" s="67"/>
      <c r="GM250" s="67"/>
      <c r="GN250" s="67"/>
      <c r="GO250" s="67"/>
      <c r="GP250" s="67"/>
      <c r="GQ250" s="67"/>
      <c r="GR250" s="67"/>
      <c r="GS250" s="67"/>
      <c r="GT250" s="67"/>
      <c r="GU250" s="67"/>
      <c r="GV250" s="67"/>
      <c r="GW250" s="67"/>
      <c r="GX250" s="67"/>
      <c r="GY250" s="67"/>
      <c r="GZ250" s="67"/>
      <c r="HA250" s="67"/>
      <c r="HB250" s="67"/>
      <c r="HC250" s="67"/>
      <c r="HD250" s="67"/>
    </row>
    <row r="251" spans="1:212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FY251" s="68"/>
      <c r="FZ251" s="67"/>
      <c r="GA251" s="67"/>
      <c r="GB251" s="67"/>
      <c r="GC251" s="67"/>
      <c r="GD251" s="67"/>
      <c r="GE251" s="67"/>
      <c r="GF251" s="67"/>
      <c r="GG251" s="67"/>
      <c r="GH251" s="67"/>
      <c r="GI251" s="67"/>
      <c r="GJ251" s="67"/>
      <c r="GK251" s="67"/>
      <c r="GL251" s="67"/>
      <c r="GM251" s="67"/>
      <c r="GN251" s="67"/>
      <c r="GO251" s="67"/>
      <c r="GP251" s="67"/>
      <c r="GQ251" s="67"/>
      <c r="GR251" s="67"/>
      <c r="GS251" s="67"/>
      <c r="GT251" s="67"/>
      <c r="GU251" s="67"/>
      <c r="GV251" s="67"/>
      <c r="GW251" s="67"/>
      <c r="GX251" s="67"/>
      <c r="GY251" s="67"/>
      <c r="GZ251" s="67"/>
      <c r="HA251" s="67"/>
      <c r="HB251" s="67"/>
      <c r="HC251" s="67"/>
      <c r="HD251" s="67"/>
    </row>
    <row r="252" spans="1:212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FY252" s="68"/>
      <c r="FZ252" s="67"/>
      <c r="GA252" s="67"/>
      <c r="GB252" s="67"/>
      <c r="GC252" s="67"/>
      <c r="GD252" s="67"/>
      <c r="GE252" s="67"/>
      <c r="GF252" s="67"/>
      <c r="GG252" s="67"/>
      <c r="GH252" s="67"/>
      <c r="GI252" s="67"/>
      <c r="GJ252" s="67"/>
      <c r="GK252" s="67"/>
      <c r="GL252" s="67"/>
      <c r="GM252" s="67"/>
      <c r="GN252" s="67"/>
      <c r="GO252" s="67"/>
      <c r="GP252" s="67"/>
      <c r="GQ252" s="67"/>
      <c r="GR252" s="67"/>
      <c r="GS252" s="67"/>
      <c r="GT252" s="67"/>
      <c r="GU252" s="67"/>
      <c r="GV252" s="67"/>
      <c r="GW252" s="67"/>
      <c r="GX252" s="67"/>
      <c r="GY252" s="67"/>
      <c r="GZ252" s="67"/>
      <c r="HA252" s="67"/>
      <c r="HB252" s="67"/>
      <c r="HC252" s="67"/>
      <c r="HD252" s="67"/>
    </row>
    <row r="253" spans="1:212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FY253" s="68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  <c r="GX253" s="67"/>
      <c r="GY253" s="67"/>
      <c r="GZ253" s="67"/>
      <c r="HA253" s="67"/>
      <c r="HB253" s="67"/>
      <c r="HC253" s="67"/>
      <c r="HD253" s="67"/>
    </row>
    <row r="254" spans="1:212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FY254" s="68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  <c r="GX254" s="67"/>
      <c r="GY254" s="67"/>
      <c r="GZ254" s="67"/>
      <c r="HA254" s="67"/>
      <c r="HB254" s="67"/>
      <c r="HC254" s="67"/>
      <c r="HD254" s="67"/>
    </row>
    <row r="255" spans="1:212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FY255" s="68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</row>
    <row r="256" spans="1:212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FY256" s="68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</row>
    <row r="257" spans="1:212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FY257" s="68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</row>
    <row r="258" spans="1:212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FY258" s="68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</row>
    <row r="259" spans="1:212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FY259" s="68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  <c r="GX259" s="67"/>
      <c r="GY259" s="67"/>
      <c r="GZ259" s="67"/>
      <c r="HA259" s="67"/>
      <c r="HB259" s="67"/>
      <c r="HC259" s="67"/>
      <c r="HD259" s="67"/>
    </row>
    <row r="260" spans="1:212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FY260" s="68"/>
      <c r="FZ260" s="67"/>
      <c r="GA260" s="67"/>
      <c r="GB260" s="67"/>
      <c r="GC260" s="67"/>
      <c r="GD260" s="67"/>
      <c r="GE260" s="67"/>
      <c r="GF260" s="67"/>
      <c r="GG260" s="67"/>
      <c r="GH260" s="67"/>
      <c r="GI260" s="67"/>
      <c r="GJ260" s="67"/>
      <c r="GK260" s="67"/>
      <c r="GL260" s="67"/>
      <c r="GM260" s="67"/>
      <c r="GN260" s="67"/>
      <c r="GO260" s="67"/>
      <c r="GP260" s="67"/>
      <c r="GQ260" s="67"/>
      <c r="GR260" s="67"/>
      <c r="GS260" s="67"/>
      <c r="GT260" s="67"/>
      <c r="GU260" s="67"/>
      <c r="GV260" s="67"/>
      <c r="GW260" s="67"/>
      <c r="GX260" s="67"/>
      <c r="GY260" s="67"/>
      <c r="GZ260" s="67"/>
      <c r="HA260" s="67"/>
      <c r="HB260" s="67"/>
      <c r="HC260" s="67"/>
      <c r="HD260" s="67"/>
    </row>
    <row r="261" spans="1:212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FY261" s="68"/>
      <c r="FZ261" s="67"/>
      <c r="GA261" s="67"/>
      <c r="GB261" s="67"/>
      <c r="GC261" s="67"/>
      <c r="GD261" s="67"/>
      <c r="GE261" s="67"/>
      <c r="GF261" s="67"/>
      <c r="GG261" s="67"/>
      <c r="GH261" s="67"/>
      <c r="GI261" s="67"/>
      <c r="GJ261" s="67"/>
      <c r="GK261" s="67"/>
      <c r="GL261" s="67"/>
      <c r="GM261" s="67"/>
      <c r="GN261" s="67"/>
      <c r="GO261" s="67"/>
      <c r="GP261" s="67"/>
      <c r="GQ261" s="67"/>
      <c r="GR261" s="67"/>
      <c r="GS261" s="67"/>
      <c r="GT261" s="67"/>
      <c r="GU261" s="67"/>
      <c r="GV261" s="67"/>
      <c r="GW261" s="67"/>
      <c r="GX261" s="67"/>
      <c r="GY261" s="67"/>
      <c r="GZ261" s="67"/>
      <c r="HA261" s="67"/>
      <c r="HB261" s="67"/>
      <c r="HC261" s="67"/>
      <c r="HD261" s="67"/>
    </row>
    <row r="262" spans="1:212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FY262" s="68"/>
      <c r="FZ262" s="67"/>
      <c r="GA262" s="67"/>
      <c r="GB262" s="67"/>
      <c r="GC262" s="67"/>
      <c r="GD262" s="67"/>
      <c r="GE262" s="67"/>
      <c r="GF262" s="67"/>
      <c r="GG262" s="67"/>
      <c r="GH262" s="67"/>
      <c r="GI262" s="67"/>
      <c r="GJ262" s="67"/>
      <c r="GK262" s="67"/>
      <c r="GL262" s="67"/>
      <c r="GM262" s="67"/>
      <c r="GN262" s="67"/>
      <c r="GO262" s="67"/>
      <c r="GP262" s="67"/>
      <c r="GQ262" s="67"/>
      <c r="GR262" s="67"/>
      <c r="GS262" s="67"/>
      <c r="GT262" s="67"/>
      <c r="GU262" s="67"/>
      <c r="GV262" s="67"/>
      <c r="GW262" s="67"/>
      <c r="GX262" s="67"/>
      <c r="GY262" s="67"/>
      <c r="GZ262" s="67"/>
      <c r="HA262" s="67"/>
      <c r="HB262" s="67"/>
      <c r="HC262" s="67"/>
      <c r="HD262" s="67"/>
    </row>
    <row r="263" spans="1:212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FY263" s="68"/>
      <c r="FZ263" s="67"/>
      <c r="GA263" s="67"/>
      <c r="GB263" s="67"/>
      <c r="GC263" s="67"/>
      <c r="GD263" s="67"/>
      <c r="GE263" s="67"/>
      <c r="GF263" s="67"/>
      <c r="GG263" s="67"/>
      <c r="GH263" s="67"/>
      <c r="GI263" s="67"/>
      <c r="GJ263" s="67"/>
      <c r="GK263" s="67"/>
      <c r="GL263" s="67"/>
      <c r="GM263" s="67"/>
      <c r="GN263" s="67"/>
      <c r="GO263" s="67"/>
      <c r="GP263" s="67"/>
      <c r="GQ263" s="67"/>
      <c r="GR263" s="67"/>
      <c r="GS263" s="67"/>
      <c r="GT263" s="67"/>
      <c r="GU263" s="67"/>
      <c r="GV263" s="67"/>
      <c r="GW263" s="67"/>
      <c r="GX263" s="67"/>
      <c r="GY263" s="67"/>
      <c r="GZ263" s="67"/>
      <c r="HA263" s="67"/>
      <c r="HB263" s="67"/>
      <c r="HC263" s="67"/>
      <c r="HD263" s="67"/>
    </row>
    <row r="264" spans="1:212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FY264" s="68"/>
      <c r="FZ264" s="67"/>
      <c r="GA264" s="67"/>
      <c r="GB264" s="67"/>
      <c r="GC264" s="67"/>
      <c r="GD264" s="67"/>
      <c r="GE264" s="67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67"/>
      <c r="GV264" s="67"/>
      <c r="GW264" s="67"/>
      <c r="GX264" s="67"/>
      <c r="GY264" s="67"/>
      <c r="GZ264" s="67"/>
      <c r="HA264" s="67"/>
      <c r="HB264" s="67"/>
      <c r="HC264" s="67"/>
      <c r="HD264" s="67"/>
    </row>
    <row r="265" spans="1:212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FY265" s="68"/>
      <c r="FZ265" s="67"/>
      <c r="GA265" s="67"/>
      <c r="GB265" s="67"/>
      <c r="GC265" s="67"/>
      <c r="GD265" s="67"/>
      <c r="GE265" s="67"/>
      <c r="GF265" s="67"/>
      <c r="GG265" s="67"/>
      <c r="GH265" s="67"/>
      <c r="GI265" s="67"/>
      <c r="GJ265" s="67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67"/>
      <c r="GV265" s="67"/>
      <c r="GW265" s="67"/>
      <c r="GX265" s="67"/>
      <c r="GY265" s="67"/>
      <c r="GZ265" s="67"/>
      <c r="HA265" s="67"/>
      <c r="HB265" s="67"/>
      <c r="HC265" s="67"/>
      <c r="HD265" s="67"/>
    </row>
    <row r="266" spans="1:212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FY266" s="68"/>
      <c r="FZ266" s="67"/>
      <c r="GA266" s="67"/>
      <c r="GB266" s="67"/>
      <c r="GC266" s="67"/>
      <c r="GD266" s="67"/>
      <c r="GE266" s="67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  <c r="GX266" s="67"/>
      <c r="GY266" s="67"/>
      <c r="GZ266" s="67"/>
      <c r="HA266" s="67"/>
      <c r="HB266" s="67"/>
      <c r="HC266" s="67"/>
      <c r="HD266" s="67"/>
    </row>
    <row r="267" spans="1:212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FY267" s="68"/>
      <c r="FZ267" s="67"/>
      <c r="GA267" s="67"/>
      <c r="GB267" s="67"/>
      <c r="GC267" s="67"/>
      <c r="GD267" s="67"/>
      <c r="GE267" s="67"/>
      <c r="GF267" s="67"/>
      <c r="GG267" s="67"/>
      <c r="GH267" s="67"/>
      <c r="GI267" s="67"/>
      <c r="GJ267" s="67"/>
      <c r="GK267" s="67"/>
      <c r="GL267" s="67"/>
      <c r="GM267" s="67"/>
      <c r="GN267" s="67"/>
      <c r="GO267" s="67"/>
      <c r="GP267" s="67"/>
      <c r="GQ267" s="67"/>
      <c r="GR267" s="67"/>
      <c r="GS267" s="67"/>
      <c r="GT267" s="67"/>
      <c r="GU267" s="67"/>
      <c r="GV267" s="67"/>
      <c r="GW267" s="67"/>
      <c r="GX267" s="67"/>
      <c r="GY267" s="67"/>
      <c r="GZ267" s="67"/>
      <c r="HA267" s="67"/>
      <c r="HB267" s="67"/>
      <c r="HC267" s="67"/>
      <c r="HD267" s="67"/>
    </row>
    <row r="268" spans="1:212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FY268" s="68"/>
      <c r="FZ268" s="67"/>
      <c r="GA268" s="67"/>
      <c r="GB268" s="67"/>
      <c r="GC268" s="67"/>
      <c r="GD268" s="67"/>
      <c r="GE268" s="67"/>
      <c r="GF268" s="67"/>
      <c r="GG268" s="67"/>
      <c r="GH268" s="67"/>
      <c r="GI268" s="67"/>
      <c r="GJ268" s="67"/>
      <c r="GK268" s="67"/>
      <c r="GL268" s="67"/>
      <c r="GM268" s="67"/>
      <c r="GN268" s="67"/>
      <c r="GO268" s="67"/>
      <c r="GP268" s="67"/>
      <c r="GQ268" s="67"/>
      <c r="GR268" s="67"/>
      <c r="GS268" s="67"/>
      <c r="GT268" s="67"/>
      <c r="GU268" s="67"/>
      <c r="GV268" s="67"/>
      <c r="GW268" s="67"/>
      <c r="GX268" s="67"/>
      <c r="GY268" s="67"/>
      <c r="GZ268" s="67"/>
      <c r="HA268" s="67"/>
      <c r="HB268" s="67"/>
      <c r="HC268" s="67"/>
      <c r="HD268" s="67"/>
    </row>
    <row r="269" spans="1:212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FY269" s="68"/>
      <c r="FZ269" s="67"/>
      <c r="GA269" s="67"/>
      <c r="GB269" s="67"/>
      <c r="GC269" s="67"/>
      <c r="GD269" s="67"/>
      <c r="GE269" s="67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67"/>
      <c r="GV269" s="67"/>
      <c r="GW269" s="67"/>
      <c r="GX269" s="67"/>
      <c r="GY269" s="67"/>
      <c r="GZ269" s="67"/>
      <c r="HA269" s="67"/>
      <c r="HB269" s="67"/>
      <c r="HC269" s="67"/>
      <c r="HD269" s="67"/>
    </row>
    <row r="270" spans="1:212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FY270" s="68"/>
      <c r="FZ270" s="67"/>
      <c r="GA270" s="67"/>
      <c r="GB270" s="67"/>
      <c r="GC270" s="67"/>
      <c r="GD270" s="67"/>
      <c r="GE270" s="67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67"/>
      <c r="GV270" s="67"/>
      <c r="GW270" s="67"/>
      <c r="GX270" s="67"/>
      <c r="GY270" s="67"/>
      <c r="GZ270" s="67"/>
      <c r="HA270" s="67"/>
      <c r="HB270" s="67"/>
      <c r="HC270" s="67"/>
      <c r="HD270" s="67"/>
    </row>
    <row r="271" spans="1:212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FY271" s="68"/>
      <c r="FZ271" s="67"/>
      <c r="GA271" s="67"/>
      <c r="GB271" s="67"/>
      <c r="GC271" s="67"/>
      <c r="GD271" s="67"/>
      <c r="GE271" s="67"/>
      <c r="GF271" s="67"/>
      <c r="GG271" s="67"/>
      <c r="GH271" s="67"/>
      <c r="GI271" s="67"/>
      <c r="GJ271" s="67"/>
      <c r="GK271" s="67"/>
      <c r="GL271" s="67"/>
      <c r="GM271" s="67"/>
      <c r="GN271" s="67"/>
      <c r="GO271" s="67"/>
      <c r="GP271" s="67"/>
      <c r="GQ271" s="67"/>
      <c r="GR271" s="67"/>
      <c r="GS271" s="67"/>
      <c r="GT271" s="67"/>
      <c r="GU271" s="67"/>
      <c r="GV271" s="67"/>
      <c r="GW271" s="67"/>
      <c r="GX271" s="67"/>
      <c r="GY271" s="67"/>
      <c r="GZ271" s="67"/>
      <c r="HA271" s="67"/>
      <c r="HB271" s="67"/>
      <c r="HC271" s="67"/>
      <c r="HD271" s="67"/>
    </row>
    <row r="272" spans="1:212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FY272" s="68"/>
      <c r="FZ272" s="67"/>
      <c r="GA272" s="67"/>
      <c r="GB272" s="67"/>
      <c r="GC272" s="67"/>
      <c r="GD272" s="67"/>
      <c r="GE272" s="67"/>
      <c r="GF272" s="67"/>
      <c r="GG272" s="67"/>
      <c r="GH272" s="67"/>
      <c r="GI272" s="67"/>
      <c r="GJ272" s="67"/>
      <c r="GK272" s="67"/>
      <c r="GL272" s="67"/>
      <c r="GM272" s="67"/>
      <c r="GN272" s="67"/>
      <c r="GO272" s="67"/>
      <c r="GP272" s="67"/>
      <c r="GQ272" s="67"/>
      <c r="GR272" s="67"/>
      <c r="GS272" s="67"/>
      <c r="GT272" s="67"/>
      <c r="GU272" s="67"/>
      <c r="GV272" s="67"/>
      <c r="GW272" s="67"/>
      <c r="GX272" s="67"/>
      <c r="GY272" s="67"/>
      <c r="GZ272" s="67"/>
      <c r="HA272" s="67"/>
      <c r="HB272" s="67"/>
      <c r="HC272" s="67"/>
      <c r="HD272" s="67"/>
    </row>
    <row r="273" spans="1:212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FY273" s="68"/>
      <c r="FZ273" s="67"/>
      <c r="GA273" s="67"/>
      <c r="GB273" s="67"/>
      <c r="GC273" s="67"/>
      <c r="GD273" s="67"/>
      <c r="GE273" s="67"/>
      <c r="GF273" s="67"/>
      <c r="GG273" s="67"/>
      <c r="GH273" s="67"/>
      <c r="GI273" s="67"/>
      <c r="GJ273" s="67"/>
      <c r="GK273" s="67"/>
      <c r="GL273" s="67"/>
      <c r="GM273" s="67"/>
      <c r="GN273" s="67"/>
      <c r="GO273" s="67"/>
      <c r="GP273" s="67"/>
      <c r="GQ273" s="67"/>
      <c r="GR273" s="67"/>
      <c r="GS273" s="67"/>
      <c r="GT273" s="67"/>
      <c r="GU273" s="67"/>
      <c r="GV273" s="67"/>
      <c r="GW273" s="67"/>
      <c r="GX273" s="67"/>
      <c r="GY273" s="67"/>
      <c r="GZ273" s="67"/>
      <c r="HA273" s="67"/>
      <c r="HB273" s="67"/>
      <c r="HC273" s="67"/>
      <c r="HD273" s="67"/>
    </row>
    <row r="274" spans="1:212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FY274" s="68"/>
      <c r="FZ274" s="67"/>
      <c r="GA274" s="67"/>
      <c r="GB274" s="67"/>
      <c r="GC274" s="67"/>
      <c r="GD274" s="67"/>
      <c r="GE274" s="67"/>
      <c r="GF274" s="67"/>
      <c r="GG274" s="67"/>
      <c r="GH274" s="67"/>
      <c r="GI274" s="67"/>
      <c r="GJ274" s="67"/>
      <c r="GK274" s="67"/>
      <c r="GL274" s="67"/>
      <c r="GM274" s="67"/>
      <c r="GN274" s="67"/>
      <c r="GO274" s="67"/>
      <c r="GP274" s="67"/>
      <c r="GQ274" s="67"/>
      <c r="GR274" s="67"/>
      <c r="GS274" s="67"/>
      <c r="GT274" s="67"/>
      <c r="GU274" s="67"/>
      <c r="GV274" s="67"/>
      <c r="GW274" s="67"/>
      <c r="GX274" s="67"/>
      <c r="GY274" s="67"/>
      <c r="GZ274" s="67"/>
      <c r="HA274" s="67"/>
      <c r="HB274" s="67"/>
      <c r="HC274" s="67"/>
      <c r="HD274" s="67"/>
    </row>
    <row r="275" spans="1:212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FY275" s="68"/>
      <c r="FZ275" s="67"/>
      <c r="GA275" s="67"/>
      <c r="GB275" s="67"/>
      <c r="GC275" s="67"/>
      <c r="GD275" s="67"/>
      <c r="GE275" s="67"/>
      <c r="GF275" s="67"/>
      <c r="GG275" s="67"/>
      <c r="GH275" s="67"/>
      <c r="GI275" s="67"/>
      <c r="GJ275" s="67"/>
      <c r="GK275" s="67"/>
      <c r="GL275" s="67"/>
      <c r="GM275" s="67"/>
      <c r="GN275" s="67"/>
      <c r="GO275" s="67"/>
      <c r="GP275" s="67"/>
      <c r="GQ275" s="67"/>
      <c r="GR275" s="67"/>
      <c r="GS275" s="67"/>
      <c r="GT275" s="67"/>
      <c r="GU275" s="67"/>
      <c r="GV275" s="67"/>
      <c r="GW275" s="67"/>
      <c r="GX275" s="67"/>
      <c r="GY275" s="67"/>
      <c r="GZ275" s="67"/>
      <c r="HA275" s="67"/>
      <c r="HB275" s="67"/>
      <c r="HC275" s="67"/>
      <c r="HD275" s="67"/>
    </row>
    <row r="276" spans="1:212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FY276" s="68"/>
      <c r="FZ276" s="67"/>
      <c r="GA276" s="67"/>
      <c r="GB276" s="67"/>
      <c r="GC276" s="67"/>
      <c r="GD276" s="67"/>
      <c r="GE276" s="67"/>
      <c r="GF276" s="67"/>
      <c r="GG276" s="67"/>
      <c r="GH276" s="67"/>
      <c r="GI276" s="67"/>
      <c r="GJ276" s="67"/>
      <c r="GK276" s="67"/>
      <c r="GL276" s="67"/>
      <c r="GM276" s="67"/>
      <c r="GN276" s="67"/>
      <c r="GO276" s="67"/>
      <c r="GP276" s="67"/>
      <c r="GQ276" s="67"/>
      <c r="GR276" s="67"/>
      <c r="GS276" s="67"/>
      <c r="GT276" s="67"/>
      <c r="GU276" s="67"/>
      <c r="GV276" s="67"/>
      <c r="GW276" s="67"/>
      <c r="GX276" s="67"/>
      <c r="GY276" s="67"/>
      <c r="GZ276" s="67"/>
      <c r="HA276" s="67"/>
      <c r="HB276" s="67"/>
      <c r="HC276" s="67"/>
      <c r="HD276" s="67"/>
    </row>
    <row r="277" spans="1:212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FY277" s="68"/>
      <c r="FZ277" s="67"/>
      <c r="GA277" s="67"/>
      <c r="GB277" s="67"/>
      <c r="GC277" s="67"/>
      <c r="GD277" s="67"/>
      <c r="GE277" s="67"/>
      <c r="GF277" s="67"/>
      <c r="GG277" s="67"/>
      <c r="GH277" s="67"/>
      <c r="GI277" s="67"/>
      <c r="GJ277" s="67"/>
      <c r="GK277" s="67"/>
      <c r="GL277" s="67"/>
      <c r="GM277" s="67"/>
      <c r="GN277" s="67"/>
      <c r="GO277" s="67"/>
      <c r="GP277" s="67"/>
      <c r="GQ277" s="67"/>
      <c r="GR277" s="67"/>
      <c r="GS277" s="67"/>
      <c r="GT277" s="67"/>
      <c r="GU277" s="67"/>
      <c r="GV277" s="67"/>
      <c r="GW277" s="67"/>
      <c r="GX277" s="67"/>
      <c r="GY277" s="67"/>
      <c r="GZ277" s="67"/>
      <c r="HA277" s="67"/>
      <c r="HB277" s="67"/>
      <c r="HC277" s="67"/>
      <c r="HD277" s="67"/>
    </row>
    <row r="278" spans="1:212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FY278" s="68"/>
      <c r="FZ278" s="67"/>
      <c r="GA278" s="67"/>
      <c r="GB278" s="67"/>
      <c r="GC278" s="67"/>
      <c r="GD278" s="67"/>
      <c r="GE278" s="67"/>
      <c r="GF278" s="67"/>
      <c r="GG278" s="67"/>
      <c r="GH278" s="67"/>
      <c r="GI278" s="67"/>
      <c r="GJ278" s="67"/>
      <c r="GK278" s="67"/>
      <c r="GL278" s="67"/>
      <c r="GM278" s="67"/>
      <c r="GN278" s="67"/>
      <c r="GO278" s="67"/>
      <c r="GP278" s="67"/>
      <c r="GQ278" s="67"/>
      <c r="GR278" s="67"/>
      <c r="GS278" s="67"/>
      <c r="GT278" s="67"/>
      <c r="GU278" s="67"/>
      <c r="GV278" s="67"/>
      <c r="GW278" s="67"/>
      <c r="GX278" s="67"/>
      <c r="GY278" s="67"/>
      <c r="GZ278" s="67"/>
      <c r="HA278" s="67"/>
      <c r="HB278" s="67"/>
      <c r="HC278" s="67"/>
      <c r="HD278" s="67"/>
    </row>
    <row r="279" spans="1:212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FY279" s="68"/>
      <c r="FZ279" s="67"/>
      <c r="GA279" s="67"/>
      <c r="GB279" s="67"/>
      <c r="GC279" s="67"/>
      <c r="GD279" s="67"/>
      <c r="GE279" s="67"/>
      <c r="GF279" s="67"/>
      <c r="GG279" s="67"/>
      <c r="GH279" s="67"/>
      <c r="GI279" s="67"/>
      <c r="GJ279" s="67"/>
      <c r="GK279" s="67"/>
      <c r="GL279" s="67"/>
      <c r="GM279" s="67"/>
      <c r="GN279" s="67"/>
      <c r="GO279" s="67"/>
      <c r="GP279" s="67"/>
      <c r="GQ279" s="67"/>
      <c r="GR279" s="67"/>
      <c r="GS279" s="67"/>
      <c r="GT279" s="67"/>
      <c r="GU279" s="67"/>
      <c r="GV279" s="67"/>
      <c r="GW279" s="67"/>
      <c r="GX279" s="67"/>
      <c r="GY279" s="67"/>
      <c r="GZ279" s="67"/>
      <c r="HA279" s="67"/>
      <c r="HB279" s="67"/>
      <c r="HC279" s="67"/>
      <c r="HD279" s="67"/>
    </row>
    <row r="280" spans="1:212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FY280" s="68"/>
      <c r="FZ280" s="67"/>
      <c r="GA280" s="67"/>
      <c r="GB280" s="67"/>
      <c r="GC280" s="67"/>
      <c r="GD280" s="67"/>
      <c r="GE280" s="67"/>
      <c r="GF280" s="67"/>
      <c r="GG280" s="67"/>
      <c r="GH280" s="67"/>
      <c r="GI280" s="67"/>
      <c r="GJ280" s="67"/>
      <c r="GK280" s="67"/>
      <c r="GL280" s="67"/>
      <c r="GM280" s="67"/>
      <c r="GN280" s="67"/>
      <c r="GO280" s="67"/>
      <c r="GP280" s="67"/>
      <c r="GQ280" s="67"/>
      <c r="GR280" s="67"/>
      <c r="GS280" s="67"/>
      <c r="GT280" s="67"/>
      <c r="GU280" s="67"/>
      <c r="GV280" s="67"/>
      <c r="GW280" s="67"/>
      <c r="GX280" s="67"/>
      <c r="GY280" s="67"/>
      <c r="GZ280" s="67"/>
      <c r="HA280" s="67"/>
      <c r="HB280" s="67"/>
      <c r="HC280" s="67"/>
      <c r="HD280" s="67"/>
    </row>
    <row r="281" spans="1:212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FY281" s="68"/>
      <c r="FZ281" s="67"/>
      <c r="GA281" s="67"/>
      <c r="GB281" s="67"/>
      <c r="GC281" s="67"/>
      <c r="GD281" s="67"/>
      <c r="GE281" s="67"/>
      <c r="GF281" s="67"/>
      <c r="GG281" s="67"/>
      <c r="GH281" s="67"/>
      <c r="GI281" s="67"/>
      <c r="GJ281" s="67"/>
      <c r="GK281" s="67"/>
      <c r="GL281" s="67"/>
      <c r="GM281" s="67"/>
      <c r="GN281" s="67"/>
      <c r="GO281" s="67"/>
      <c r="GP281" s="67"/>
      <c r="GQ281" s="67"/>
      <c r="GR281" s="67"/>
      <c r="GS281" s="67"/>
      <c r="GT281" s="67"/>
      <c r="GU281" s="67"/>
      <c r="GV281" s="67"/>
      <c r="GW281" s="67"/>
      <c r="GX281" s="67"/>
      <c r="GY281" s="67"/>
      <c r="GZ281" s="67"/>
      <c r="HA281" s="67"/>
      <c r="HB281" s="67"/>
      <c r="HC281" s="67"/>
      <c r="HD281" s="67"/>
    </row>
    <row r="282" spans="1:212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FY282" s="68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</row>
    <row r="283" spans="1:212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FY283" s="68"/>
      <c r="FZ283" s="67"/>
      <c r="GA283" s="67"/>
      <c r="GB283" s="67"/>
      <c r="GC283" s="67"/>
      <c r="GD283" s="67"/>
      <c r="GE283" s="67"/>
      <c r="GF283" s="67"/>
      <c r="GG283" s="67"/>
      <c r="GH283" s="67"/>
      <c r="GI283" s="67"/>
      <c r="GJ283" s="67"/>
      <c r="GK283" s="67"/>
      <c r="GL283" s="67"/>
      <c r="GM283" s="67"/>
      <c r="GN283" s="67"/>
      <c r="GO283" s="67"/>
      <c r="GP283" s="67"/>
      <c r="GQ283" s="67"/>
      <c r="GR283" s="67"/>
      <c r="GS283" s="67"/>
      <c r="GT283" s="67"/>
      <c r="GU283" s="67"/>
      <c r="GV283" s="67"/>
      <c r="GW283" s="67"/>
      <c r="GX283" s="67"/>
      <c r="GY283" s="67"/>
      <c r="GZ283" s="67"/>
      <c r="HA283" s="67"/>
      <c r="HB283" s="67"/>
      <c r="HC283" s="67"/>
      <c r="HD283" s="67"/>
    </row>
    <row r="284" spans="1:212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FY284" s="68"/>
      <c r="FZ284" s="67"/>
      <c r="GA284" s="67"/>
      <c r="GB284" s="67"/>
      <c r="GC284" s="67"/>
      <c r="GD284" s="67"/>
      <c r="GE284" s="67"/>
      <c r="GF284" s="67"/>
      <c r="GG284" s="67"/>
      <c r="GH284" s="67"/>
      <c r="GI284" s="67"/>
      <c r="GJ284" s="67"/>
      <c r="GK284" s="67"/>
      <c r="GL284" s="67"/>
      <c r="GM284" s="67"/>
      <c r="GN284" s="67"/>
      <c r="GO284" s="67"/>
      <c r="GP284" s="67"/>
      <c r="GQ284" s="67"/>
      <c r="GR284" s="67"/>
      <c r="GS284" s="67"/>
      <c r="GT284" s="67"/>
      <c r="GU284" s="67"/>
      <c r="GV284" s="67"/>
      <c r="GW284" s="67"/>
      <c r="GX284" s="67"/>
      <c r="GY284" s="67"/>
      <c r="GZ284" s="67"/>
      <c r="HA284" s="67"/>
      <c r="HB284" s="67"/>
      <c r="HC284" s="67"/>
      <c r="HD284" s="67"/>
    </row>
    <row r="285" spans="1:212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FY285" s="68"/>
      <c r="FZ285" s="67"/>
      <c r="GA285" s="67"/>
      <c r="GB285" s="67"/>
      <c r="GC285" s="67"/>
      <c r="GD285" s="67"/>
      <c r="GE285" s="67"/>
      <c r="GF285" s="67"/>
      <c r="GG285" s="67"/>
      <c r="GH285" s="67"/>
      <c r="GI285" s="67"/>
      <c r="GJ285" s="67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  <c r="GX285" s="67"/>
      <c r="GY285" s="67"/>
      <c r="GZ285" s="67"/>
      <c r="HA285" s="67"/>
      <c r="HB285" s="67"/>
      <c r="HC285" s="67"/>
      <c r="HD285" s="67"/>
    </row>
    <row r="286" spans="1:212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FY286" s="68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  <c r="GX286" s="67"/>
      <c r="GY286" s="67"/>
      <c r="GZ286" s="67"/>
      <c r="HA286" s="67"/>
      <c r="HB286" s="67"/>
      <c r="HC286" s="67"/>
      <c r="HD286" s="67"/>
    </row>
    <row r="287" spans="1:212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FY287" s="68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  <c r="GX287" s="67"/>
      <c r="GY287" s="67"/>
      <c r="GZ287" s="67"/>
      <c r="HA287" s="67"/>
      <c r="HB287" s="67"/>
      <c r="HC287" s="67"/>
      <c r="HD287" s="67"/>
    </row>
    <row r="288" spans="1:212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FY288" s="68"/>
      <c r="FZ288" s="67"/>
      <c r="GA288" s="67"/>
      <c r="GB288" s="67"/>
      <c r="GC288" s="67"/>
      <c r="GD288" s="67"/>
      <c r="GE288" s="67"/>
      <c r="GF288" s="67"/>
      <c r="GG288" s="67"/>
      <c r="GH288" s="67"/>
      <c r="GI288" s="67"/>
      <c r="GJ288" s="67"/>
      <c r="GK288" s="67"/>
      <c r="GL288" s="67"/>
      <c r="GM288" s="67"/>
      <c r="GN288" s="67"/>
      <c r="GO288" s="67"/>
      <c r="GP288" s="67"/>
      <c r="GQ288" s="67"/>
      <c r="GR288" s="67"/>
      <c r="GS288" s="67"/>
      <c r="GT288" s="67"/>
      <c r="GU288" s="67"/>
      <c r="GV288" s="67"/>
      <c r="GW288" s="67"/>
      <c r="GX288" s="67"/>
      <c r="GY288" s="67"/>
      <c r="GZ288" s="67"/>
      <c r="HA288" s="67"/>
      <c r="HB288" s="67"/>
      <c r="HC288" s="67"/>
      <c r="HD288" s="67"/>
    </row>
    <row r="289" spans="1:212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FY289" s="68"/>
      <c r="FZ289" s="67"/>
      <c r="GA289" s="67"/>
      <c r="GB289" s="67"/>
      <c r="GC289" s="67"/>
      <c r="GD289" s="67"/>
      <c r="GE289" s="67"/>
      <c r="GF289" s="67"/>
      <c r="GG289" s="67"/>
      <c r="GH289" s="67"/>
      <c r="GI289" s="67"/>
      <c r="GJ289" s="67"/>
      <c r="GK289" s="67"/>
      <c r="GL289" s="67"/>
      <c r="GM289" s="67"/>
      <c r="GN289" s="67"/>
      <c r="GO289" s="67"/>
      <c r="GP289" s="67"/>
      <c r="GQ289" s="67"/>
      <c r="GR289" s="67"/>
      <c r="GS289" s="67"/>
      <c r="GT289" s="67"/>
      <c r="GU289" s="67"/>
      <c r="GV289" s="67"/>
      <c r="GW289" s="67"/>
      <c r="GX289" s="67"/>
      <c r="GY289" s="67"/>
      <c r="GZ289" s="67"/>
      <c r="HA289" s="67"/>
      <c r="HB289" s="67"/>
      <c r="HC289" s="67"/>
      <c r="HD289" s="67"/>
    </row>
    <row r="290" spans="1:212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FY290" s="68"/>
      <c r="FZ290" s="67"/>
      <c r="GA290" s="67"/>
      <c r="GB290" s="67"/>
      <c r="GC290" s="67"/>
      <c r="GD290" s="67"/>
      <c r="GE290" s="67"/>
      <c r="GF290" s="67"/>
      <c r="GG290" s="67"/>
      <c r="GH290" s="67"/>
      <c r="GI290" s="67"/>
      <c r="GJ290" s="67"/>
      <c r="GK290" s="67"/>
      <c r="GL290" s="67"/>
      <c r="GM290" s="67"/>
      <c r="GN290" s="67"/>
      <c r="GO290" s="67"/>
      <c r="GP290" s="67"/>
      <c r="GQ290" s="67"/>
      <c r="GR290" s="67"/>
      <c r="GS290" s="67"/>
      <c r="GT290" s="67"/>
      <c r="GU290" s="67"/>
      <c r="GV290" s="67"/>
      <c r="GW290" s="67"/>
      <c r="GX290" s="67"/>
      <c r="GY290" s="67"/>
      <c r="GZ290" s="67"/>
      <c r="HA290" s="67"/>
      <c r="HB290" s="67"/>
      <c r="HC290" s="67"/>
      <c r="HD290" s="67"/>
    </row>
    <row r="291" spans="1:212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FY291" s="68"/>
      <c r="FZ291" s="67"/>
      <c r="GA291" s="67"/>
      <c r="GB291" s="67"/>
      <c r="GC291" s="67"/>
      <c r="GD291" s="67"/>
      <c r="GE291" s="67"/>
      <c r="GF291" s="67"/>
      <c r="GG291" s="67"/>
      <c r="GH291" s="67"/>
      <c r="GI291" s="67"/>
      <c r="GJ291" s="67"/>
      <c r="GK291" s="67"/>
      <c r="GL291" s="67"/>
      <c r="GM291" s="67"/>
      <c r="GN291" s="67"/>
      <c r="GO291" s="67"/>
      <c r="GP291" s="67"/>
      <c r="GQ291" s="67"/>
      <c r="GR291" s="67"/>
      <c r="GS291" s="67"/>
      <c r="GT291" s="67"/>
      <c r="GU291" s="67"/>
      <c r="GV291" s="67"/>
      <c r="GW291" s="67"/>
      <c r="GX291" s="67"/>
      <c r="GY291" s="67"/>
      <c r="GZ291" s="67"/>
      <c r="HA291" s="67"/>
      <c r="HB291" s="67"/>
      <c r="HC291" s="67"/>
      <c r="HD291" s="67"/>
    </row>
    <row r="292" spans="1:212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FY292" s="68"/>
      <c r="FZ292" s="67"/>
      <c r="GA292" s="67"/>
      <c r="GB292" s="67"/>
      <c r="GC292" s="67"/>
      <c r="GD292" s="67"/>
      <c r="GE292" s="67"/>
      <c r="GF292" s="67"/>
      <c r="GG292" s="67"/>
      <c r="GH292" s="67"/>
      <c r="GI292" s="67"/>
      <c r="GJ292" s="67"/>
      <c r="GK292" s="67"/>
      <c r="GL292" s="67"/>
      <c r="GM292" s="67"/>
      <c r="GN292" s="67"/>
      <c r="GO292" s="67"/>
      <c r="GP292" s="67"/>
      <c r="GQ292" s="67"/>
      <c r="GR292" s="67"/>
      <c r="GS292" s="67"/>
      <c r="GT292" s="67"/>
      <c r="GU292" s="67"/>
      <c r="GV292" s="67"/>
      <c r="GW292" s="67"/>
      <c r="GX292" s="67"/>
      <c r="GY292" s="67"/>
      <c r="GZ292" s="67"/>
      <c r="HA292" s="67"/>
      <c r="HB292" s="67"/>
      <c r="HC292" s="67"/>
      <c r="HD292" s="67"/>
    </row>
    <row r="293" spans="1:212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FY293" s="68"/>
      <c r="FZ293" s="67"/>
      <c r="GA293" s="67"/>
      <c r="GB293" s="67"/>
      <c r="GC293" s="67"/>
      <c r="GD293" s="67"/>
      <c r="GE293" s="67"/>
      <c r="GF293" s="67"/>
      <c r="GG293" s="67"/>
      <c r="GH293" s="67"/>
      <c r="GI293" s="67"/>
      <c r="GJ293" s="67"/>
      <c r="GK293" s="67"/>
      <c r="GL293" s="67"/>
      <c r="GM293" s="67"/>
      <c r="GN293" s="67"/>
      <c r="GO293" s="67"/>
      <c r="GP293" s="67"/>
      <c r="GQ293" s="67"/>
      <c r="GR293" s="67"/>
      <c r="GS293" s="67"/>
      <c r="GT293" s="67"/>
      <c r="GU293" s="67"/>
      <c r="GV293" s="67"/>
      <c r="GW293" s="67"/>
      <c r="GX293" s="67"/>
      <c r="GY293" s="67"/>
      <c r="GZ293" s="67"/>
      <c r="HA293" s="67"/>
      <c r="HB293" s="67"/>
      <c r="HC293" s="67"/>
      <c r="HD293" s="67"/>
    </row>
    <row r="294" spans="1:212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FY294" s="68"/>
      <c r="FZ294" s="67"/>
      <c r="GA294" s="67"/>
      <c r="GB294" s="67"/>
      <c r="GC294" s="67"/>
      <c r="GD294" s="67"/>
      <c r="GE294" s="67"/>
      <c r="GF294" s="67"/>
      <c r="GG294" s="67"/>
      <c r="GH294" s="67"/>
      <c r="GI294" s="67"/>
      <c r="GJ294" s="67"/>
      <c r="GK294" s="67"/>
      <c r="GL294" s="67"/>
      <c r="GM294" s="67"/>
      <c r="GN294" s="67"/>
      <c r="GO294" s="67"/>
      <c r="GP294" s="67"/>
      <c r="GQ294" s="67"/>
      <c r="GR294" s="67"/>
      <c r="GS294" s="67"/>
      <c r="GT294" s="67"/>
      <c r="GU294" s="67"/>
      <c r="GV294" s="67"/>
      <c r="GW294" s="67"/>
      <c r="GX294" s="67"/>
      <c r="GY294" s="67"/>
      <c r="GZ294" s="67"/>
      <c r="HA294" s="67"/>
      <c r="HB294" s="67"/>
      <c r="HC294" s="67"/>
      <c r="HD294" s="67"/>
    </row>
    <row r="295" spans="1:212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FY295" s="68"/>
      <c r="FZ295" s="67"/>
      <c r="GA295" s="67"/>
      <c r="GB295" s="67"/>
      <c r="GC295" s="67"/>
      <c r="GD295" s="67"/>
      <c r="GE295" s="67"/>
      <c r="GF295" s="67"/>
      <c r="GG295" s="67"/>
      <c r="GH295" s="67"/>
      <c r="GI295" s="67"/>
      <c r="GJ295" s="67"/>
      <c r="GK295" s="67"/>
      <c r="GL295" s="67"/>
      <c r="GM295" s="67"/>
      <c r="GN295" s="67"/>
      <c r="GO295" s="67"/>
      <c r="GP295" s="67"/>
      <c r="GQ295" s="67"/>
      <c r="GR295" s="67"/>
      <c r="GS295" s="67"/>
      <c r="GT295" s="67"/>
      <c r="GU295" s="67"/>
      <c r="GV295" s="67"/>
      <c r="GW295" s="67"/>
      <c r="GX295" s="67"/>
      <c r="GY295" s="67"/>
      <c r="GZ295" s="67"/>
      <c r="HA295" s="67"/>
      <c r="HB295" s="67"/>
      <c r="HC295" s="67"/>
      <c r="HD295" s="67"/>
    </row>
    <row r="296" spans="1:212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FY296" s="68"/>
      <c r="FZ296" s="67"/>
      <c r="GA296" s="67"/>
      <c r="GB296" s="67"/>
      <c r="GC296" s="67"/>
      <c r="GD296" s="67"/>
      <c r="GE296" s="67"/>
      <c r="GF296" s="67"/>
      <c r="GG296" s="67"/>
      <c r="GH296" s="67"/>
      <c r="GI296" s="67"/>
      <c r="GJ296" s="67"/>
      <c r="GK296" s="67"/>
      <c r="GL296" s="67"/>
      <c r="GM296" s="67"/>
      <c r="GN296" s="67"/>
      <c r="GO296" s="67"/>
      <c r="GP296" s="67"/>
      <c r="GQ296" s="67"/>
      <c r="GR296" s="67"/>
      <c r="GS296" s="67"/>
      <c r="GT296" s="67"/>
      <c r="GU296" s="67"/>
      <c r="GV296" s="67"/>
      <c r="GW296" s="67"/>
      <c r="GX296" s="67"/>
      <c r="GY296" s="67"/>
      <c r="GZ296" s="67"/>
      <c r="HA296" s="67"/>
      <c r="HB296" s="67"/>
      <c r="HC296" s="67"/>
      <c r="HD296" s="67"/>
    </row>
    <row r="297" spans="1:212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FY297" s="68"/>
      <c r="FZ297" s="67"/>
      <c r="GA297" s="67"/>
      <c r="GB297" s="67"/>
      <c r="GC297" s="67"/>
      <c r="GD297" s="67"/>
      <c r="GE297" s="67"/>
      <c r="GF297" s="67"/>
      <c r="GG297" s="67"/>
      <c r="GH297" s="67"/>
      <c r="GI297" s="67"/>
      <c r="GJ297" s="67"/>
      <c r="GK297" s="67"/>
      <c r="GL297" s="67"/>
      <c r="GM297" s="67"/>
      <c r="GN297" s="67"/>
      <c r="GO297" s="67"/>
      <c r="GP297" s="67"/>
      <c r="GQ297" s="67"/>
      <c r="GR297" s="67"/>
      <c r="GS297" s="67"/>
      <c r="GT297" s="67"/>
      <c r="GU297" s="67"/>
      <c r="GV297" s="67"/>
      <c r="GW297" s="67"/>
      <c r="GX297" s="67"/>
      <c r="GY297" s="67"/>
      <c r="GZ297" s="67"/>
      <c r="HA297" s="67"/>
      <c r="HB297" s="67"/>
      <c r="HC297" s="67"/>
      <c r="HD297" s="67"/>
    </row>
    <row r="298" spans="1:212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FY298" s="68"/>
      <c r="FZ298" s="67"/>
      <c r="GA298" s="67"/>
      <c r="GB298" s="67"/>
      <c r="GC298" s="67"/>
      <c r="GD298" s="67"/>
      <c r="GE298" s="67"/>
      <c r="GF298" s="67"/>
      <c r="GG298" s="67"/>
      <c r="GH298" s="67"/>
      <c r="GI298" s="67"/>
      <c r="GJ298" s="67"/>
      <c r="GK298" s="67"/>
      <c r="GL298" s="67"/>
      <c r="GM298" s="67"/>
      <c r="GN298" s="67"/>
      <c r="GO298" s="67"/>
      <c r="GP298" s="67"/>
      <c r="GQ298" s="67"/>
      <c r="GR298" s="67"/>
      <c r="GS298" s="67"/>
      <c r="GT298" s="67"/>
      <c r="GU298" s="67"/>
      <c r="GV298" s="67"/>
      <c r="GW298" s="67"/>
      <c r="GX298" s="67"/>
      <c r="GY298" s="67"/>
      <c r="GZ298" s="67"/>
      <c r="HA298" s="67"/>
      <c r="HB298" s="67"/>
      <c r="HC298" s="67"/>
      <c r="HD298" s="67"/>
    </row>
    <row r="299" spans="1:212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FY299" s="68"/>
      <c r="FZ299" s="67"/>
      <c r="GA299" s="67"/>
      <c r="GB299" s="67"/>
      <c r="GC299" s="67"/>
      <c r="GD299" s="67"/>
      <c r="GE299" s="67"/>
      <c r="GF299" s="67"/>
      <c r="GG299" s="67"/>
      <c r="GH299" s="67"/>
      <c r="GI299" s="67"/>
      <c r="GJ299" s="67"/>
      <c r="GK299" s="67"/>
      <c r="GL299" s="67"/>
      <c r="GM299" s="67"/>
      <c r="GN299" s="67"/>
      <c r="GO299" s="67"/>
      <c r="GP299" s="67"/>
      <c r="GQ299" s="67"/>
      <c r="GR299" s="67"/>
      <c r="GS299" s="67"/>
      <c r="GT299" s="67"/>
      <c r="GU299" s="67"/>
      <c r="GV299" s="67"/>
      <c r="GW299" s="67"/>
      <c r="GX299" s="67"/>
      <c r="GY299" s="67"/>
      <c r="GZ299" s="67"/>
      <c r="HA299" s="67"/>
      <c r="HB299" s="67"/>
      <c r="HC299" s="67"/>
      <c r="HD299" s="67"/>
    </row>
    <row r="300" spans="1:212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FY300" s="68"/>
      <c r="FZ300" s="67"/>
      <c r="GA300" s="67"/>
      <c r="GB300" s="67"/>
      <c r="GC300" s="67"/>
      <c r="GD300" s="67"/>
      <c r="GE300" s="67"/>
      <c r="GF300" s="67"/>
      <c r="GG300" s="67"/>
      <c r="GH300" s="67"/>
      <c r="GI300" s="67"/>
      <c r="GJ300" s="67"/>
      <c r="GK300" s="67"/>
      <c r="GL300" s="67"/>
      <c r="GM300" s="67"/>
      <c r="GN300" s="67"/>
      <c r="GO300" s="67"/>
      <c r="GP300" s="67"/>
      <c r="GQ300" s="67"/>
      <c r="GR300" s="67"/>
      <c r="GS300" s="67"/>
      <c r="GT300" s="67"/>
      <c r="GU300" s="67"/>
      <c r="GV300" s="67"/>
      <c r="GW300" s="67"/>
      <c r="GX300" s="67"/>
      <c r="GY300" s="67"/>
      <c r="GZ300" s="67"/>
      <c r="HA300" s="67"/>
      <c r="HB300" s="67"/>
      <c r="HC300" s="67"/>
      <c r="HD300" s="67"/>
    </row>
    <row r="301" spans="1:212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FY301" s="68"/>
      <c r="FZ301" s="67"/>
      <c r="GA301" s="67"/>
      <c r="GB301" s="67"/>
      <c r="GC301" s="67"/>
      <c r="GD301" s="67"/>
      <c r="GE301" s="67"/>
      <c r="GF301" s="67"/>
      <c r="GG301" s="67"/>
      <c r="GH301" s="67"/>
      <c r="GI301" s="67"/>
      <c r="GJ301" s="67"/>
      <c r="GK301" s="67"/>
      <c r="GL301" s="67"/>
      <c r="GM301" s="67"/>
      <c r="GN301" s="67"/>
      <c r="GO301" s="67"/>
      <c r="GP301" s="67"/>
      <c r="GQ301" s="67"/>
      <c r="GR301" s="67"/>
      <c r="GS301" s="67"/>
      <c r="GT301" s="67"/>
      <c r="GU301" s="67"/>
      <c r="GV301" s="67"/>
      <c r="GW301" s="67"/>
      <c r="GX301" s="67"/>
      <c r="GY301" s="67"/>
      <c r="GZ301" s="67"/>
      <c r="HA301" s="67"/>
      <c r="HB301" s="67"/>
      <c r="HC301" s="67"/>
      <c r="HD301" s="67"/>
    </row>
    <row r="302" spans="1:212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FY302" s="68"/>
      <c r="FZ302" s="67"/>
      <c r="GA302" s="67"/>
      <c r="GB302" s="67"/>
      <c r="GC302" s="67"/>
      <c r="GD302" s="67"/>
      <c r="GE302" s="67"/>
      <c r="GF302" s="67"/>
      <c r="GG302" s="67"/>
      <c r="GH302" s="67"/>
      <c r="GI302" s="67"/>
      <c r="GJ302" s="67"/>
      <c r="GK302" s="67"/>
      <c r="GL302" s="67"/>
      <c r="GM302" s="67"/>
      <c r="GN302" s="67"/>
      <c r="GO302" s="67"/>
      <c r="GP302" s="67"/>
      <c r="GQ302" s="67"/>
      <c r="GR302" s="67"/>
      <c r="GS302" s="67"/>
      <c r="GT302" s="67"/>
      <c r="GU302" s="67"/>
      <c r="GV302" s="67"/>
      <c r="GW302" s="67"/>
      <c r="GX302" s="67"/>
      <c r="GY302" s="67"/>
      <c r="GZ302" s="67"/>
      <c r="HA302" s="67"/>
      <c r="HB302" s="67"/>
      <c r="HC302" s="67"/>
      <c r="HD302" s="67"/>
    </row>
    <row r="303" spans="1:212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FY303" s="68"/>
      <c r="FZ303" s="67"/>
      <c r="GA303" s="67"/>
      <c r="GB303" s="67"/>
      <c r="GC303" s="67"/>
      <c r="GD303" s="67"/>
      <c r="GE303" s="67"/>
      <c r="GF303" s="67"/>
      <c r="GG303" s="67"/>
      <c r="GH303" s="67"/>
      <c r="GI303" s="67"/>
      <c r="GJ303" s="67"/>
      <c r="GK303" s="67"/>
      <c r="GL303" s="67"/>
      <c r="GM303" s="67"/>
      <c r="GN303" s="67"/>
      <c r="GO303" s="67"/>
      <c r="GP303" s="67"/>
      <c r="GQ303" s="67"/>
      <c r="GR303" s="67"/>
      <c r="GS303" s="67"/>
      <c r="GT303" s="67"/>
      <c r="GU303" s="67"/>
      <c r="GV303" s="67"/>
      <c r="GW303" s="67"/>
      <c r="GX303" s="67"/>
      <c r="GY303" s="67"/>
      <c r="GZ303" s="67"/>
      <c r="HA303" s="67"/>
      <c r="HB303" s="67"/>
      <c r="HC303" s="67"/>
      <c r="HD303" s="67"/>
    </row>
    <row r="304" spans="1:212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FY304" s="68"/>
      <c r="FZ304" s="67"/>
      <c r="GA304" s="67"/>
      <c r="GB304" s="67"/>
      <c r="GC304" s="67"/>
      <c r="GD304" s="67"/>
      <c r="GE304" s="67"/>
      <c r="GF304" s="67"/>
      <c r="GG304" s="67"/>
      <c r="GH304" s="67"/>
      <c r="GI304" s="67"/>
      <c r="GJ304" s="67"/>
      <c r="GK304" s="67"/>
      <c r="GL304" s="67"/>
      <c r="GM304" s="67"/>
      <c r="GN304" s="67"/>
      <c r="GO304" s="67"/>
      <c r="GP304" s="67"/>
      <c r="GQ304" s="67"/>
      <c r="GR304" s="67"/>
      <c r="GS304" s="67"/>
      <c r="GT304" s="67"/>
      <c r="GU304" s="67"/>
      <c r="GV304" s="67"/>
      <c r="GW304" s="67"/>
      <c r="GX304" s="67"/>
      <c r="GY304" s="67"/>
      <c r="GZ304" s="67"/>
      <c r="HA304" s="67"/>
      <c r="HB304" s="67"/>
      <c r="HC304" s="67"/>
      <c r="HD304" s="67"/>
    </row>
    <row r="305" spans="1:212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FY305" s="68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</row>
    <row r="306" spans="1:212" ht="1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FY306" s="68"/>
      <c r="FZ306" s="67"/>
      <c r="GA306" s="67"/>
      <c r="GB306" s="67"/>
      <c r="GC306" s="67"/>
      <c r="GD306" s="67"/>
      <c r="GE306" s="67"/>
      <c r="GF306" s="67"/>
      <c r="GG306" s="67"/>
      <c r="GH306" s="67"/>
      <c r="GI306" s="67"/>
      <c r="GJ306" s="67"/>
      <c r="GK306" s="67"/>
      <c r="GL306" s="67"/>
      <c r="GM306" s="67"/>
      <c r="GN306" s="67"/>
      <c r="GO306" s="67"/>
      <c r="GP306" s="67"/>
      <c r="GQ306" s="67"/>
      <c r="GR306" s="67"/>
      <c r="GS306" s="67"/>
      <c r="GT306" s="67"/>
      <c r="GU306" s="67"/>
      <c r="GV306" s="67"/>
      <c r="GW306" s="67"/>
      <c r="GX306" s="67"/>
      <c r="GY306" s="67"/>
      <c r="GZ306" s="67"/>
      <c r="HA306" s="67"/>
      <c r="HB306" s="67"/>
      <c r="HC306" s="67"/>
      <c r="HD306" s="67"/>
    </row>
    <row r="307" spans="1:212" ht="1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FY307" s="68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  <c r="GX307" s="67"/>
      <c r="GY307" s="67"/>
      <c r="GZ307" s="67"/>
      <c r="HA307" s="67"/>
      <c r="HB307" s="67"/>
      <c r="HC307" s="67"/>
      <c r="HD307" s="67"/>
    </row>
    <row r="308" spans="1:212" ht="1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FY308" s="68"/>
      <c r="FZ308" s="67"/>
      <c r="GA308" s="67"/>
      <c r="GB308" s="67"/>
      <c r="GC308" s="67"/>
      <c r="GD308" s="67"/>
      <c r="GE308" s="67"/>
      <c r="GF308" s="67"/>
      <c r="GG308" s="67"/>
      <c r="GH308" s="67"/>
      <c r="GI308" s="67"/>
      <c r="GJ308" s="67"/>
      <c r="GK308" s="67"/>
      <c r="GL308" s="67"/>
      <c r="GM308" s="67"/>
      <c r="GN308" s="67"/>
      <c r="GO308" s="67"/>
      <c r="GP308" s="67"/>
      <c r="GQ308" s="67"/>
      <c r="GR308" s="67"/>
      <c r="GS308" s="67"/>
      <c r="GT308" s="67"/>
      <c r="GU308" s="67"/>
      <c r="GV308" s="67"/>
      <c r="GW308" s="67"/>
      <c r="GX308" s="67"/>
      <c r="GY308" s="67"/>
      <c r="GZ308" s="67"/>
      <c r="HA308" s="67"/>
      <c r="HB308" s="67"/>
      <c r="HC308" s="67"/>
      <c r="HD308" s="67"/>
    </row>
    <row r="309" spans="1:212" ht="1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FY309" s="68"/>
      <c r="FZ309" s="67"/>
      <c r="GA309" s="67"/>
      <c r="GB309" s="67"/>
      <c r="GC309" s="67"/>
      <c r="GD309" s="67"/>
      <c r="GE309" s="67"/>
      <c r="GF309" s="67"/>
      <c r="GG309" s="67"/>
      <c r="GH309" s="67"/>
      <c r="GI309" s="67"/>
      <c r="GJ309" s="67"/>
      <c r="GK309" s="67"/>
      <c r="GL309" s="67"/>
      <c r="GM309" s="67"/>
      <c r="GN309" s="67"/>
      <c r="GO309" s="67"/>
      <c r="GP309" s="67"/>
      <c r="GQ309" s="67"/>
      <c r="GR309" s="67"/>
      <c r="GS309" s="67"/>
      <c r="GT309" s="67"/>
      <c r="GU309" s="67"/>
      <c r="GV309" s="67"/>
      <c r="GW309" s="67"/>
      <c r="GX309" s="67"/>
      <c r="GY309" s="67"/>
      <c r="GZ309" s="67"/>
      <c r="HA309" s="67"/>
      <c r="HB309" s="67"/>
      <c r="HC309" s="67"/>
      <c r="HD309" s="67"/>
    </row>
    <row r="310" spans="1:212" ht="1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FY310" s="68"/>
      <c r="FZ310" s="67"/>
      <c r="GA310" s="67"/>
      <c r="GB310" s="67"/>
      <c r="GC310" s="67"/>
      <c r="GD310" s="67"/>
      <c r="GE310" s="67"/>
      <c r="GF310" s="67"/>
      <c r="GG310" s="67"/>
      <c r="GH310" s="67"/>
      <c r="GI310" s="67"/>
      <c r="GJ310" s="67"/>
      <c r="GK310" s="67"/>
      <c r="GL310" s="67"/>
      <c r="GM310" s="67"/>
      <c r="GN310" s="67"/>
      <c r="GO310" s="67"/>
      <c r="GP310" s="67"/>
      <c r="GQ310" s="67"/>
      <c r="GR310" s="67"/>
      <c r="GS310" s="67"/>
      <c r="GT310" s="67"/>
      <c r="GU310" s="67"/>
      <c r="GV310" s="67"/>
      <c r="GW310" s="67"/>
      <c r="GX310" s="67"/>
      <c r="GY310" s="67"/>
      <c r="GZ310" s="67"/>
      <c r="HA310" s="67"/>
      <c r="HB310" s="67"/>
      <c r="HC310" s="67"/>
      <c r="HD310" s="67"/>
    </row>
    <row r="311" spans="1:212" ht="1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FY311" s="68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  <c r="GX311" s="67"/>
      <c r="GY311" s="67"/>
      <c r="GZ311" s="67"/>
      <c r="HA311" s="67"/>
      <c r="HB311" s="67"/>
      <c r="HC311" s="67"/>
      <c r="HD311" s="67"/>
    </row>
    <row r="312" spans="1:212" ht="1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FY312" s="68"/>
      <c r="FZ312" s="67"/>
      <c r="GA312" s="67"/>
      <c r="GB312" s="67"/>
      <c r="GC312" s="67"/>
      <c r="GD312" s="67"/>
      <c r="GE312" s="67"/>
      <c r="GF312" s="67"/>
      <c r="GG312" s="67"/>
      <c r="GH312" s="67"/>
      <c r="GI312" s="67"/>
      <c r="GJ312" s="67"/>
      <c r="GK312" s="67"/>
      <c r="GL312" s="67"/>
      <c r="GM312" s="67"/>
      <c r="GN312" s="67"/>
      <c r="GO312" s="67"/>
      <c r="GP312" s="67"/>
      <c r="GQ312" s="67"/>
      <c r="GR312" s="67"/>
      <c r="GS312" s="67"/>
      <c r="GT312" s="67"/>
      <c r="GU312" s="67"/>
      <c r="GV312" s="67"/>
      <c r="GW312" s="67"/>
      <c r="GX312" s="67"/>
      <c r="GY312" s="67"/>
      <c r="GZ312" s="67"/>
      <c r="HA312" s="67"/>
      <c r="HB312" s="67"/>
      <c r="HC312" s="67"/>
      <c r="HD312" s="67"/>
    </row>
    <row r="313" spans="1:212" ht="1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FY313" s="68"/>
      <c r="FZ313" s="67"/>
      <c r="GA313" s="67"/>
      <c r="GB313" s="67"/>
      <c r="GC313" s="67"/>
      <c r="GD313" s="67"/>
      <c r="GE313" s="67"/>
      <c r="GF313" s="67"/>
      <c r="GG313" s="67"/>
      <c r="GH313" s="67"/>
      <c r="GI313" s="67"/>
      <c r="GJ313" s="67"/>
      <c r="GK313" s="67"/>
      <c r="GL313" s="67"/>
      <c r="GM313" s="67"/>
      <c r="GN313" s="67"/>
      <c r="GO313" s="67"/>
      <c r="GP313" s="67"/>
      <c r="GQ313" s="67"/>
      <c r="GR313" s="67"/>
      <c r="GS313" s="67"/>
      <c r="GT313" s="67"/>
      <c r="GU313" s="67"/>
      <c r="GV313" s="67"/>
      <c r="GW313" s="67"/>
      <c r="GX313" s="67"/>
      <c r="GY313" s="67"/>
      <c r="GZ313" s="67"/>
      <c r="HA313" s="67"/>
      <c r="HB313" s="67"/>
      <c r="HC313" s="67"/>
      <c r="HD313" s="67"/>
    </row>
    <row r="314" spans="1:212" ht="1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FY314" s="68"/>
      <c r="FZ314" s="67"/>
      <c r="GA314" s="67"/>
      <c r="GB314" s="67"/>
      <c r="GC314" s="67"/>
      <c r="GD314" s="67"/>
      <c r="GE314" s="67"/>
      <c r="GF314" s="67"/>
      <c r="GG314" s="67"/>
      <c r="GH314" s="67"/>
      <c r="GI314" s="67"/>
      <c r="GJ314" s="67"/>
      <c r="GK314" s="67"/>
      <c r="GL314" s="67"/>
      <c r="GM314" s="67"/>
      <c r="GN314" s="67"/>
      <c r="GO314" s="67"/>
      <c r="GP314" s="67"/>
      <c r="GQ314" s="67"/>
      <c r="GR314" s="67"/>
      <c r="GS314" s="67"/>
      <c r="GT314" s="67"/>
      <c r="GU314" s="67"/>
      <c r="GV314" s="67"/>
      <c r="GW314" s="67"/>
      <c r="GX314" s="67"/>
      <c r="GY314" s="67"/>
      <c r="GZ314" s="67"/>
      <c r="HA314" s="67"/>
      <c r="HB314" s="67"/>
      <c r="HC314" s="67"/>
      <c r="HD314" s="67"/>
    </row>
    <row r="315" spans="1:212" ht="1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FY315" s="68"/>
      <c r="FZ315" s="67"/>
      <c r="GA315" s="67"/>
      <c r="GB315" s="67"/>
      <c r="GC315" s="67"/>
      <c r="GD315" s="67"/>
      <c r="GE315" s="67"/>
      <c r="GF315" s="67"/>
      <c r="GG315" s="67"/>
      <c r="GH315" s="67"/>
      <c r="GI315" s="67"/>
      <c r="GJ315" s="67"/>
      <c r="GK315" s="67"/>
      <c r="GL315" s="67"/>
      <c r="GM315" s="67"/>
      <c r="GN315" s="67"/>
      <c r="GO315" s="67"/>
      <c r="GP315" s="67"/>
      <c r="GQ315" s="67"/>
      <c r="GR315" s="67"/>
      <c r="GS315" s="67"/>
      <c r="GT315" s="67"/>
      <c r="GU315" s="67"/>
      <c r="GV315" s="67"/>
      <c r="GW315" s="67"/>
      <c r="GX315" s="67"/>
      <c r="GY315" s="67"/>
      <c r="GZ315" s="67"/>
      <c r="HA315" s="67"/>
      <c r="HB315" s="67"/>
      <c r="HC315" s="67"/>
      <c r="HD315" s="67"/>
    </row>
    <row r="316" spans="1:212" ht="1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FY316" s="68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  <c r="GV316" s="67"/>
      <c r="GW316" s="67"/>
      <c r="GX316" s="67"/>
      <c r="GY316" s="67"/>
      <c r="GZ316" s="67"/>
      <c r="HA316" s="67"/>
      <c r="HB316" s="67"/>
      <c r="HC316" s="67"/>
      <c r="HD316" s="67"/>
    </row>
    <row r="317" spans="1:212" ht="1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FY317" s="68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  <c r="GV317" s="67"/>
      <c r="GW317" s="67"/>
      <c r="GX317" s="67"/>
      <c r="GY317" s="67"/>
      <c r="GZ317" s="67"/>
      <c r="HA317" s="67"/>
      <c r="HB317" s="67"/>
      <c r="HC317" s="67"/>
      <c r="HD317" s="67"/>
    </row>
    <row r="318" spans="1:212" ht="1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FY318" s="68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  <c r="GV318" s="67"/>
      <c r="GW318" s="67"/>
      <c r="GX318" s="67"/>
      <c r="GY318" s="67"/>
      <c r="GZ318" s="67"/>
      <c r="HA318" s="67"/>
      <c r="HB318" s="67"/>
      <c r="HC318" s="67"/>
      <c r="HD318" s="67"/>
    </row>
    <row r="319" spans="1:212" ht="1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FY319" s="68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  <c r="GV319" s="67"/>
      <c r="GW319" s="67"/>
      <c r="GX319" s="67"/>
      <c r="GY319" s="67"/>
      <c r="GZ319" s="67"/>
      <c r="HA319" s="67"/>
      <c r="HB319" s="67"/>
      <c r="HC319" s="67"/>
      <c r="HD319" s="67"/>
    </row>
    <row r="320" spans="1:212" ht="1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FY320" s="68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  <c r="GV320" s="67"/>
      <c r="GW320" s="67"/>
      <c r="GX320" s="67"/>
      <c r="GY320" s="67"/>
      <c r="GZ320" s="67"/>
      <c r="HA320" s="67"/>
      <c r="HB320" s="67"/>
      <c r="HC320" s="67"/>
      <c r="HD320" s="67"/>
    </row>
    <row r="321" spans="1:212" ht="1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FY321" s="68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  <c r="GV321" s="67"/>
      <c r="GW321" s="67"/>
      <c r="GX321" s="67"/>
      <c r="GY321" s="67"/>
      <c r="GZ321" s="67"/>
      <c r="HA321" s="67"/>
      <c r="HB321" s="67"/>
      <c r="HC321" s="67"/>
      <c r="HD321" s="67"/>
    </row>
    <row r="322" spans="1:212" ht="1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FY322" s="68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  <c r="GV322" s="67"/>
      <c r="GW322" s="67"/>
      <c r="GX322" s="67"/>
      <c r="GY322" s="67"/>
      <c r="GZ322" s="67"/>
      <c r="HA322" s="67"/>
      <c r="HB322" s="67"/>
      <c r="HC322" s="67"/>
      <c r="HD322" s="67"/>
    </row>
    <row r="323" spans="1:212" ht="1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FY323" s="68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  <c r="GV323" s="67"/>
      <c r="GW323" s="67"/>
      <c r="GX323" s="67"/>
      <c r="GY323" s="67"/>
      <c r="GZ323" s="67"/>
      <c r="HA323" s="67"/>
      <c r="HB323" s="67"/>
      <c r="HC323" s="67"/>
      <c r="HD323" s="67"/>
    </row>
    <row r="324" spans="1:212" ht="1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FY324" s="68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  <c r="GV324" s="67"/>
      <c r="GW324" s="67"/>
      <c r="GX324" s="67"/>
      <c r="GY324" s="67"/>
      <c r="GZ324" s="67"/>
      <c r="HA324" s="67"/>
      <c r="HB324" s="67"/>
      <c r="HC324" s="67"/>
      <c r="HD324" s="67"/>
    </row>
    <row r="325" spans="1:212" ht="1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FY325" s="68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  <c r="GV325" s="67"/>
      <c r="GW325" s="67"/>
      <c r="GX325" s="67"/>
      <c r="GY325" s="67"/>
      <c r="GZ325" s="67"/>
      <c r="HA325" s="67"/>
      <c r="HB325" s="67"/>
      <c r="HC325" s="67"/>
      <c r="HD325" s="67"/>
    </row>
    <row r="326" spans="1:212" ht="1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FY326" s="68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  <c r="GV326" s="67"/>
      <c r="GW326" s="67"/>
      <c r="GX326" s="67"/>
      <c r="GY326" s="67"/>
      <c r="GZ326" s="67"/>
      <c r="HA326" s="67"/>
      <c r="HB326" s="67"/>
      <c r="HC326" s="67"/>
      <c r="HD326" s="67"/>
    </row>
    <row r="327" spans="1:212" ht="1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FY327" s="68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  <c r="GV327" s="67"/>
      <c r="GW327" s="67"/>
      <c r="GX327" s="67"/>
      <c r="GY327" s="67"/>
      <c r="GZ327" s="67"/>
      <c r="HA327" s="67"/>
      <c r="HB327" s="67"/>
      <c r="HC327" s="67"/>
      <c r="HD327" s="67"/>
    </row>
    <row r="328" spans="1:212" ht="1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FY328" s="68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  <c r="GU328" s="67"/>
      <c r="GV328" s="67"/>
      <c r="GW328" s="67"/>
      <c r="GX328" s="67"/>
      <c r="GY328" s="67"/>
      <c r="GZ328" s="67"/>
      <c r="HA328" s="67"/>
      <c r="HB328" s="67"/>
      <c r="HC328" s="67"/>
      <c r="HD328" s="67"/>
    </row>
    <row r="329" spans="1:212" ht="1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FY329" s="68"/>
      <c r="FZ329" s="67"/>
      <c r="GA329" s="67"/>
      <c r="GB329" s="67"/>
      <c r="GC329" s="67"/>
      <c r="GD329" s="67"/>
      <c r="GE329" s="67"/>
      <c r="GF329" s="67"/>
      <c r="GG329" s="67"/>
      <c r="GH329" s="67"/>
      <c r="GI329" s="67"/>
      <c r="GJ329" s="67"/>
      <c r="GK329" s="67"/>
      <c r="GL329" s="67"/>
      <c r="GM329" s="67"/>
      <c r="GN329" s="67"/>
      <c r="GO329" s="67"/>
      <c r="GP329" s="67"/>
      <c r="GQ329" s="67"/>
      <c r="GR329" s="67"/>
      <c r="GS329" s="67"/>
      <c r="GT329" s="67"/>
      <c r="GU329" s="67"/>
      <c r="GV329" s="67"/>
      <c r="GW329" s="67"/>
      <c r="GX329" s="67"/>
      <c r="GY329" s="67"/>
      <c r="GZ329" s="67"/>
      <c r="HA329" s="67"/>
      <c r="HB329" s="67"/>
      <c r="HC329" s="67"/>
      <c r="HD329" s="67"/>
    </row>
    <row r="330" spans="1:212" ht="1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FY330" s="68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  <c r="GU330" s="67"/>
      <c r="GV330" s="67"/>
      <c r="GW330" s="67"/>
      <c r="GX330" s="67"/>
      <c r="GY330" s="67"/>
      <c r="GZ330" s="67"/>
      <c r="HA330" s="67"/>
      <c r="HB330" s="67"/>
      <c r="HC330" s="67"/>
      <c r="HD330" s="67"/>
    </row>
    <row r="331" spans="1:212" ht="1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FY331" s="68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  <c r="GU331" s="67"/>
      <c r="GV331" s="67"/>
      <c r="GW331" s="67"/>
      <c r="GX331" s="67"/>
      <c r="GY331" s="67"/>
      <c r="GZ331" s="67"/>
      <c r="HA331" s="67"/>
      <c r="HB331" s="67"/>
      <c r="HC331" s="67"/>
      <c r="HD331" s="67"/>
    </row>
    <row r="332" spans="1:212" ht="1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FY332" s="68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  <c r="GU332" s="67"/>
      <c r="GV332" s="67"/>
      <c r="GW332" s="67"/>
      <c r="GX332" s="67"/>
      <c r="GY332" s="67"/>
      <c r="GZ332" s="67"/>
      <c r="HA332" s="67"/>
      <c r="HB332" s="67"/>
      <c r="HC332" s="67"/>
      <c r="HD332" s="67"/>
    </row>
    <row r="333" spans="1:212" ht="1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FY333" s="68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67"/>
      <c r="GL333" s="67"/>
      <c r="GM333" s="67"/>
      <c r="GN333" s="67"/>
      <c r="GO333" s="67"/>
      <c r="GP333" s="67"/>
      <c r="GQ333" s="67"/>
      <c r="GR333" s="67"/>
      <c r="GS333" s="67"/>
      <c r="GT333" s="67"/>
      <c r="GU333" s="67"/>
      <c r="GV333" s="67"/>
      <c r="GW333" s="67"/>
      <c r="GX333" s="67"/>
      <c r="GY333" s="67"/>
      <c r="GZ333" s="67"/>
      <c r="HA333" s="67"/>
      <c r="HB333" s="67"/>
      <c r="HC333" s="67"/>
      <c r="HD333" s="67"/>
    </row>
    <row r="334" spans="1:212" ht="1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FY334" s="68"/>
      <c r="FZ334" s="67"/>
      <c r="GA334" s="67"/>
      <c r="GB334" s="67"/>
      <c r="GC334" s="67"/>
      <c r="GD334" s="67"/>
      <c r="GE334" s="67"/>
      <c r="GF334" s="67"/>
      <c r="GG334" s="67"/>
      <c r="GH334" s="67"/>
      <c r="GI334" s="67"/>
      <c r="GJ334" s="67"/>
      <c r="GK334" s="67"/>
      <c r="GL334" s="67"/>
      <c r="GM334" s="67"/>
      <c r="GN334" s="67"/>
      <c r="GO334" s="67"/>
      <c r="GP334" s="67"/>
      <c r="GQ334" s="67"/>
      <c r="GR334" s="67"/>
      <c r="GS334" s="67"/>
      <c r="GT334" s="67"/>
      <c r="GU334" s="67"/>
      <c r="GV334" s="67"/>
      <c r="GW334" s="67"/>
      <c r="GX334" s="67"/>
      <c r="GY334" s="67"/>
      <c r="GZ334" s="67"/>
      <c r="HA334" s="67"/>
      <c r="HB334" s="67"/>
      <c r="HC334" s="67"/>
      <c r="HD334" s="67"/>
    </row>
    <row r="335" spans="1:212" ht="1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FY335" s="68"/>
      <c r="FZ335" s="67"/>
      <c r="GA335" s="67"/>
      <c r="GB335" s="67"/>
      <c r="GC335" s="67"/>
      <c r="GD335" s="67"/>
      <c r="GE335" s="67"/>
      <c r="GF335" s="67"/>
      <c r="GG335" s="67"/>
      <c r="GH335" s="67"/>
      <c r="GI335" s="67"/>
      <c r="GJ335" s="67"/>
      <c r="GK335" s="67"/>
      <c r="GL335" s="67"/>
      <c r="GM335" s="67"/>
      <c r="GN335" s="67"/>
      <c r="GO335" s="67"/>
      <c r="GP335" s="67"/>
      <c r="GQ335" s="67"/>
      <c r="GR335" s="67"/>
      <c r="GS335" s="67"/>
      <c r="GT335" s="67"/>
      <c r="GU335" s="67"/>
      <c r="GV335" s="67"/>
      <c r="GW335" s="67"/>
      <c r="GX335" s="67"/>
      <c r="GY335" s="67"/>
      <c r="GZ335" s="67"/>
      <c r="HA335" s="67"/>
      <c r="HB335" s="67"/>
      <c r="HC335" s="67"/>
      <c r="HD335" s="67"/>
    </row>
    <row r="336" spans="1:212" ht="1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FY336" s="68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  <c r="GU336" s="67"/>
      <c r="GV336" s="67"/>
      <c r="GW336" s="67"/>
      <c r="GX336" s="67"/>
      <c r="GY336" s="67"/>
      <c r="GZ336" s="67"/>
      <c r="HA336" s="67"/>
      <c r="HB336" s="67"/>
      <c r="HC336" s="67"/>
      <c r="HD336" s="67"/>
    </row>
    <row r="337" spans="1:212" ht="1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FY337" s="68"/>
      <c r="FZ337" s="67"/>
      <c r="GA337" s="67"/>
      <c r="GB337" s="67"/>
      <c r="GC337" s="67"/>
      <c r="GD337" s="67"/>
      <c r="GE337" s="67"/>
      <c r="GF337" s="67"/>
      <c r="GG337" s="67"/>
      <c r="GH337" s="67"/>
      <c r="GI337" s="67"/>
      <c r="GJ337" s="67"/>
      <c r="GK337" s="67"/>
      <c r="GL337" s="67"/>
      <c r="GM337" s="67"/>
      <c r="GN337" s="67"/>
      <c r="GO337" s="67"/>
      <c r="GP337" s="67"/>
      <c r="GQ337" s="67"/>
      <c r="GR337" s="67"/>
      <c r="GS337" s="67"/>
      <c r="GT337" s="67"/>
      <c r="GU337" s="67"/>
      <c r="GV337" s="67"/>
      <c r="GW337" s="67"/>
      <c r="GX337" s="67"/>
      <c r="GY337" s="67"/>
      <c r="GZ337" s="67"/>
      <c r="HA337" s="67"/>
      <c r="HB337" s="67"/>
      <c r="HC337" s="67"/>
      <c r="HD337" s="67"/>
    </row>
    <row r="338" spans="1:212" ht="1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FY338" s="68"/>
      <c r="FZ338" s="67"/>
      <c r="GA338" s="67"/>
      <c r="GB338" s="67"/>
      <c r="GC338" s="67"/>
      <c r="GD338" s="67"/>
      <c r="GE338" s="67"/>
      <c r="GF338" s="67"/>
      <c r="GG338" s="67"/>
      <c r="GH338" s="67"/>
      <c r="GI338" s="67"/>
      <c r="GJ338" s="67"/>
      <c r="GK338" s="67"/>
      <c r="GL338" s="67"/>
      <c r="GM338" s="67"/>
      <c r="GN338" s="67"/>
      <c r="GO338" s="67"/>
      <c r="GP338" s="67"/>
      <c r="GQ338" s="67"/>
      <c r="GR338" s="67"/>
      <c r="GS338" s="67"/>
      <c r="GT338" s="67"/>
      <c r="GU338" s="67"/>
      <c r="GV338" s="67"/>
      <c r="GW338" s="67"/>
      <c r="GX338" s="67"/>
      <c r="GY338" s="67"/>
      <c r="GZ338" s="67"/>
      <c r="HA338" s="67"/>
      <c r="HB338" s="67"/>
      <c r="HC338" s="67"/>
      <c r="HD338" s="67"/>
    </row>
    <row r="339" spans="1:212" ht="1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FY339" s="68"/>
      <c r="FZ339" s="67"/>
      <c r="GA339" s="67"/>
      <c r="GB339" s="67"/>
      <c r="GC339" s="67"/>
      <c r="GD339" s="67"/>
      <c r="GE339" s="67"/>
      <c r="GF339" s="67"/>
      <c r="GG339" s="67"/>
      <c r="GH339" s="67"/>
      <c r="GI339" s="67"/>
      <c r="GJ339" s="67"/>
      <c r="GK339" s="67"/>
      <c r="GL339" s="67"/>
      <c r="GM339" s="67"/>
      <c r="GN339" s="67"/>
      <c r="GO339" s="67"/>
      <c r="GP339" s="67"/>
      <c r="GQ339" s="67"/>
      <c r="GR339" s="67"/>
      <c r="GS339" s="67"/>
      <c r="GT339" s="67"/>
      <c r="GU339" s="67"/>
      <c r="GV339" s="67"/>
      <c r="GW339" s="67"/>
      <c r="GX339" s="67"/>
      <c r="GY339" s="67"/>
      <c r="GZ339" s="67"/>
      <c r="HA339" s="67"/>
      <c r="HB339" s="67"/>
      <c r="HC339" s="67"/>
      <c r="HD339" s="67"/>
    </row>
    <row r="340" spans="1:212" ht="1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FY340" s="68"/>
      <c r="FZ340" s="67"/>
      <c r="GA340" s="67"/>
      <c r="GB340" s="67"/>
      <c r="GC340" s="67"/>
      <c r="GD340" s="67"/>
      <c r="GE340" s="67"/>
      <c r="GF340" s="67"/>
      <c r="GG340" s="67"/>
      <c r="GH340" s="67"/>
      <c r="GI340" s="67"/>
      <c r="GJ340" s="67"/>
      <c r="GK340" s="67"/>
      <c r="GL340" s="67"/>
      <c r="GM340" s="67"/>
      <c r="GN340" s="67"/>
      <c r="GO340" s="67"/>
      <c r="GP340" s="67"/>
      <c r="GQ340" s="67"/>
      <c r="GR340" s="67"/>
      <c r="GS340" s="67"/>
      <c r="GT340" s="67"/>
      <c r="GU340" s="67"/>
      <c r="GV340" s="67"/>
      <c r="GW340" s="67"/>
      <c r="GX340" s="67"/>
      <c r="GY340" s="67"/>
      <c r="GZ340" s="67"/>
      <c r="HA340" s="67"/>
      <c r="HB340" s="67"/>
      <c r="HC340" s="67"/>
      <c r="HD340" s="67"/>
    </row>
    <row r="341" spans="1:212" ht="1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FY341" s="68"/>
      <c r="FZ341" s="67"/>
      <c r="GA341" s="67"/>
      <c r="GB341" s="67"/>
      <c r="GC341" s="67"/>
      <c r="GD341" s="67"/>
      <c r="GE341" s="67"/>
      <c r="GF341" s="67"/>
      <c r="GG341" s="67"/>
      <c r="GH341" s="67"/>
      <c r="GI341" s="67"/>
      <c r="GJ341" s="67"/>
      <c r="GK341" s="67"/>
      <c r="GL341" s="67"/>
      <c r="GM341" s="67"/>
      <c r="GN341" s="67"/>
      <c r="GO341" s="67"/>
      <c r="GP341" s="67"/>
      <c r="GQ341" s="67"/>
      <c r="GR341" s="67"/>
      <c r="GS341" s="67"/>
      <c r="GT341" s="67"/>
      <c r="GU341" s="67"/>
      <c r="GV341" s="67"/>
      <c r="GW341" s="67"/>
      <c r="GX341" s="67"/>
      <c r="GY341" s="67"/>
      <c r="GZ341" s="67"/>
      <c r="HA341" s="67"/>
      <c r="HB341" s="67"/>
      <c r="HC341" s="67"/>
      <c r="HD341" s="67"/>
    </row>
    <row r="342" spans="1:212" ht="1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FY342" s="68"/>
      <c r="FZ342" s="67"/>
      <c r="GA342" s="67"/>
      <c r="GB342" s="67"/>
      <c r="GC342" s="67"/>
      <c r="GD342" s="67"/>
      <c r="GE342" s="67"/>
      <c r="GF342" s="67"/>
      <c r="GG342" s="67"/>
      <c r="GH342" s="67"/>
      <c r="GI342" s="67"/>
      <c r="GJ342" s="67"/>
      <c r="GK342" s="67"/>
      <c r="GL342" s="67"/>
      <c r="GM342" s="67"/>
      <c r="GN342" s="67"/>
      <c r="GO342" s="67"/>
      <c r="GP342" s="67"/>
      <c r="GQ342" s="67"/>
      <c r="GR342" s="67"/>
      <c r="GS342" s="67"/>
      <c r="GT342" s="67"/>
      <c r="GU342" s="67"/>
      <c r="GV342" s="67"/>
      <c r="GW342" s="67"/>
      <c r="GX342" s="67"/>
      <c r="GY342" s="67"/>
      <c r="GZ342" s="67"/>
      <c r="HA342" s="67"/>
      <c r="HB342" s="67"/>
      <c r="HC342" s="67"/>
      <c r="HD342" s="67"/>
    </row>
    <row r="343" spans="1:212" ht="1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FY343" s="68"/>
      <c r="FZ343" s="67"/>
      <c r="GA343" s="67"/>
      <c r="GB343" s="67"/>
      <c r="GC343" s="67"/>
      <c r="GD343" s="67"/>
      <c r="GE343" s="67"/>
      <c r="GF343" s="67"/>
      <c r="GG343" s="67"/>
      <c r="GH343" s="67"/>
      <c r="GI343" s="67"/>
      <c r="GJ343" s="67"/>
      <c r="GK343" s="67"/>
      <c r="GL343" s="67"/>
      <c r="GM343" s="67"/>
      <c r="GN343" s="67"/>
      <c r="GO343" s="67"/>
      <c r="GP343" s="67"/>
      <c r="GQ343" s="67"/>
      <c r="GR343" s="67"/>
      <c r="GS343" s="67"/>
      <c r="GT343" s="67"/>
      <c r="GU343" s="67"/>
      <c r="GV343" s="67"/>
      <c r="GW343" s="67"/>
      <c r="GX343" s="67"/>
      <c r="GY343" s="67"/>
      <c r="GZ343" s="67"/>
      <c r="HA343" s="67"/>
      <c r="HB343" s="67"/>
      <c r="HC343" s="67"/>
      <c r="HD343" s="67"/>
    </row>
    <row r="344" spans="1:212" ht="1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FY344" s="68"/>
      <c r="FZ344" s="67"/>
      <c r="GA344" s="67"/>
      <c r="GB344" s="67"/>
      <c r="GC344" s="67"/>
      <c r="GD344" s="67"/>
      <c r="GE344" s="67"/>
      <c r="GF344" s="67"/>
      <c r="GG344" s="67"/>
      <c r="GH344" s="67"/>
      <c r="GI344" s="67"/>
      <c r="GJ344" s="67"/>
      <c r="GK344" s="67"/>
      <c r="GL344" s="67"/>
      <c r="GM344" s="67"/>
      <c r="GN344" s="67"/>
      <c r="GO344" s="67"/>
      <c r="GP344" s="67"/>
      <c r="GQ344" s="67"/>
      <c r="GR344" s="67"/>
      <c r="GS344" s="67"/>
      <c r="GT344" s="67"/>
      <c r="GU344" s="67"/>
      <c r="GV344" s="67"/>
      <c r="GW344" s="67"/>
      <c r="GX344" s="67"/>
      <c r="GY344" s="67"/>
      <c r="GZ344" s="67"/>
      <c r="HA344" s="67"/>
      <c r="HB344" s="67"/>
      <c r="HC344" s="67"/>
      <c r="HD344" s="67"/>
    </row>
    <row r="345" spans="1:212" ht="1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FY345" s="68"/>
      <c r="FZ345" s="67"/>
      <c r="GA345" s="67"/>
      <c r="GB345" s="67"/>
      <c r="GC345" s="67"/>
      <c r="GD345" s="67"/>
      <c r="GE345" s="67"/>
      <c r="GF345" s="67"/>
      <c r="GG345" s="67"/>
      <c r="GH345" s="67"/>
      <c r="GI345" s="67"/>
      <c r="GJ345" s="67"/>
      <c r="GK345" s="67"/>
      <c r="GL345" s="67"/>
      <c r="GM345" s="67"/>
      <c r="GN345" s="67"/>
      <c r="GO345" s="67"/>
      <c r="GP345" s="67"/>
      <c r="GQ345" s="67"/>
      <c r="GR345" s="67"/>
      <c r="GS345" s="67"/>
      <c r="GT345" s="67"/>
      <c r="GU345" s="67"/>
      <c r="GV345" s="67"/>
      <c r="GW345" s="67"/>
      <c r="GX345" s="67"/>
      <c r="GY345" s="67"/>
      <c r="GZ345" s="67"/>
      <c r="HA345" s="67"/>
      <c r="HB345" s="67"/>
      <c r="HC345" s="67"/>
      <c r="HD345" s="67"/>
    </row>
    <row r="346" spans="1:212" ht="1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FY346" s="68"/>
      <c r="FZ346" s="67"/>
      <c r="GA346" s="67"/>
      <c r="GB346" s="67"/>
      <c r="GC346" s="67"/>
      <c r="GD346" s="67"/>
      <c r="GE346" s="67"/>
      <c r="GF346" s="67"/>
      <c r="GG346" s="67"/>
      <c r="GH346" s="67"/>
      <c r="GI346" s="67"/>
      <c r="GJ346" s="67"/>
      <c r="GK346" s="67"/>
      <c r="GL346" s="67"/>
      <c r="GM346" s="67"/>
      <c r="GN346" s="67"/>
      <c r="GO346" s="67"/>
      <c r="GP346" s="67"/>
      <c r="GQ346" s="67"/>
      <c r="GR346" s="67"/>
      <c r="GS346" s="67"/>
      <c r="GT346" s="67"/>
      <c r="GU346" s="67"/>
      <c r="GV346" s="67"/>
      <c r="GW346" s="67"/>
      <c r="GX346" s="67"/>
      <c r="GY346" s="67"/>
      <c r="GZ346" s="67"/>
      <c r="HA346" s="67"/>
      <c r="HB346" s="67"/>
      <c r="HC346" s="67"/>
      <c r="HD346" s="67"/>
    </row>
    <row r="347" spans="1:212" ht="1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FY347" s="68"/>
      <c r="FZ347" s="67"/>
      <c r="GA347" s="67"/>
      <c r="GB347" s="67"/>
      <c r="GC347" s="67"/>
      <c r="GD347" s="67"/>
      <c r="GE347" s="67"/>
      <c r="GF347" s="67"/>
      <c r="GG347" s="67"/>
      <c r="GH347" s="67"/>
      <c r="GI347" s="67"/>
      <c r="GJ347" s="67"/>
      <c r="GK347" s="67"/>
      <c r="GL347" s="67"/>
      <c r="GM347" s="67"/>
      <c r="GN347" s="67"/>
      <c r="GO347" s="67"/>
      <c r="GP347" s="67"/>
      <c r="GQ347" s="67"/>
      <c r="GR347" s="67"/>
      <c r="GS347" s="67"/>
      <c r="GT347" s="67"/>
      <c r="GU347" s="67"/>
      <c r="GV347" s="67"/>
      <c r="GW347" s="67"/>
      <c r="GX347" s="67"/>
      <c r="GY347" s="67"/>
      <c r="GZ347" s="67"/>
      <c r="HA347" s="67"/>
      <c r="HB347" s="67"/>
      <c r="HC347" s="67"/>
      <c r="HD347" s="67"/>
    </row>
    <row r="348" spans="1:212" ht="1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FY348" s="68"/>
      <c r="FZ348" s="67"/>
      <c r="GA348" s="67"/>
      <c r="GB348" s="67"/>
      <c r="GC348" s="67"/>
      <c r="GD348" s="67"/>
      <c r="GE348" s="67"/>
      <c r="GF348" s="67"/>
      <c r="GG348" s="67"/>
      <c r="GH348" s="67"/>
      <c r="GI348" s="67"/>
      <c r="GJ348" s="67"/>
      <c r="GK348" s="67"/>
      <c r="GL348" s="67"/>
      <c r="GM348" s="67"/>
      <c r="GN348" s="67"/>
      <c r="GO348" s="67"/>
      <c r="GP348" s="67"/>
      <c r="GQ348" s="67"/>
      <c r="GR348" s="67"/>
      <c r="GS348" s="67"/>
      <c r="GT348" s="67"/>
      <c r="GU348" s="67"/>
      <c r="GV348" s="67"/>
      <c r="GW348" s="67"/>
      <c r="GX348" s="67"/>
      <c r="GY348" s="67"/>
      <c r="GZ348" s="67"/>
      <c r="HA348" s="67"/>
      <c r="HB348" s="67"/>
      <c r="HC348" s="67"/>
      <c r="HD348" s="67"/>
    </row>
    <row r="349" spans="1:212" ht="1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FY349" s="68"/>
      <c r="FZ349" s="67"/>
      <c r="GA349" s="67"/>
      <c r="GB349" s="67"/>
      <c r="GC349" s="67"/>
      <c r="GD349" s="67"/>
      <c r="GE349" s="67"/>
      <c r="GF349" s="67"/>
      <c r="GG349" s="67"/>
      <c r="GH349" s="67"/>
      <c r="GI349" s="67"/>
      <c r="GJ349" s="67"/>
      <c r="GK349" s="67"/>
      <c r="GL349" s="67"/>
      <c r="GM349" s="67"/>
      <c r="GN349" s="67"/>
      <c r="GO349" s="67"/>
      <c r="GP349" s="67"/>
      <c r="GQ349" s="67"/>
      <c r="GR349" s="67"/>
      <c r="GS349" s="67"/>
      <c r="GT349" s="67"/>
      <c r="GU349" s="67"/>
      <c r="GV349" s="67"/>
      <c r="GW349" s="67"/>
      <c r="GX349" s="67"/>
      <c r="GY349" s="67"/>
      <c r="GZ349" s="67"/>
      <c r="HA349" s="67"/>
      <c r="HB349" s="67"/>
      <c r="HC349" s="67"/>
      <c r="HD349" s="67"/>
    </row>
    <row r="350" spans="1:212" ht="1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FY350" s="68"/>
      <c r="FZ350" s="67"/>
      <c r="GA350" s="67"/>
      <c r="GB350" s="67"/>
      <c r="GC350" s="67"/>
      <c r="GD350" s="67"/>
      <c r="GE350" s="67"/>
      <c r="GF350" s="67"/>
      <c r="GG350" s="67"/>
      <c r="GH350" s="67"/>
      <c r="GI350" s="67"/>
      <c r="GJ350" s="67"/>
      <c r="GK350" s="67"/>
      <c r="GL350" s="67"/>
      <c r="GM350" s="67"/>
      <c r="GN350" s="67"/>
      <c r="GO350" s="67"/>
      <c r="GP350" s="67"/>
      <c r="GQ350" s="67"/>
      <c r="GR350" s="67"/>
      <c r="GS350" s="67"/>
      <c r="GT350" s="67"/>
      <c r="GU350" s="67"/>
      <c r="GV350" s="67"/>
      <c r="GW350" s="67"/>
      <c r="GX350" s="67"/>
      <c r="GY350" s="67"/>
      <c r="GZ350" s="67"/>
      <c r="HA350" s="67"/>
      <c r="HB350" s="67"/>
      <c r="HC350" s="67"/>
      <c r="HD350" s="67"/>
    </row>
    <row r="351" spans="1:212" ht="1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FY351" s="68"/>
      <c r="FZ351" s="67"/>
      <c r="GA351" s="67"/>
      <c r="GB351" s="67"/>
      <c r="GC351" s="67"/>
      <c r="GD351" s="67"/>
      <c r="GE351" s="67"/>
      <c r="GF351" s="67"/>
      <c r="GG351" s="67"/>
      <c r="GH351" s="67"/>
      <c r="GI351" s="67"/>
      <c r="GJ351" s="67"/>
      <c r="GK351" s="67"/>
      <c r="GL351" s="67"/>
      <c r="GM351" s="67"/>
      <c r="GN351" s="67"/>
      <c r="GO351" s="67"/>
      <c r="GP351" s="67"/>
      <c r="GQ351" s="67"/>
      <c r="GR351" s="67"/>
      <c r="GS351" s="67"/>
      <c r="GT351" s="67"/>
      <c r="GU351" s="67"/>
      <c r="GV351" s="67"/>
      <c r="GW351" s="67"/>
      <c r="GX351" s="67"/>
      <c r="GY351" s="67"/>
      <c r="GZ351" s="67"/>
      <c r="HA351" s="67"/>
      <c r="HB351" s="67"/>
      <c r="HC351" s="67"/>
      <c r="HD351" s="67"/>
    </row>
    <row r="352" spans="1:212" ht="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FY352" s="68"/>
      <c r="FZ352" s="67"/>
      <c r="GA352" s="67"/>
      <c r="GB352" s="67"/>
      <c r="GC352" s="67"/>
      <c r="GD352" s="67"/>
      <c r="GE352" s="67"/>
      <c r="GF352" s="67"/>
      <c r="GG352" s="67"/>
      <c r="GH352" s="67"/>
      <c r="GI352" s="67"/>
      <c r="GJ352" s="67"/>
      <c r="GK352" s="67"/>
      <c r="GL352" s="67"/>
      <c r="GM352" s="67"/>
      <c r="GN352" s="67"/>
      <c r="GO352" s="67"/>
      <c r="GP352" s="67"/>
      <c r="GQ352" s="67"/>
      <c r="GR352" s="67"/>
      <c r="GS352" s="67"/>
      <c r="GT352" s="67"/>
      <c r="GU352" s="67"/>
      <c r="GV352" s="67"/>
      <c r="GW352" s="67"/>
      <c r="GX352" s="67"/>
      <c r="GY352" s="67"/>
      <c r="GZ352" s="67"/>
      <c r="HA352" s="67"/>
      <c r="HB352" s="67"/>
      <c r="HC352" s="67"/>
      <c r="HD352" s="67"/>
    </row>
    <row r="353" spans="1:212" ht="1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FY353" s="68"/>
      <c r="FZ353" s="67"/>
      <c r="GA353" s="67"/>
      <c r="GB353" s="67"/>
      <c r="GC353" s="67"/>
      <c r="GD353" s="67"/>
      <c r="GE353" s="67"/>
      <c r="GF353" s="67"/>
      <c r="GG353" s="67"/>
      <c r="GH353" s="67"/>
      <c r="GI353" s="67"/>
      <c r="GJ353" s="67"/>
      <c r="GK353" s="67"/>
      <c r="GL353" s="67"/>
      <c r="GM353" s="67"/>
      <c r="GN353" s="67"/>
      <c r="GO353" s="67"/>
      <c r="GP353" s="67"/>
      <c r="GQ353" s="67"/>
      <c r="GR353" s="67"/>
      <c r="GS353" s="67"/>
      <c r="GT353" s="67"/>
      <c r="GU353" s="67"/>
      <c r="GV353" s="67"/>
      <c r="GW353" s="67"/>
      <c r="GX353" s="67"/>
      <c r="GY353" s="67"/>
      <c r="GZ353" s="67"/>
      <c r="HA353" s="67"/>
      <c r="HB353" s="67"/>
      <c r="HC353" s="67"/>
      <c r="HD353" s="67"/>
    </row>
    <row r="354" spans="1:212" ht="1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FY354" s="68"/>
      <c r="FZ354" s="67"/>
      <c r="GA354" s="67"/>
      <c r="GB354" s="67"/>
      <c r="GC354" s="67"/>
      <c r="GD354" s="67"/>
      <c r="GE354" s="67"/>
      <c r="GF354" s="67"/>
      <c r="GG354" s="67"/>
      <c r="GH354" s="67"/>
      <c r="GI354" s="67"/>
      <c r="GJ354" s="67"/>
      <c r="GK354" s="67"/>
      <c r="GL354" s="67"/>
      <c r="GM354" s="67"/>
      <c r="GN354" s="67"/>
      <c r="GO354" s="67"/>
      <c r="GP354" s="67"/>
      <c r="GQ354" s="67"/>
      <c r="GR354" s="67"/>
      <c r="GS354" s="67"/>
      <c r="GT354" s="67"/>
      <c r="GU354" s="67"/>
      <c r="GV354" s="67"/>
      <c r="GW354" s="67"/>
      <c r="GX354" s="67"/>
      <c r="GY354" s="67"/>
      <c r="GZ354" s="67"/>
      <c r="HA354" s="67"/>
      <c r="HB354" s="67"/>
      <c r="HC354" s="67"/>
      <c r="HD354" s="67"/>
    </row>
    <row r="355" spans="1:212" ht="1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FY355" s="68"/>
      <c r="FZ355" s="67"/>
      <c r="GA355" s="67"/>
      <c r="GB355" s="67"/>
      <c r="GC355" s="67"/>
      <c r="GD355" s="67"/>
      <c r="GE355" s="67"/>
      <c r="GF355" s="67"/>
      <c r="GG355" s="67"/>
      <c r="GH355" s="67"/>
      <c r="GI355" s="67"/>
      <c r="GJ355" s="67"/>
      <c r="GK355" s="67"/>
      <c r="GL355" s="67"/>
      <c r="GM355" s="67"/>
      <c r="GN355" s="67"/>
      <c r="GO355" s="67"/>
      <c r="GP355" s="67"/>
      <c r="GQ355" s="67"/>
      <c r="GR355" s="67"/>
      <c r="GS355" s="67"/>
      <c r="GT355" s="67"/>
      <c r="GU355" s="67"/>
      <c r="GV355" s="67"/>
      <c r="GW355" s="67"/>
      <c r="GX355" s="67"/>
      <c r="GY355" s="67"/>
      <c r="GZ355" s="67"/>
      <c r="HA355" s="67"/>
      <c r="HB355" s="67"/>
      <c r="HC355" s="67"/>
      <c r="HD355" s="67"/>
    </row>
    <row r="356" spans="1:212" ht="1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FY356" s="68"/>
      <c r="FZ356" s="67"/>
      <c r="GA356" s="67"/>
      <c r="GB356" s="67"/>
      <c r="GC356" s="67"/>
      <c r="GD356" s="67"/>
      <c r="GE356" s="67"/>
      <c r="GF356" s="67"/>
      <c r="GG356" s="67"/>
      <c r="GH356" s="67"/>
      <c r="GI356" s="67"/>
      <c r="GJ356" s="67"/>
      <c r="GK356" s="67"/>
      <c r="GL356" s="67"/>
      <c r="GM356" s="67"/>
      <c r="GN356" s="67"/>
      <c r="GO356" s="67"/>
      <c r="GP356" s="67"/>
      <c r="GQ356" s="67"/>
      <c r="GR356" s="67"/>
      <c r="GS356" s="67"/>
      <c r="GT356" s="67"/>
      <c r="GU356" s="67"/>
      <c r="GV356" s="67"/>
      <c r="GW356" s="67"/>
      <c r="GX356" s="67"/>
      <c r="GY356" s="67"/>
      <c r="GZ356" s="67"/>
      <c r="HA356" s="67"/>
      <c r="HB356" s="67"/>
      <c r="HC356" s="67"/>
      <c r="HD356" s="67"/>
    </row>
    <row r="357" spans="1:212" ht="1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FY357" s="68"/>
      <c r="FZ357" s="67"/>
      <c r="GA357" s="67"/>
      <c r="GB357" s="67"/>
      <c r="GC357" s="67"/>
      <c r="GD357" s="67"/>
      <c r="GE357" s="67"/>
      <c r="GF357" s="67"/>
      <c r="GG357" s="67"/>
      <c r="GH357" s="67"/>
      <c r="GI357" s="67"/>
      <c r="GJ357" s="67"/>
      <c r="GK357" s="67"/>
      <c r="GL357" s="67"/>
      <c r="GM357" s="67"/>
      <c r="GN357" s="67"/>
      <c r="GO357" s="67"/>
      <c r="GP357" s="67"/>
      <c r="GQ357" s="67"/>
      <c r="GR357" s="67"/>
      <c r="GS357" s="67"/>
      <c r="GT357" s="67"/>
      <c r="GU357" s="67"/>
      <c r="GV357" s="67"/>
      <c r="GW357" s="67"/>
      <c r="GX357" s="67"/>
      <c r="GY357" s="67"/>
      <c r="GZ357" s="67"/>
      <c r="HA357" s="67"/>
      <c r="HB357" s="67"/>
      <c r="HC357" s="67"/>
      <c r="HD357" s="67"/>
    </row>
    <row r="358" spans="1:212" ht="1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FY358" s="68"/>
      <c r="FZ358" s="67"/>
      <c r="GA358" s="67"/>
      <c r="GB358" s="67"/>
      <c r="GC358" s="67"/>
      <c r="GD358" s="67"/>
      <c r="GE358" s="67"/>
      <c r="GF358" s="67"/>
      <c r="GG358" s="67"/>
      <c r="GH358" s="67"/>
      <c r="GI358" s="67"/>
      <c r="GJ358" s="67"/>
      <c r="GK358" s="67"/>
      <c r="GL358" s="67"/>
      <c r="GM358" s="67"/>
      <c r="GN358" s="67"/>
      <c r="GO358" s="67"/>
      <c r="GP358" s="67"/>
      <c r="GQ358" s="67"/>
      <c r="GR358" s="67"/>
      <c r="GS358" s="67"/>
      <c r="GT358" s="67"/>
      <c r="GU358" s="67"/>
      <c r="GV358" s="67"/>
      <c r="GW358" s="67"/>
      <c r="GX358" s="67"/>
      <c r="GY358" s="67"/>
      <c r="GZ358" s="67"/>
      <c r="HA358" s="67"/>
      <c r="HB358" s="67"/>
      <c r="HC358" s="67"/>
      <c r="HD358" s="67"/>
    </row>
    <row r="359" spans="1:212" ht="1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FY359" s="68"/>
      <c r="FZ359" s="67"/>
      <c r="GA359" s="67"/>
      <c r="GB359" s="67"/>
      <c r="GC359" s="67"/>
      <c r="GD359" s="67"/>
      <c r="GE359" s="67"/>
      <c r="GF359" s="67"/>
      <c r="GG359" s="67"/>
      <c r="GH359" s="67"/>
      <c r="GI359" s="67"/>
      <c r="GJ359" s="67"/>
      <c r="GK359" s="67"/>
      <c r="GL359" s="67"/>
      <c r="GM359" s="67"/>
      <c r="GN359" s="67"/>
      <c r="GO359" s="67"/>
      <c r="GP359" s="67"/>
      <c r="GQ359" s="67"/>
      <c r="GR359" s="67"/>
      <c r="GS359" s="67"/>
      <c r="GT359" s="67"/>
      <c r="GU359" s="67"/>
      <c r="GV359" s="67"/>
      <c r="GW359" s="67"/>
      <c r="GX359" s="67"/>
      <c r="GY359" s="67"/>
      <c r="GZ359" s="67"/>
      <c r="HA359" s="67"/>
      <c r="HB359" s="67"/>
      <c r="HC359" s="67"/>
      <c r="HD359" s="67"/>
    </row>
    <row r="360" spans="1:212" ht="1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FY360" s="68"/>
      <c r="FZ360" s="67"/>
      <c r="GA360" s="67"/>
      <c r="GB360" s="67"/>
      <c r="GC360" s="67"/>
      <c r="GD360" s="67"/>
      <c r="GE360" s="67"/>
      <c r="GF360" s="67"/>
      <c r="GG360" s="67"/>
      <c r="GH360" s="67"/>
      <c r="GI360" s="67"/>
      <c r="GJ360" s="67"/>
      <c r="GK360" s="67"/>
      <c r="GL360" s="67"/>
      <c r="GM360" s="67"/>
      <c r="GN360" s="67"/>
      <c r="GO360" s="67"/>
      <c r="GP360" s="67"/>
      <c r="GQ360" s="67"/>
      <c r="GR360" s="67"/>
      <c r="GS360" s="67"/>
      <c r="GT360" s="67"/>
      <c r="GU360" s="67"/>
      <c r="GV360" s="67"/>
      <c r="GW360" s="67"/>
      <c r="GX360" s="67"/>
      <c r="GY360" s="67"/>
      <c r="GZ360" s="67"/>
      <c r="HA360" s="67"/>
      <c r="HB360" s="67"/>
      <c r="HC360" s="67"/>
      <c r="HD360" s="67"/>
    </row>
    <row r="361" spans="1:212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FY361" s="68"/>
      <c r="FZ361" s="67"/>
      <c r="GA361" s="67"/>
      <c r="GB361" s="67"/>
      <c r="GC361" s="67"/>
      <c r="GD361" s="67"/>
      <c r="GE361" s="67"/>
      <c r="GF361" s="67"/>
      <c r="GG361" s="67"/>
      <c r="GH361" s="67"/>
      <c r="GI361" s="67"/>
      <c r="GJ361" s="67"/>
      <c r="GK361" s="67"/>
      <c r="GL361" s="67"/>
      <c r="GM361" s="67"/>
      <c r="GN361" s="67"/>
      <c r="GO361" s="67"/>
      <c r="GP361" s="67"/>
      <c r="GQ361" s="67"/>
      <c r="GR361" s="67"/>
      <c r="GS361" s="67"/>
      <c r="GT361" s="67"/>
      <c r="GU361" s="67"/>
      <c r="GV361" s="67"/>
      <c r="GW361" s="67"/>
      <c r="GX361" s="67"/>
      <c r="GY361" s="67"/>
      <c r="GZ361" s="67"/>
      <c r="HA361" s="67"/>
      <c r="HB361" s="67"/>
      <c r="HC361" s="67"/>
      <c r="HD361" s="67"/>
    </row>
    <row r="362" spans="1:212" ht="1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FY362" s="68"/>
      <c r="FZ362" s="67"/>
      <c r="GA362" s="67"/>
      <c r="GB362" s="67"/>
      <c r="GC362" s="67"/>
      <c r="GD362" s="67"/>
      <c r="GE362" s="67"/>
      <c r="GF362" s="67"/>
      <c r="GG362" s="67"/>
      <c r="GH362" s="67"/>
      <c r="GI362" s="67"/>
      <c r="GJ362" s="67"/>
      <c r="GK362" s="67"/>
      <c r="GL362" s="67"/>
      <c r="GM362" s="67"/>
      <c r="GN362" s="67"/>
      <c r="GO362" s="67"/>
      <c r="GP362" s="67"/>
      <c r="GQ362" s="67"/>
      <c r="GR362" s="67"/>
      <c r="GS362" s="67"/>
      <c r="GT362" s="67"/>
      <c r="GU362" s="67"/>
      <c r="GV362" s="67"/>
      <c r="GW362" s="67"/>
      <c r="GX362" s="67"/>
      <c r="GY362" s="67"/>
      <c r="GZ362" s="67"/>
      <c r="HA362" s="67"/>
      <c r="HB362" s="67"/>
      <c r="HC362" s="67"/>
      <c r="HD362" s="67"/>
    </row>
    <row r="363" spans="1:212" ht="1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FY363" s="68"/>
      <c r="FZ363" s="67"/>
      <c r="GA363" s="67"/>
      <c r="GB363" s="67"/>
      <c r="GC363" s="67"/>
      <c r="GD363" s="67"/>
      <c r="GE363" s="67"/>
      <c r="GF363" s="67"/>
      <c r="GG363" s="67"/>
      <c r="GH363" s="67"/>
      <c r="GI363" s="67"/>
      <c r="GJ363" s="67"/>
      <c r="GK363" s="67"/>
      <c r="GL363" s="67"/>
      <c r="GM363" s="67"/>
      <c r="GN363" s="67"/>
      <c r="GO363" s="67"/>
      <c r="GP363" s="67"/>
      <c r="GQ363" s="67"/>
      <c r="GR363" s="67"/>
      <c r="GS363" s="67"/>
      <c r="GT363" s="67"/>
      <c r="GU363" s="67"/>
      <c r="GV363" s="67"/>
      <c r="GW363" s="67"/>
      <c r="GX363" s="67"/>
      <c r="GY363" s="67"/>
      <c r="GZ363" s="67"/>
      <c r="HA363" s="67"/>
      <c r="HB363" s="67"/>
      <c r="HC363" s="67"/>
      <c r="HD363" s="67"/>
    </row>
    <row r="364" spans="1:212" ht="1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FY364" s="68"/>
      <c r="FZ364" s="67"/>
      <c r="GA364" s="67"/>
      <c r="GB364" s="67"/>
      <c r="GC364" s="67"/>
      <c r="GD364" s="67"/>
      <c r="GE364" s="67"/>
      <c r="GF364" s="67"/>
      <c r="GG364" s="67"/>
      <c r="GH364" s="67"/>
      <c r="GI364" s="67"/>
      <c r="GJ364" s="67"/>
      <c r="GK364" s="67"/>
      <c r="GL364" s="67"/>
      <c r="GM364" s="67"/>
      <c r="GN364" s="67"/>
      <c r="GO364" s="67"/>
      <c r="GP364" s="67"/>
      <c r="GQ364" s="67"/>
      <c r="GR364" s="67"/>
      <c r="GS364" s="67"/>
      <c r="GT364" s="67"/>
      <c r="GU364" s="67"/>
      <c r="GV364" s="67"/>
      <c r="GW364" s="67"/>
      <c r="GX364" s="67"/>
      <c r="GY364" s="67"/>
      <c r="GZ364" s="67"/>
      <c r="HA364" s="67"/>
      <c r="HB364" s="67"/>
      <c r="HC364" s="67"/>
      <c r="HD364" s="67"/>
    </row>
    <row r="365" spans="1:212" ht="1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FY365" s="68"/>
      <c r="FZ365" s="67"/>
      <c r="GA365" s="67"/>
      <c r="GB365" s="67"/>
      <c r="GC365" s="67"/>
      <c r="GD365" s="67"/>
      <c r="GE365" s="67"/>
      <c r="GF365" s="67"/>
      <c r="GG365" s="67"/>
      <c r="GH365" s="67"/>
      <c r="GI365" s="67"/>
      <c r="GJ365" s="67"/>
      <c r="GK365" s="67"/>
      <c r="GL365" s="67"/>
      <c r="GM365" s="67"/>
      <c r="GN365" s="67"/>
      <c r="GO365" s="67"/>
      <c r="GP365" s="67"/>
      <c r="GQ365" s="67"/>
      <c r="GR365" s="67"/>
      <c r="GS365" s="67"/>
      <c r="GT365" s="67"/>
      <c r="GU365" s="67"/>
      <c r="GV365" s="67"/>
      <c r="GW365" s="67"/>
      <c r="GX365" s="67"/>
      <c r="GY365" s="67"/>
      <c r="GZ365" s="67"/>
      <c r="HA365" s="67"/>
      <c r="HB365" s="67"/>
      <c r="HC365" s="67"/>
      <c r="HD365" s="67"/>
    </row>
    <row r="366" spans="1:212" ht="1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FY366" s="68"/>
      <c r="FZ366" s="67"/>
      <c r="GA366" s="67"/>
      <c r="GB366" s="67"/>
      <c r="GC366" s="67"/>
      <c r="GD366" s="67"/>
      <c r="GE366" s="67"/>
      <c r="GF366" s="67"/>
      <c r="GG366" s="67"/>
      <c r="GH366" s="67"/>
      <c r="GI366" s="67"/>
      <c r="GJ366" s="67"/>
      <c r="GK366" s="67"/>
      <c r="GL366" s="67"/>
      <c r="GM366" s="67"/>
      <c r="GN366" s="67"/>
      <c r="GO366" s="67"/>
      <c r="GP366" s="67"/>
      <c r="GQ366" s="67"/>
      <c r="GR366" s="67"/>
      <c r="GS366" s="67"/>
      <c r="GT366" s="67"/>
      <c r="GU366" s="67"/>
      <c r="GV366" s="67"/>
      <c r="GW366" s="67"/>
      <c r="GX366" s="67"/>
      <c r="GY366" s="67"/>
      <c r="GZ366" s="67"/>
      <c r="HA366" s="67"/>
      <c r="HB366" s="67"/>
      <c r="HC366" s="67"/>
      <c r="HD366" s="67"/>
    </row>
    <row r="367" spans="1:212" ht="1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FY367" s="68"/>
      <c r="FZ367" s="67"/>
      <c r="GA367" s="67"/>
      <c r="GB367" s="67"/>
      <c r="GC367" s="67"/>
      <c r="GD367" s="67"/>
      <c r="GE367" s="67"/>
      <c r="GF367" s="67"/>
      <c r="GG367" s="67"/>
      <c r="GH367" s="67"/>
      <c r="GI367" s="67"/>
      <c r="GJ367" s="67"/>
      <c r="GK367" s="67"/>
      <c r="GL367" s="67"/>
      <c r="GM367" s="67"/>
      <c r="GN367" s="67"/>
      <c r="GO367" s="67"/>
      <c r="GP367" s="67"/>
      <c r="GQ367" s="67"/>
      <c r="GR367" s="67"/>
      <c r="GS367" s="67"/>
      <c r="GT367" s="67"/>
      <c r="GU367" s="67"/>
      <c r="GV367" s="67"/>
      <c r="GW367" s="67"/>
      <c r="GX367" s="67"/>
      <c r="GY367" s="67"/>
      <c r="GZ367" s="67"/>
      <c r="HA367" s="67"/>
      <c r="HB367" s="67"/>
      <c r="HC367" s="67"/>
      <c r="HD367" s="67"/>
    </row>
    <row r="368" spans="1:212" ht="1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FY368" s="68"/>
      <c r="FZ368" s="67"/>
      <c r="GA368" s="67"/>
      <c r="GB368" s="67"/>
      <c r="GC368" s="67"/>
      <c r="GD368" s="67"/>
      <c r="GE368" s="67"/>
      <c r="GF368" s="67"/>
      <c r="GG368" s="67"/>
      <c r="GH368" s="67"/>
      <c r="GI368" s="67"/>
      <c r="GJ368" s="67"/>
      <c r="GK368" s="67"/>
      <c r="GL368" s="67"/>
      <c r="GM368" s="67"/>
      <c r="GN368" s="67"/>
      <c r="GO368" s="67"/>
      <c r="GP368" s="67"/>
      <c r="GQ368" s="67"/>
      <c r="GR368" s="67"/>
      <c r="GS368" s="67"/>
      <c r="GT368" s="67"/>
      <c r="GU368" s="67"/>
      <c r="GV368" s="67"/>
      <c r="GW368" s="67"/>
      <c r="GX368" s="67"/>
      <c r="GY368" s="67"/>
      <c r="GZ368" s="67"/>
      <c r="HA368" s="67"/>
      <c r="HB368" s="67"/>
      <c r="HC368" s="67"/>
      <c r="HD368" s="67"/>
    </row>
    <row r="369" spans="1:212" ht="1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FY369" s="68"/>
      <c r="FZ369" s="67"/>
      <c r="GA369" s="67"/>
      <c r="GB369" s="67"/>
      <c r="GC369" s="67"/>
      <c r="GD369" s="67"/>
      <c r="GE369" s="67"/>
      <c r="GF369" s="67"/>
      <c r="GG369" s="67"/>
      <c r="GH369" s="67"/>
      <c r="GI369" s="67"/>
      <c r="GJ369" s="67"/>
      <c r="GK369" s="67"/>
      <c r="GL369" s="67"/>
      <c r="GM369" s="67"/>
      <c r="GN369" s="67"/>
      <c r="GO369" s="67"/>
      <c r="GP369" s="67"/>
      <c r="GQ369" s="67"/>
      <c r="GR369" s="67"/>
      <c r="GS369" s="67"/>
      <c r="GT369" s="67"/>
      <c r="GU369" s="67"/>
      <c r="GV369" s="67"/>
      <c r="GW369" s="67"/>
      <c r="GX369" s="67"/>
      <c r="GY369" s="67"/>
      <c r="GZ369" s="67"/>
      <c r="HA369" s="67"/>
      <c r="HB369" s="67"/>
      <c r="HC369" s="67"/>
      <c r="HD369" s="67"/>
    </row>
    <row r="370" spans="1:212" ht="1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FY370" s="68"/>
      <c r="FZ370" s="67"/>
      <c r="GA370" s="67"/>
      <c r="GB370" s="67"/>
      <c r="GC370" s="67"/>
      <c r="GD370" s="67"/>
      <c r="GE370" s="67"/>
      <c r="GF370" s="67"/>
      <c r="GG370" s="67"/>
      <c r="GH370" s="67"/>
      <c r="GI370" s="67"/>
      <c r="GJ370" s="67"/>
      <c r="GK370" s="67"/>
      <c r="GL370" s="67"/>
      <c r="GM370" s="67"/>
      <c r="GN370" s="67"/>
      <c r="GO370" s="67"/>
      <c r="GP370" s="67"/>
      <c r="GQ370" s="67"/>
      <c r="GR370" s="67"/>
      <c r="GS370" s="67"/>
      <c r="GT370" s="67"/>
      <c r="GU370" s="67"/>
      <c r="GV370" s="67"/>
      <c r="GW370" s="67"/>
      <c r="GX370" s="67"/>
      <c r="GY370" s="67"/>
      <c r="GZ370" s="67"/>
      <c r="HA370" s="67"/>
      <c r="HB370" s="67"/>
      <c r="HC370" s="67"/>
      <c r="HD370" s="67"/>
    </row>
    <row r="371" spans="1:212" ht="1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FY371" s="68"/>
      <c r="FZ371" s="67"/>
      <c r="GA371" s="67"/>
      <c r="GB371" s="67"/>
      <c r="GC371" s="67"/>
      <c r="GD371" s="67"/>
      <c r="GE371" s="67"/>
      <c r="GF371" s="67"/>
      <c r="GG371" s="67"/>
      <c r="GH371" s="67"/>
      <c r="GI371" s="67"/>
      <c r="GJ371" s="67"/>
      <c r="GK371" s="67"/>
      <c r="GL371" s="67"/>
      <c r="GM371" s="67"/>
      <c r="GN371" s="67"/>
      <c r="GO371" s="67"/>
      <c r="GP371" s="67"/>
      <c r="GQ371" s="67"/>
      <c r="GR371" s="67"/>
      <c r="GS371" s="67"/>
      <c r="GT371" s="67"/>
      <c r="GU371" s="67"/>
      <c r="GV371" s="67"/>
      <c r="GW371" s="67"/>
      <c r="GX371" s="67"/>
      <c r="GY371" s="67"/>
      <c r="GZ371" s="67"/>
      <c r="HA371" s="67"/>
      <c r="HB371" s="67"/>
      <c r="HC371" s="67"/>
      <c r="HD371" s="67"/>
    </row>
    <row r="372" spans="1:212" ht="1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FY372" s="68"/>
      <c r="FZ372" s="67"/>
      <c r="GA372" s="67"/>
      <c r="GB372" s="67"/>
      <c r="GC372" s="67"/>
      <c r="GD372" s="67"/>
      <c r="GE372" s="67"/>
      <c r="GF372" s="67"/>
      <c r="GG372" s="67"/>
      <c r="GH372" s="67"/>
      <c r="GI372" s="67"/>
      <c r="GJ372" s="67"/>
      <c r="GK372" s="67"/>
      <c r="GL372" s="67"/>
      <c r="GM372" s="67"/>
      <c r="GN372" s="67"/>
      <c r="GO372" s="67"/>
      <c r="GP372" s="67"/>
      <c r="GQ372" s="67"/>
      <c r="GR372" s="67"/>
      <c r="GS372" s="67"/>
      <c r="GT372" s="67"/>
      <c r="GU372" s="67"/>
      <c r="GV372" s="67"/>
      <c r="GW372" s="67"/>
      <c r="GX372" s="67"/>
      <c r="GY372" s="67"/>
      <c r="GZ372" s="67"/>
      <c r="HA372" s="67"/>
      <c r="HB372" s="67"/>
      <c r="HC372" s="67"/>
      <c r="HD372" s="67"/>
    </row>
    <row r="373" spans="181:212" ht="15">
      <c r="FY373" s="67"/>
      <c r="FZ373" s="67"/>
      <c r="GA373" s="67"/>
      <c r="GB373" s="67"/>
      <c r="GC373" s="67"/>
      <c r="GD373" s="67"/>
      <c r="GE373" s="67"/>
      <c r="GF373" s="67"/>
      <c r="GG373" s="67"/>
      <c r="GH373" s="67"/>
      <c r="GI373" s="67"/>
      <c r="GJ373" s="67"/>
      <c r="GK373" s="67"/>
      <c r="GL373" s="67"/>
      <c r="GM373" s="67"/>
      <c r="GN373" s="67"/>
      <c r="GO373" s="67"/>
      <c r="GP373" s="67"/>
      <c r="GQ373" s="67"/>
      <c r="GR373" s="67"/>
      <c r="GS373" s="67"/>
      <c r="GT373" s="67"/>
      <c r="GU373" s="67"/>
      <c r="GV373" s="67"/>
      <c r="GW373" s="67"/>
      <c r="GX373" s="67"/>
      <c r="GY373" s="67"/>
      <c r="GZ373" s="67"/>
      <c r="HA373" s="67"/>
      <c r="HB373" s="67"/>
      <c r="HC373" s="67"/>
      <c r="HD373" s="67"/>
    </row>
    <row r="374" spans="181:212" ht="15"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67"/>
      <c r="GL374" s="67"/>
      <c r="GM374" s="67"/>
      <c r="GN374" s="67"/>
      <c r="GO374" s="67"/>
      <c r="GP374" s="67"/>
      <c r="GQ374" s="67"/>
      <c r="GR374" s="67"/>
      <c r="GS374" s="67"/>
      <c r="GT374" s="67"/>
      <c r="GU374" s="67"/>
      <c r="GV374" s="67"/>
      <c r="GW374" s="67"/>
      <c r="GX374" s="67"/>
      <c r="GY374" s="67"/>
      <c r="GZ374" s="67"/>
      <c r="HA374" s="67"/>
      <c r="HB374" s="67"/>
      <c r="HC374" s="67"/>
      <c r="HD374" s="67"/>
    </row>
    <row r="375" spans="181:212" ht="15">
      <c r="FY375" s="67"/>
      <c r="FZ375" s="67"/>
      <c r="GA375" s="67"/>
      <c r="GB375" s="67"/>
      <c r="GC375" s="67"/>
      <c r="GD375" s="67"/>
      <c r="GE375" s="67"/>
      <c r="GF375" s="67"/>
      <c r="GG375" s="67"/>
      <c r="GH375" s="67"/>
      <c r="GI375" s="67"/>
      <c r="GJ375" s="67"/>
      <c r="GK375" s="67"/>
      <c r="GL375" s="67"/>
      <c r="GM375" s="67"/>
      <c r="GN375" s="67"/>
      <c r="GO375" s="67"/>
      <c r="GP375" s="67"/>
      <c r="GQ375" s="67"/>
      <c r="GR375" s="67"/>
      <c r="GS375" s="67"/>
      <c r="GT375" s="67"/>
      <c r="GU375" s="67"/>
      <c r="GV375" s="67"/>
      <c r="GW375" s="67"/>
      <c r="GX375" s="67"/>
      <c r="GY375" s="67"/>
      <c r="GZ375" s="67"/>
      <c r="HA375" s="67"/>
      <c r="HB375" s="67"/>
      <c r="HC375" s="67"/>
      <c r="HD375" s="67"/>
    </row>
    <row r="376" spans="181:212" ht="15">
      <c r="FY376" s="67"/>
      <c r="FZ376" s="67"/>
      <c r="GA376" s="67"/>
      <c r="GB376" s="67"/>
      <c r="GC376" s="67"/>
      <c r="GD376" s="67"/>
      <c r="GE376" s="67"/>
      <c r="GF376" s="67"/>
      <c r="GG376" s="67"/>
      <c r="GH376" s="67"/>
      <c r="GI376" s="67"/>
      <c r="GJ376" s="67"/>
      <c r="GK376" s="67"/>
      <c r="GL376" s="67"/>
      <c r="GM376" s="67"/>
      <c r="GN376" s="67"/>
      <c r="GO376" s="67"/>
      <c r="GP376" s="67"/>
      <c r="GQ376" s="67"/>
      <c r="GR376" s="67"/>
      <c r="GS376" s="67"/>
      <c r="GT376" s="67"/>
      <c r="GU376" s="67"/>
      <c r="GV376" s="67"/>
      <c r="GW376" s="67"/>
      <c r="GX376" s="67"/>
      <c r="GY376" s="67"/>
      <c r="GZ376" s="67"/>
      <c r="HA376" s="67"/>
      <c r="HB376" s="67"/>
      <c r="HC376" s="67"/>
      <c r="HD376" s="67"/>
    </row>
    <row r="377" spans="181:212" ht="15">
      <c r="FY377" s="67"/>
      <c r="FZ377" s="67"/>
      <c r="GA377" s="67"/>
      <c r="GB377" s="67"/>
      <c r="GC377" s="67"/>
      <c r="GD377" s="67"/>
      <c r="GE377" s="67"/>
      <c r="GF377" s="67"/>
      <c r="GG377" s="67"/>
      <c r="GH377" s="67"/>
      <c r="GI377" s="67"/>
      <c r="GJ377" s="67"/>
      <c r="GK377" s="67"/>
      <c r="GL377" s="67"/>
      <c r="GM377" s="67"/>
      <c r="GN377" s="67"/>
      <c r="GO377" s="67"/>
      <c r="GP377" s="67"/>
      <c r="GQ377" s="67"/>
      <c r="GR377" s="67"/>
      <c r="GS377" s="67"/>
      <c r="GT377" s="67"/>
      <c r="GU377" s="67"/>
      <c r="GV377" s="67"/>
      <c r="GW377" s="67"/>
      <c r="GX377" s="67"/>
      <c r="GY377" s="67"/>
      <c r="GZ377" s="67"/>
      <c r="HA377" s="67"/>
      <c r="HB377" s="67"/>
      <c r="HC377" s="67"/>
      <c r="HD377" s="67"/>
    </row>
    <row r="378" spans="181:212" ht="15">
      <c r="FY378" s="67"/>
      <c r="FZ378" s="67"/>
      <c r="GA378" s="67"/>
      <c r="GB378" s="67"/>
      <c r="GC378" s="67"/>
      <c r="GD378" s="67"/>
      <c r="GE378" s="67"/>
      <c r="GF378" s="67"/>
      <c r="GG378" s="67"/>
      <c r="GH378" s="67"/>
      <c r="GI378" s="67"/>
      <c r="GJ378" s="67"/>
      <c r="GK378" s="67"/>
      <c r="GL378" s="67"/>
      <c r="GM378" s="67"/>
      <c r="GN378" s="67"/>
      <c r="GO378" s="67"/>
      <c r="GP378" s="67"/>
      <c r="GQ378" s="67"/>
      <c r="GR378" s="67"/>
      <c r="GS378" s="67"/>
      <c r="GT378" s="67"/>
      <c r="GU378" s="67"/>
      <c r="GV378" s="67"/>
      <c r="GW378" s="67"/>
      <c r="GX378" s="67"/>
      <c r="GY378" s="67"/>
      <c r="GZ378" s="67"/>
      <c r="HA378" s="67"/>
      <c r="HB378" s="67"/>
      <c r="HC378" s="67"/>
      <c r="HD378" s="67"/>
    </row>
    <row r="379" spans="181:212" ht="15">
      <c r="FY379" s="67"/>
      <c r="FZ379" s="67"/>
      <c r="GA379" s="67"/>
      <c r="GB379" s="67"/>
      <c r="GC379" s="67"/>
      <c r="GD379" s="67"/>
      <c r="GE379" s="67"/>
      <c r="GF379" s="67"/>
      <c r="GG379" s="67"/>
      <c r="GH379" s="67"/>
      <c r="GI379" s="67"/>
      <c r="GJ379" s="67"/>
      <c r="GK379" s="67"/>
      <c r="GL379" s="67"/>
      <c r="GM379" s="67"/>
      <c r="GN379" s="67"/>
      <c r="GO379" s="67"/>
      <c r="GP379" s="67"/>
      <c r="GQ379" s="67"/>
      <c r="GR379" s="67"/>
      <c r="GS379" s="67"/>
      <c r="GT379" s="67"/>
      <c r="GU379" s="67"/>
      <c r="GV379" s="67"/>
      <c r="GW379" s="67"/>
      <c r="GX379" s="67"/>
      <c r="GY379" s="67"/>
      <c r="GZ379" s="67"/>
      <c r="HA379" s="67"/>
      <c r="HB379" s="67"/>
      <c r="HC379" s="67"/>
      <c r="HD379" s="67"/>
    </row>
    <row r="380" spans="181:212" ht="15">
      <c r="FY380" s="67"/>
      <c r="FZ380" s="67"/>
      <c r="GA380" s="67"/>
      <c r="GB380" s="67"/>
      <c r="GC380" s="67"/>
      <c r="GD380" s="67"/>
      <c r="GE380" s="67"/>
      <c r="GF380" s="67"/>
      <c r="GG380" s="67"/>
      <c r="GH380" s="67"/>
      <c r="GI380" s="67"/>
      <c r="GJ380" s="67"/>
      <c r="GK380" s="67"/>
      <c r="GL380" s="67"/>
      <c r="GM380" s="67"/>
      <c r="GN380" s="67"/>
      <c r="GO380" s="67"/>
      <c r="GP380" s="67"/>
      <c r="GQ380" s="67"/>
      <c r="GR380" s="67"/>
      <c r="GS380" s="67"/>
      <c r="GT380" s="67"/>
      <c r="GU380" s="67"/>
      <c r="GV380" s="67"/>
      <c r="GW380" s="67"/>
      <c r="GX380" s="67"/>
      <c r="GY380" s="67"/>
      <c r="GZ380" s="67"/>
      <c r="HA380" s="67"/>
      <c r="HB380" s="67"/>
      <c r="HC380" s="67"/>
      <c r="HD380" s="67"/>
    </row>
    <row r="381" spans="181:212" ht="15">
      <c r="FY381" s="67"/>
      <c r="FZ381" s="67"/>
      <c r="GA381" s="67"/>
      <c r="GB381" s="67"/>
      <c r="GC381" s="67"/>
      <c r="GD381" s="67"/>
      <c r="GE381" s="67"/>
      <c r="GF381" s="67"/>
      <c r="GG381" s="67"/>
      <c r="GH381" s="67"/>
      <c r="GI381" s="67"/>
      <c r="GJ381" s="67"/>
      <c r="GK381" s="67"/>
      <c r="GL381" s="67"/>
      <c r="GM381" s="67"/>
      <c r="GN381" s="67"/>
      <c r="GO381" s="67"/>
      <c r="GP381" s="67"/>
      <c r="GQ381" s="67"/>
      <c r="GR381" s="67"/>
      <c r="GS381" s="67"/>
      <c r="GT381" s="67"/>
      <c r="GU381" s="67"/>
      <c r="GV381" s="67"/>
      <c r="GW381" s="67"/>
      <c r="GX381" s="67"/>
      <c r="GY381" s="67"/>
      <c r="GZ381" s="67"/>
      <c r="HA381" s="67"/>
      <c r="HB381" s="67"/>
      <c r="HC381" s="67"/>
      <c r="HD381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5"/>
      <c r="C2" s="6"/>
      <c r="D2" s="6"/>
      <c r="E2" s="6"/>
      <c r="F2" s="6"/>
      <c r="G2" s="6"/>
      <c r="H2" s="6"/>
      <c r="I2" s="7"/>
    </row>
    <row r="3" spans="2:9" ht="15">
      <c r="B3" s="13"/>
      <c r="C3" s="75" t="s">
        <v>59</v>
      </c>
      <c r="D3" s="10">
        <f>+'CE'!D2</f>
        <v>2017</v>
      </c>
      <c r="E3" s="10">
        <f>+'CE'!E2</f>
        <v>2018</v>
      </c>
      <c r="F3" s="10">
        <f>+'CE'!F2</f>
        <v>2019</v>
      </c>
      <c r="G3" s="10">
        <f>+'CE'!G2</f>
        <v>2020</v>
      </c>
      <c r="H3" s="10">
        <f>+'CE'!H2</f>
        <v>2021</v>
      </c>
      <c r="I3" s="12"/>
    </row>
    <row r="4" spans="2:9" ht="15">
      <c r="B4" s="13"/>
      <c r="C4" s="14" t="str">
        <f>+Input!C107</f>
        <v>spese utenze</v>
      </c>
      <c r="D4" s="27">
        <f>+Input!F107*Input!$D107</f>
        <v>2640</v>
      </c>
      <c r="E4" s="27">
        <f>+Input!G107*Input!$D107</f>
        <v>2640</v>
      </c>
      <c r="F4" s="27">
        <f>+Input!H107*Input!$D107</f>
        <v>2640</v>
      </c>
      <c r="G4" s="27">
        <f>+Input!I107*Input!$D107</f>
        <v>2640</v>
      </c>
      <c r="H4" s="27">
        <f>+Input!J107*Input!$D107</f>
        <v>2640</v>
      </c>
      <c r="I4" s="12"/>
    </row>
    <row r="5" spans="2:9" ht="15">
      <c r="B5" s="13"/>
      <c r="C5" s="14" t="str">
        <f>+Input!C108</f>
        <v>spese di rappresentanza</v>
      </c>
      <c r="D5" s="27">
        <f>+Input!F108*Input!$D108</f>
        <v>0</v>
      </c>
      <c r="E5" s="27">
        <f>+Input!G108*Input!$D108</f>
        <v>0</v>
      </c>
      <c r="F5" s="27">
        <f>+Input!H108*Input!$D108</f>
        <v>0</v>
      </c>
      <c r="G5" s="27">
        <f>+Input!I108*Input!$D108</f>
        <v>0</v>
      </c>
      <c r="H5" s="27">
        <f>+Input!J108*Input!$D108</f>
        <v>0</v>
      </c>
      <c r="I5" s="12"/>
    </row>
    <row r="6" spans="2:9" ht="15">
      <c r="B6" s="13"/>
      <c r="C6" s="14" t="str">
        <f>+Input!C109</f>
        <v>spese di pubblicità e promozioni</v>
      </c>
      <c r="D6" s="27">
        <f>+Input!F109*Input!$D109</f>
        <v>3300</v>
      </c>
      <c r="E6" s="27">
        <f>+Input!G109*Input!$D109</f>
        <v>440</v>
      </c>
      <c r="F6" s="27">
        <f>+Input!H109*Input!$D109</f>
        <v>440</v>
      </c>
      <c r="G6" s="27">
        <f>+Input!I109*Input!$D109</f>
        <v>440</v>
      </c>
      <c r="H6" s="27">
        <f>+Input!J109*Input!$D109</f>
        <v>440</v>
      </c>
      <c r="I6" s="12"/>
    </row>
    <row r="7" spans="2:9" ht="15">
      <c r="B7" s="13"/>
      <c r="C7" s="14" t="str">
        <f>+Input!C110</f>
        <v>beni strumentali inf. al milione</v>
      </c>
      <c r="D7" s="27">
        <f>+Input!F110*Input!$D110</f>
        <v>0</v>
      </c>
      <c r="E7" s="27">
        <f>+Input!G110*Input!$D110</f>
        <v>0</v>
      </c>
      <c r="F7" s="27">
        <f>+Input!H110*Input!$D110</f>
        <v>0</v>
      </c>
      <c r="G7" s="27">
        <f>+Input!I110*Input!$D110</f>
        <v>0</v>
      </c>
      <c r="H7" s="27">
        <f>+Input!J110*Input!$D110</f>
        <v>0</v>
      </c>
      <c r="I7" s="12"/>
    </row>
    <row r="8" spans="2:9" ht="15">
      <c r="B8" s="13"/>
      <c r="C8" s="14" t="str">
        <f>+Input!C111</f>
        <v>spese di trasporto</v>
      </c>
      <c r="D8" s="27">
        <f>+Input!F111*Input!$D111</f>
        <v>0</v>
      </c>
      <c r="E8" s="27">
        <f>+Input!G111*Input!$D111</f>
        <v>0</v>
      </c>
      <c r="F8" s="27">
        <f>+Input!H111*Input!$D111</f>
        <v>0</v>
      </c>
      <c r="G8" s="27">
        <f>+Input!I111*Input!$D111</f>
        <v>0</v>
      </c>
      <c r="H8" s="27">
        <f>+Input!J111*Input!$D111</f>
        <v>0</v>
      </c>
      <c r="I8" s="12"/>
    </row>
    <row r="9" spans="2:9" ht="15">
      <c r="B9" s="13"/>
      <c r="C9" s="14" t="str">
        <f>+Input!C112</f>
        <v>lavorazioni presso terzi</v>
      </c>
      <c r="D9" s="27">
        <f>+Input!F112*Input!$D112</f>
        <v>0</v>
      </c>
      <c r="E9" s="27">
        <f>+Input!G112*Input!$D112</f>
        <v>0</v>
      </c>
      <c r="F9" s="27">
        <f>+Input!H112*Input!$D112</f>
        <v>0</v>
      </c>
      <c r="G9" s="27">
        <f>+Input!I112*Input!$D112</f>
        <v>0</v>
      </c>
      <c r="H9" s="27">
        <f>+Input!J112*Input!$D112</f>
        <v>0</v>
      </c>
      <c r="I9" s="12"/>
    </row>
    <row r="10" spans="2:9" ht="15">
      <c r="B10" s="13"/>
      <c r="C10" s="14" t="str">
        <f>+Input!C113</f>
        <v>consulenze legali, fiscali, notarili, ecc…</v>
      </c>
      <c r="D10" s="27">
        <f>+Input!F113*Input!$D113</f>
        <v>132</v>
      </c>
      <c r="E10" s="27">
        <f>+Input!G113*Input!$D113</f>
        <v>132</v>
      </c>
      <c r="F10" s="27">
        <f>+Input!H113*Input!$D113</f>
        <v>132</v>
      </c>
      <c r="G10" s="27">
        <f>+Input!I113*Input!$D113</f>
        <v>132</v>
      </c>
      <c r="H10" s="27">
        <f>+Input!J113*Input!$D113</f>
        <v>132</v>
      </c>
      <c r="I10" s="12"/>
    </row>
    <row r="11" spans="2:9" ht="15">
      <c r="B11" s="13"/>
      <c r="C11" s="14" t="str">
        <f>+Input!C114</f>
        <v>compensi amministratori</v>
      </c>
      <c r="D11" s="27">
        <f>+Input!F114*Input!$D114</f>
        <v>0</v>
      </c>
      <c r="E11" s="27">
        <f>+Input!G114*Input!$D114</f>
        <v>0</v>
      </c>
      <c r="F11" s="27">
        <f>+Input!H114*Input!$D114</f>
        <v>0</v>
      </c>
      <c r="G11" s="27">
        <f>+Input!I114*Input!$D114</f>
        <v>0</v>
      </c>
      <c r="H11" s="27">
        <f>+Input!J114*Input!$D114</f>
        <v>0</v>
      </c>
      <c r="I11" s="12"/>
    </row>
    <row r="12" spans="2:9" ht="15">
      <c r="B12" s="13"/>
      <c r="C12" s="14" t="str">
        <f>+Input!C115</f>
        <v>affitti </v>
      </c>
      <c r="D12" s="27">
        <f>+Input!F115*Input!$D115</f>
        <v>0</v>
      </c>
      <c r="E12" s="27">
        <f>+Input!G115*Input!$D115</f>
        <v>0</v>
      </c>
      <c r="F12" s="27">
        <f>+Input!H115*Input!$D115</f>
        <v>0</v>
      </c>
      <c r="G12" s="27">
        <f>+Input!I115*Input!$D115</f>
        <v>0</v>
      </c>
      <c r="H12" s="27">
        <f>+Input!J115*Input!$D115</f>
        <v>0</v>
      </c>
      <c r="I12" s="12"/>
    </row>
    <row r="13" spans="2:9" ht="15">
      <c r="B13" s="13"/>
      <c r="C13" s="14" t="str">
        <f>+Input!C116</f>
        <v>altri costi amministrativi</v>
      </c>
      <c r="D13" s="27">
        <f>+Input!F116*Input!$D116</f>
        <v>0</v>
      </c>
      <c r="E13" s="27">
        <f>+Input!G116*Input!$D116</f>
        <v>0</v>
      </c>
      <c r="F13" s="27">
        <f>+Input!H116*Input!$D116</f>
        <v>0</v>
      </c>
      <c r="G13" s="27">
        <f>+Input!I116*Input!$D116</f>
        <v>0</v>
      </c>
      <c r="H13" s="27">
        <f>+Input!J116*Input!$D116</f>
        <v>0</v>
      </c>
      <c r="I13" s="12"/>
    </row>
    <row r="14" spans="2:9" ht="15">
      <c r="B14" s="13"/>
      <c r="C14" s="14" t="str">
        <f>+Input!C117</f>
        <v>Costi diversi</v>
      </c>
      <c r="D14" s="27">
        <f>+Input!F117*Input!$D117</f>
        <v>220</v>
      </c>
      <c r="E14" s="27">
        <f>+Input!G117*Input!$D117</f>
        <v>660</v>
      </c>
      <c r="F14" s="27">
        <f>+Input!H117*Input!$D117</f>
        <v>660</v>
      </c>
      <c r="G14" s="27">
        <f>+Input!I117*Input!$D117</f>
        <v>660</v>
      </c>
      <c r="H14" s="27">
        <f>+Input!J117*Input!$D117</f>
        <v>660</v>
      </c>
      <c r="I14" s="12"/>
    </row>
    <row r="15" spans="2:9" ht="15">
      <c r="B15" s="13"/>
      <c r="C15" s="14" t="str">
        <f>+Input!C118</f>
        <v>Premi assicurativi</v>
      </c>
      <c r="D15" s="27">
        <f>+Input!F118*Input!$D118</f>
        <v>0</v>
      </c>
      <c r="E15" s="27">
        <f>+Input!G118*Input!$D118</f>
        <v>0</v>
      </c>
      <c r="F15" s="27">
        <f>+Input!H118*Input!$D118</f>
        <v>0</v>
      </c>
      <c r="G15" s="27">
        <f>+Input!I118*Input!$D118</f>
        <v>0</v>
      </c>
      <c r="H15" s="27">
        <f>+Input!J118*Input!$D118</f>
        <v>0</v>
      </c>
      <c r="I15" s="12"/>
    </row>
    <row r="16" spans="2:9" ht="15">
      <c r="B16" s="13"/>
      <c r="C16" s="14" t="str">
        <f>+Input!C119</f>
        <v>Altri costi 1</v>
      </c>
      <c r="D16" s="27">
        <f>+Input!F119*Input!$D119</f>
        <v>0</v>
      </c>
      <c r="E16" s="27">
        <f>+Input!G119*Input!$D119</f>
        <v>0</v>
      </c>
      <c r="F16" s="27">
        <f>+Input!H119*Input!$D119</f>
        <v>0</v>
      </c>
      <c r="G16" s="27">
        <f>+Input!I119*Input!$D119</f>
        <v>0</v>
      </c>
      <c r="H16" s="27">
        <f>+Input!J119*Input!$D119</f>
        <v>0</v>
      </c>
      <c r="I16" s="12"/>
    </row>
    <row r="17" spans="2:9" ht="15">
      <c r="B17" s="13"/>
      <c r="C17" s="14" t="str">
        <f>+Input!C120</f>
        <v>Altri costi 2</v>
      </c>
      <c r="D17" s="27">
        <f>+Input!F120*Input!$D120</f>
        <v>0</v>
      </c>
      <c r="E17" s="27">
        <f>+Input!G120*Input!$D120</f>
        <v>0</v>
      </c>
      <c r="F17" s="27">
        <f>+Input!H120*Input!$D120</f>
        <v>0</v>
      </c>
      <c r="G17" s="27">
        <f>+Input!I120*Input!$D120</f>
        <v>0</v>
      </c>
      <c r="H17" s="27">
        <f>+Input!J120*Input!$D120</f>
        <v>0</v>
      </c>
      <c r="I17" s="12"/>
    </row>
    <row r="18" spans="2:9" ht="15">
      <c r="B18" s="13"/>
      <c r="C18" s="14" t="str">
        <f>+Input!C121</f>
        <v>Altri costi 3</v>
      </c>
      <c r="D18" s="27">
        <f>+Input!F121*Input!$D121</f>
        <v>0</v>
      </c>
      <c r="E18" s="27">
        <f>+Input!G121*Input!$D121</f>
        <v>0</v>
      </c>
      <c r="F18" s="27">
        <f>+Input!H121*Input!$D121</f>
        <v>0</v>
      </c>
      <c r="G18" s="27">
        <f>+Input!I121*Input!$D121</f>
        <v>0</v>
      </c>
      <c r="H18" s="27">
        <f>+Input!J121*Input!$D121</f>
        <v>0</v>
      </c>
      <c r="I18" s="12"/>
    </row>
    <row r="19" spans="2:9" ht="15">
      <c r="B19" s="13"/>
      <c r="C19" s="14" t="str">
        <f>+Input!C122</f>
        <v>Altri costi 4</v>
      </c>
      <c r="D19" s="27">
        <f>+Input!F122*Input!$D122</f>
        <v>0</v>
      </c>
      <c r="E19" s="27">
        <f>+Input!G122*Input!$D122</f>
        <v>0</v>
      </c>
      <c r="F19" s="27">
        <f>+Input!H122*Input!$D122</f>
        <v>0</v>
      </c>
      <c r="G19" s="27">
        <f>+Input!I122*Input!$D122</f>
        <v>0</v>
      </c>
      <c r="H19" s="27">
        <f>+Input!J122*Input!$D122</f>
        <v>0</v>
      </c>
      <c r="I19" s="12"/>
    </row>
    <row r="20" spans="2:9" ht="15">
      <c r="B20" s="13"/>
      <c r="C20" s="14" t="str">
        <f>+Input!C123</f>
        <v>Altri costi 5</v>
      </c>
      <c r="D20" s="27">
        <f>+Input!F123*Input!$D123</f>
        <v>0</v>
      </c>
      <c r="E20" s="27">
        <f>+Input!G123*Input!$D123</f>
        <v>0</v>
      </c>
      <c r="F20" s="27">
        <f>+Input!H123*Input!$D123</f>
        <v>0</v>
      </c>
      <c r="G20" s="27">
        <f>+Input!I123*Input!$D123</f>
        <v>0</v>
      </c>
      <c r="H20" s="27">
        <f>+Input!J123*Input!$D123</f>
        <v>0</v>
      </c>
      <c r="I20" s="12"/>
    </row>
    <row r="21" spans="2:9" ht="15">
      <c r="B21" s="13"/>
      <c r="C21" s="14" t="str">
        <f>+Input!C124</f>
        <v>Altri costi 6</v>
      </c>
      <c r="D21" s="27">
        <f>+Input!F124*Input!$D124</f>
        <v>0</v>
      </c>
      <c r="E21" s="27">
        <f>+Input!G124*Input!$D124</f>
        <v>0</v>
      </c>
      <c r="F21" s="27">
        <f>+Input!H124*Input!$D124</f>
        <v>0</v>
      </c>
      <c r="G21" s="27">
        <f>+Input!I124*Input!$D124</f>
        <v>0</v>
      </c>
      <c r="H21" s="27">
        <f>+Input!J124*Input!$D124</f>
        <v>0</v>
      </c>
      <c r="I21" s="12"/>
    </row>
    <row r="22" spans="2:9" ht="15">
      <c r="B22" s="13"/>
      <c r="C22" s="14" t="str">
        <f>+Input!C125</f>
        <v>Altri costi 7</v>
      </c>
      <c r="D22" s="27">
        <f>+Input!F125*Input!$D125</f>
        <v>0</v>
      </c>
      <c r="E22" s="27">
        <f>+Input!G125*Input!$D125</f>
        <v>0</v>
      </c>
      <c r="F22" s="27">
        <f>+Input!H125*Input!$D125</f>
        <v>0</v>
      </c>
      <c r="G22" s="27">
        <f>+Input!I125*Input!$D125</f>
        <v>0</v>
      </c>
      <c r="H22" s="27">
        <f>+Input!J125*Input!$D125</f>
        <v>0</v>
      </c>
      <c r="I22" s="12"/>
    </row>
    <row r="23" spans="2:9" ht="15">
      <c r="B23" s="13"/>
      <c r="C23" s="14" t="str">
        <f>+Input!C126</f>
        <v>Altri costi 8</v>
      </c>
      <c r="D23" s="27">
        <f>+Input!F126*Input!$D126</f>
        <v>0</v>
      </c>
      <c r="E23" s="27">
        <f>+Input!G126*Input!$D126</f>
        <v>0</v>
      </c>
      <c r="F23" s="27">
        <f>+Input!H126*Input!$D126</f>
        <v>0</v>
      </c>
      <c r="G23" s="27">
        <f>+Input!I126*Input!$D126</f>
        <v>0</v>
      </c>
      <c r="H23" s="27">
        <f>+Input!J126*Input!$D126</f>
        <v>0</v>
      </c>
      <c r="I23" s="12"/>
    </row>
    <row r="24" spans="2:9" ht="15">
      <c r="B24" s="13"/>
      <c r="C24" s="14" t="str">
        <f>+Input!C127</f>
        <v>Altri costi 9</v>
      </c>
      <c r="D24" s="27">
        <f>+Input!F127*Input!$D127</f>
        <v>0</v>
      </c>
      <c r="E24" s="27">
        <f>+Input!G127*Input!$D127</f>
        <v>0</v>
      </c>
      <c r="F24" s="27">
        <f>+Input!H127*Input!$D127</f>
        <v>0</v>
      </c>
      <c r="G24" s="27">
        <f>+Input!I127*Input!$D127</f>
        <v>0</v>
      </c>
      <c r="H24" s="27">
        <f>+Input!J127*Input!$D127</f>
        <v>0</v>
      </c>
      <c r="I24" s="12"/>
    </row>
    <row r="25" spans="2:9" ht="15">
      <c r="B25" s="13"/>
      <c r="C25" s="9" t="s">
        <v>252</v>
      </c>
      <c r="D25" s="28">
        <f>SUM(D4:D24)</f>
        <v>6292</v>
      </c>
      <c r="E25" s="28">
        <f>SUM(E4:E24)</f>
        <v>3872</v>
      </c>
      <c r="F25" s="28">
        <f>SUM(F4:F24)</f>
        <v>3872</v>
      </c>
      <c r="G25" s="28">
        <f>SUM(G4:G24)</f>
        <v>3872</v>
      </c>
      <c r="H25" s="28">
        <f>SUM(H4:H24)</f>
        <v>3872</v>
      </c>
      <c r="I25" s="12"/>
    </row>
    <row r="26" spans="2:9" ht="15.75" thickBot="1">
      <c r="B26" s="15"/>
      <c r="C26" s="16"/>
      <c r="D26" s="16"/>
      <c r="E26" s="16"/>
      <c r="F26" s="16"/>
      <c r="G26" s="16"/>
      <c r="H26" s="16"/>
      <c r="I26" s="17"/>
    </row>
    <row r="27" ht="15.75" thickBot="1"/>
    <row r="28" spans="2:9" ht="15">
      <c r="B28" s="5"/>
      <c r="C28" s="6"/>
      <c r="D28" s="6"/>
      <c r="E28" s="6"/>
      <c r="F28" s="6"/>
      <c r="G28" s="6"/>
      <c r="H28" s="6"/>
      <c r="I28" s="7"/>
    </row>
    <row r="29" spans="2:9" ht="15">
      <c r="B29" s="13"/>
      <c r="C29" s="10" t="s">
        <v>39</v>
      </c>
      <c r="D29" s="10">
        <f>+D3</f>
        <v>2017</v>
      </c>
      <c r="E29" s="10">
        <f>+E3</f>
        <v>2018</v>
      </c>
      <c r="F29" s="10">
        <f>+F3</f>
        <v>2019</v>
      </c>
      <c r="G29" s="10">
        <f>+G3</f>
        <v>2020</v>
      </c>
      <c r="H29" s="10">
        <f>+H3</f>
        <v>2021</v>
      </c>
      <c r="I29" s="12"/>
    </row>
    <row r="30" spans="2:9" ht="15">
      <c r="B30" s="13"/>
      <c r="C30" s="14" t="str">
        <f aca="true" t="shared" si="0" ref="C30:C50">+C4</f>
        <v>spese utenze</v>
      </c>
      <c r="D30" s="37">
        <f>+Input!F107+'Altri costi'!D4</f>
        <v>14640</v>
      </c>
      <c r="E30" s="37">
        <f>+Input!G107+'Altri costi'!E4</f>
        <v>14640</v>
      </c>
      <c r="F30" s="37">
        <f>+Input!H107+'Altri costi'!F4</f>
        <v>14640</v>
      </c>
      <c r="G30" s="37">
        <f>+Input!I107+'Altri costi'!G4</f>
        <v>14640</v>
      </c>
      <c r="H30" s="37">
        <f>+Input!J107+'Altri costi'!H4</f>
        <v>14640</v>
      </c>
      <c r="I30" s="12"/>
    </row>
    <row r="31" spans="2:9" ht="15">
      <c r="B31" s="13"/>
      <c r="C31" s="14" t="str">
        <f t="shared" si="0"/>
        <v>spese di rappresentanza</v>
      </c>
      <c r="D31" s="37">
        <f>+Input!F108+'Altri costi'!D5</f>
        <v>0</v>
      </c>
      <c r="E31" s="37">
        <f>+Input!G108+'Altri costi'!E5</f>
        <v>0</v>
      </c>
      <c r="F31" s="37">
        <f>+Input!H108+'Altri costi'!F5</f>
        <v>0</v>
      </c>
      <c r="G31" s="37">
        <f>+Input!I108+'Altri costi'!G5</f>
        <v>0</v>
      </c>
      <c r="H31" s="37">
        <f>+Input!J108+'Altri costi'!H5</f>
        <v>0</v>
      </c>
      <c r="I31" s="12"/>
    </row>
    <row r="32" spans="2:9" ht="15">
      <c r="B32" s="13"/>
      <c r="C32" s="14" t="str">
        <f t="shared" si="0"/>
        <v>spese di pubblicità e promozioni</v>
      </c>
      <c r="D32" s="37">
        <f>+Input!F109+'Altri costi'!D6</f>
        <v>18300</v>
      </c>
      <c r="E32" s="37">
        <f>+Input!G109+'Altri costi'!E6</f>
        <v>2440</v>
      </c>
      <c r="F32" s="37">
        <f>+Input!H109+'Altri costi'!F6</f>
        <v>2440</v>
      </c>
      <c r="G32" s="37">
        <f>+Input!I109+'Altri costi'!G6</f>
        <v>2440</v>
      </c>
      <c r="H32" s="37">
        <f>+Input!J109+'Altri costi'!H6</f>
        <v>2440</v>
      </c>
      <c r="I32" s="12"/>
    </row>
    <row r="33" spans="2:9" ht="15">
      <c r="B33" s="13"/>
      <c r="C33" s="14" t="str">
        <f t="shared" si="0"/>
        <v>beni strumentali inf. al milione</v>
      </c>
      <c r="D33" s="37">
        <f>+Input!F110+'Altri costi'!D7</f>
        <v>0</v>
      </c>
      <c r="E33" s="37">
        <f>+Input!G110+'Altri costi'!E7</f>
        <v>0</v>
      </c>
      <c r="F33" s="37">
        <f>+Input!H110+'Altri costi'!F7</f>
        <v>0</v>
      </c>
      <c r="G33" s="37">
        <f>+Input!I110+'Altri costi'!G7</f>
        <v>0</v>
      </c>
      <c r="H33" s="37">
        <f>+Input!J110+'Altri costi'!H7</f>
        <v>0</v>
      </c>
      <c r="I33" s="12"/>
    </row>
    <row r="34" spans="2:9" ht="15">
      <c r="B34" s="13"/>
      <c r="C34" s="14" t="str">
        <f t="shared" si="0"/>
        <v>spese di trasporto</v>
      </c>
      <c r="D34" s="37">
        <f>+Input!F111+'Altri costi'!D8</f>
        <v>0</v>
      </c>
      <c r="E34" s="37">
        <f>+Input!G111+'Altri costi'!E8</f>
        <v>0</v>
      </c>
      <c r="F34" s="37">
        <f>+Input!H111+'Altri costi'!F8</f>
        <v>0</v>
      </c>
      <c r="G34" s="37">
        <f>+Input!I111+'Altri costi'!G8</f>
        <v>0</v>
      </c>
      <c r="H34" s="37">
        <f>+Input!J111+'Altri costi'!H8</f>
        <v>0</v>
      </c>
      <c r="I34" s="12"/>
    </row>
    <row r="35" spans="2:9" ht="15">
      <c r="B35" s="13"/>
      <c r="C35" s="14" t="str">
        <f t="shared" si="0"/>
        <v>lavorazioni presso terzi</v>
      </c>
      <c r="D35" s="37">
        <f>+Input!F112+'Altri costi'!D9</f>
        <v>0</v>
      </c>
      <c r="E35" s="37">
        <f>+Input!G112+'Altri costi'!E9</f>
        <v>0</v>
      </c>
      <c r="F35" s="37">
        <f>+Input!H112+'Altri costi'!F9</f>
        <v>0</v>
      </c>
      <c r="G35" s="37">
        <f>+Input!I112+'Altri costi'!G9</f>
        <v>0</v>
      </c>
      <c r="H35" s="37">
        <f>+Input!J112+'Altri costi'!H9</f>
        <v>0</v>
      </c>
      <c r="I35" s="12"/>
    </row>
    <row r="36" spans="2:9" ht="15">
      <c r="B36" s="13"/>
      <c r="C36" s="14" t="str">
        <f t="shared" si="0"/>
        <v>consulenze legali, fiscali, notarili, ecc…</v>
      </c>
      <c r="D36" s="37">
        <f>+Input!F113+'Altri costi'!D10</f>
        <v>732</v>
      </c>
      <c r="E36" s="37">
        <f>+Input!G113+'Altri costi'!E10</f>
        <v>732</v>
      </c>
      <c r="F36" s="37">
        <f>+Input!H113+'Altri costi'!F10</f>
        <v>732</v>
      </c>
      <c r="G36" s="37">
        <f>+Input!I113+'Altri costi'!G10</f>
        <v>732</v>
      </c>
      <c r="H36" s="37">
        <f>+Input!J113+'Altri costi'!H10</f>
        <v>732</v>
      </c>
      <c r="I36" s="12"/>
    </row>
    <row r="37" spans="2:9" ht="15">
      <c r="B37" s="13"/>
      <c r="C37" s="14" t="str">
        <f t="shared" si="0"/>
        <v>compensi amministratori</v>
      </c>
      <c r="D37" s="37">
        <f>+Input!F114+'Altri costi'!D11</f>
        <v>0</v>
      </c>
      <c r="E37" s="37">
        <f>+Input!G114+'Altri costi'!E11</f>
        <v>0</v>
      </c>
      <c r="F37" s="37">
        <f>+Input!H114+'Altri costi'!F11</f>
        <v>0</v>
      </c>
      <c r="G37" s="37">
        <f>+Input!I114+'Altri costi'!G11</f>
        <v>0</v>
      </c>
      <c r="H37" s="37">
        <f>+Input!J114+'Altri costi'!H11</f>
        <v>0</v>
      </c>
      <c r="I37" s="12"/>
    </row>
    <row r="38" spans="2:9" ht="15">
      <c r="B38" s="13"/>
      <c r="C38" s="14" t="str">
        <f t="shared" si="0"/>
        <v>affitti </v>
      </c>
      <c r="D38" s="37">
        <f>+Input!F115+'Altri costi'!D12</f>
        <v>24000</v>
      </c>
      <c r="E38" s="37">
        <f>+Input!G115+'Altri costi'!E12</f>
        <v>24000</v>
      </c>
      <c r="F38" s="37">
        <f>+Input!H115+'Altri costi'!F12</f>
        <v>24000</v>
      </c>
      <c r="G38" s="37">
        <f>+Input!I115+'Altri costi'!G12</f>
        <v>24000</v>
      </c>
      <c r="H38" s="37">
        <f>+Input!J115+'Altri costi'!H12</f>
        <v>24000</v>
      </c>
      <c r="I38" s="12"/>
    </row>
    <row r="39" spans="2:9" ht="15">
      <c r="B39" s="13"/>
      <c r="C39" s="14" t="str">
        <f t="shared" si="0"/>
        <v>altri costi amministrativi</v>
      </c>
      <c r="D39" s="37">
        <f>+Input!F116+'Altri costi'!D13</f>
        <v>0</v>
      </c>
      <c r="E39" s="37">
        <f>+Input!G116+'Altri costi'!E13</f>
        <v>0</v>
      </c>
      <c r="F39" s="37">
        <f>+Input!H116+'Altri costi'!F13</f>
        <v>0</v>
      </c>
      <c r="G39" s="37">
        <f>+Input!I116+'Altri costi'!G13</f>
        <v>0</v>
      </c>
      <c r="H39" s="37">
        <f>+Input!J116+'Altri costi'!H13</f>
        <v>0</v>
      </c>
      <c r="I39" s="12"/>
    </row>
    <row r="40" spans="2:9" ht="15">
      <c r="B40" s="13"/>
      <c r="C40" s="14" t="str">
        <f t="shared" si="0"/>
        <v>Costi diversi</v>
      </c>
      <c r="D40" s="37">
        <f>+Input!F117+'Altri costi'!D14</f>
        <v>1220</v>
      </c>
      <c r="E40" s="37">
        <f>+Input!G117+'Altri costi'!E14</f>
        <v>3660</v>
      </c>
      <c r="F40" s="37">
        <f>+Input!H117+'Altri costi'!F14</f>
        <v>3660</v>
      </c>
      <c r="G40" s="37">
        <f>+Input!I117+'Altri costi'!G14</f>
        <v>3660</v>
      </c>
      <c r="H40" s="37">
        <f>+Input!J117+'Altri costi'!H14</f>
        <v>3660</v>
      </c>
      <c r="I40" s="12"/>
    </row>
    <row r="41" spans="2:9" ht="15">
      <c r="B41" s="13"/>
      <c r="C41" s="14" t="str">
        <f t="shared" si="0"/>
        <v>Premi assicurativi</v>
      </c>
      <c r="D41" s="37">
        <f>+Input!F118+'Altri costi'!D15</f>
        <v>2000</v>
      </c>
      <c r="E41" s="37">
        <f>+Input!G118+'Altri costi'!E15</f>
        <v>2000</v>
      </c>
      <c r="F41" s="37">
        <f>+Input!H118+'Altri costi'!F15</f>
        <v>2000</v>
      </c>
      <c r="G41" s="37">
        <f>+Input!I118+'Altri costi'!G15</f>
        <v>2000</v>
      </c>
      <c r="H41" s="37">
        <f>+Input!J118+'Altri costi'!H15</f>
        <v>2000</v>
      </c>
      <c r="I41" s="12"/>
    </row>
    <row r="42" spans="2:9" ht="15">
      <c r="B42" s="13"/>
      <c r="C42" s="14" t="str">
        <f t="shared" si="0"/>
        <v>Altri costi 1</v>
      </c>
      <c r="D42" s="37">
        <f>+Input!F119+'Altri costi'!D16</f>
        <v>0</v>
      </c>
      <c r="E42" s="37">
        <f>+Input!G119+'Altri costi'!E16</f>
        <v>0</v>
      </c>
      <c r="F42" s="37">
        <f>+Input!H119+'Altri costi'!F16</f>
        <v>0</v>
      </c>
      <c r="G42" s="37">
        <f>+Input!I119+'Altri costi'!G16</f>
        <v>0</v>
      </c>
      <c r="H42" s="37">
        <f>+Input!J119+'Altri costi'!H16</f>
        <v>0</v>
      </c>
      <c r="I42" s="12"/>
    </row>
    <row r="43" spans="2:9" ht="15">
      <c r="B43" s="13"/>
      <c r="C43" s="14" t="str">
        <f t="shared" si="0"/>
        <v>Altri costi 2</v>
      </c>
      <c r="D43" s="37">
        <f>+Input!F120+'Altri costi'!D17</f>
        <v>0</v>
      </c>
      <c r="E43" s="37">
        <f>+Input!G120+'Altri costi'!E17</f>
        <v>0</v>
      </c>
      <c r="F43" s="37">
        <f>+Input!H120+'Altri costi'!F17</f>
        <v>0</v>
      </c>
      <c r="G43" s="37">
        <f>+Input!I120+'Altri costi'!G17</f>
        <v>0</v>
      </c>
      <c r="H43" s="37">
        <f>+Input!J120+'Altri costi'!H17</f>
        <v>0</v>
      </c>
      <c r="I43" s="12"/>
    </row>
    <row r="44" spans="2:9" ht="15">
      <c r="B44" s="13"/>
      <c r="C44" s="14" t="str">
        <f t="shared" si="0"/>
        <v>Altri costi 3</v>
      </c>
      <c r="D44" s="37">
        <f>+Input!F121+'Altri costi'!D18</f>
        <v>0</v>
      </c>
      <c r="E44" s="37">
        <f>+Input!G121+'Altri costi'!E18</f>
        <v>0</v>
      </c>
      <c r="F44" s="37">
        <f>+Input!H121+'Altri costi'!F18</f>
        <v>0</v>
      </c>
      <c r="G44" s="37">
        <f>+Input!I121+'Altri costi'!G18</f>
        <v>0</v>
      </c>
      <c r="H44" s="37">
        <f>+Input!J121+'Altri costi'!H18</f>
        <v>0</v>
      </c>
      <c r="I44" s="12"/>
    </row>
    <row r="45" spans="2:9" ht="15">
      <c r="B45" s="13"/>
      <c r="C45" s="14" t="str">
        <f t="shared" si="0"/>
        <v>Altri costi 4</v>
      </c>
      <c r="D45" s="37">
        <f>+Input!F122+'Altri costi'!D19</f>
        <v>0</v>
      </c>
      <c r="E45" s="37">
        <f>+Input!G122+'Altri costi'!E19</f>
        <v>0</v>
      </c>
      <c r="F45" s="37">
        <f>+Input!H122+'Altri costi'!F19</f>
        <v>0</v>
      </c>
      <c r="G45" s="37">
        <f>+Input!I122+'Altri costi'!G19</f>
        <v>0</v>
      </c>
      <c r="H45" s="37">
        <f>+Input!J122+'Altri costi'!H19</f>
        <v>0</v>
      </c>
      <c r="I45" s="12"/>
    </row>
    <row r="46" spans="2:9" ht="15">
      <c r="B46" s="13"/>
      <c r="C46" s="14" t="str">
        <f t="shared" si="0"/>
        <v>Altri costi 5</v>
      </c>
      <c r="D46" s="37">
        <f>+Input!F123+'Altri costi'!D20</f>
        <v>0</v>
      </c>
      <c r="E46" s="37">
        <f>+Input!G123+'Altri costi'!E20</f>
        <v>0</v>
      </c>
      <c r="F46" s="37">
        <f>+Input!H123+'Altri costi'!F20</f>
        <v>0</v>
      </c>
      <c r="G46" s="37">
        <f>+Input!I123+'Altri costi'!G20</f>
        <v>0</v>
      </c>
      <c r="H46" s="37">
        <f>+Input!J123+'Altri costi'!H20</f>
        <v>0</v>
      </c>
      <c r="I46" s="12"/>
    </row>
    <row r="47" spans="2:9" ht="15">
      <c r="B47" s="13"/>
      <c r="C47" s="14" t="str">
        <f t="shared" si="0"/>
        <v>Altri costi 6</v>
      </c>
      <c r="D47" s="37">
        <f>+Input!F124+'Altri costi'!D21</f>
        <v>0</v>
      </c>
      <c r="E47" s="37">
        <f>+Input!G124+'Altri costi'!E21</f>
        <v>0</v>
      </c>
      <c r="F47" s="37">
        <f>+Input!H124+'Altri costi'!F21</f>
        <v>0</v>
      </c>
      <c r="G47" s="37">
        <f>+Input!I124+'Altri costi'!G21</f>
        <v>0</v>
      </c>
      <c r="H47" s="37">
        <f>+Input!J124+'Altri costi'!H21</f>
        <v>0</v>
      </c>
      <c r="I47" s="12"/>
    </row>
    <row r="48" spans="2:9" ht="15">
      <c r="B48" s="13"/>
      <c r="C48" s="14" t="str">
        <f t="shared" si="0"/>
        <v>Altri costi 7</v>
      </c>
      <c r="D48" s="37">
        <f>+Input!F125+'Altri costi'!D22</f>
        <v>0</v>
      </c>
      <c r="E48" s="37">
        <f>+Input!G125+'Altri costi'!E22</f>
        <v>0</v>
      </c>
      <c r="F48" s="37">
        <f>+Input!H125+'Altri costi'!F22</f>
        <v>0</v>
      </c>
      <c r="G48" s="37">
        <f>+Input!I125+'Altri costi'!G22</f>
        <v>0</v>
      </c>
      <c r="H48" s="37">
        <f>+Input!J125+'Altri costi'!H22</f>
        <v>0</v>
      </c>
      <c r="I48" s="12"/>
    </row>
    <row r="49" spans="2:9" ht="15">
      <c r="B49" s="13"/>
      <c r="C49" s="14" t="str">
        <f t="shared" si="0"/>
        <v>Altri costi 8</v>
      </c>
      <c r="D49" s="37">
        <f>+Input!F126+'Altri costi'!D23</f>
        <v>0</v>
      </c>
      <c r="E49" s="37">
        <f>+Input!G126+'Altri costi'!E23</f>
        <v>0</v>
      </c>
      <c r="F49" s="37">
        <f>+Input!H126+'Altri costi'!F23</f>
        <v>0</v>
      </c>
      <c r="G49" s="37">
        <f>+Input!I126+'Altri costi'!G23</f>
        <v>0</v>
      </c>
      <c r="H49" s="37">
        <f>+Input!J126+'Altri costi'!H23</f>
        <v>0</v>
      </c>
      <c r="I49" s="12"/>
    </row>
    <row r="50" spans="2:9" ht="15">
      <c r="B50" s="13"/>
      <c r="C50" s="14" t="str">
        <f t="shared" si="0"/>
        <v>Altri costi 9</v>
      </c>
      <c r="D50" s="37">
        <f>+Input!F127+'Altri costi'!D24</f>
        <v>0</v>
      </c>
      <c r="E50" s="37">
        <f>+Input!G127+'Altri costi'!E24</f>
        <v>0</v>
      </c>
      <c r="F50" s="37">
        <f>+Input!H127+'Altri costi'!F24</f>
        <v>0</v>
      </c>
      <c r="G50" s="37">
        <f>+Input!I127+'Altri costi'!G24</f>
        <v>0</v>
      </c>
      <c r="H50" s="37">
        <f>+Input!J127+'Altri costi'!H24</f>
        <v>0</v>
      </c>
      <c r="I50" s="12"/>
    </row>
    <row r="51" spans="2:9" ht="15">
      <c r="B51" s="13"/>
      <c r="C51" s="9" t="s">
        <v>63</v>
      </c>
      <c r="D51" s="42">
        <f>SUM(D30:D50)</f>
        <v>60892</v>
      </c>
      <c r="E51" s="42">
        <f>SUM(E30:E50)</f>
        <v>47472</v>
      </c>
      <c r="F51" s="42">
        <f>SUM(F30:F50)</f>
        <v>47472</v>
      </c>
      <c r="G51" s="42">
        <f>SUM(G30:G50)</f>
        <v>47472</v>
      </c>
      <c r="H51" s="42">
        <f>SUM(H30:H50)</f>
        <v>47472</v>
      </c>
      <c r="I51" s="12"/>
    </row>
    <row r="52" spans="2:9" ht="15.75" thickBot="1">
      <c r="B52" s="15"/>
      <c r="C52" s="16"/>
      <c r="D52" s="16"/>
      <c r="E52" s="16"/>
      <c r="F52" s="16"/>
      <c r="G52" s="16"/>
      <c r="H52" s="16"/>
      <c r="I52" s="1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Q52"/>
  <sheetViews>
    <sheetView showGridLines="0" zoomScalePageLayoutView="0" workbookViewId="0" topLeftCell="A33">
      <selection activeCell="E9" sqref="E9"/>
    </sheetView>
  </sheetViews>
  <sheetFormatPr defaultColWidth="9.140625" defaultRowHeight="15"/>
  <cols>
    <col min="2" max="2" width="2.57421875" style="0" customWidth="1"/>
    <col min="3" max="3" width="51.00390625" style="0" bestFit="1" customWidth="1"/>
    <col min="4" max="6" width="10.57421875" style="0" bestFit="1" customWidth="1"/>
    <col min="7" max="8" width="9.28125" style="0" bestFit="1" customWidth="1"/>
    <col min="11" max="11" width="15.421875" style="0" bestFit="1" customWidth="1"/>
  </cols>
  <sheetData>
    <row r="1" ht="15.75" thickBot="1"/>
    <row r="2" spans="2:9" ht="15">
      <c r="B2" s="5"/>
      <c r="C2" s="6"/>
      <c r="D2" s="6"/>
      <c r="E2" s="6"/>
      <c r="F2" s="6"/>
      <c r="G2" s="6"/>
      <c r="H2" s="6"/>
      <c r="I2" s="7"/>
    </row>
    <row r="3" spans="2:9" ht="15">
      <c r="B3" s="13"/>
      <c r="C3" s="9" t="s">
        <v>372</v>
      </c>
      <c r="D3" s="10">
        <f>+Input!D140</f>
        <v>2017</v>
      </c>
      <c r="E3" s="10">
        <f>+Input!E140</f>
        <v>2018</v>
      </c>
      <c r="F3" s="10">
        <f>+Input!F140</f>
        <v>2019</v>
      </c>
      <c r="G3" s="10">
        <f>+Input!G140</f>
        <v>2020</v>
      </c>
      <c r="H3" s="10">
        <f>+Input!H140</f>
        <v>2021</v>
      </c>
      <c r="I3" s="101"/>
    </row>
    <row r="4" spans="2:9" ht="15">
      <c r="B4" s="13"/>
      <c r="C4" s="14"/>
      <c r="D4" s="10"/>
      <c r="E4" s="10"/>
      <c r="F4" s="10"/>
      <c r="G4" s="10"/>
      <c r="H4" s="10"/>
      <c r="I4" s="101"/>
    </row>
    <row r="5" spans="2:9" ht="15">
      <c r="B5" s="13"/>
      <c r="C5" s="14" t="str">
        <f>+Input!C141</f>
        <v>Contributo conto esercizio delibera</v>
      </c>
      <c r="D5" s="27">
        <f>+Input!D141</f>
        <v>0</v>
      </c>
      <c r="E5" s="27">
        <f>+Input!E141</f>
        <v>0</v>
      </c>
      <c r="F5" s="27">
        <f>+Input!F141</f>
        <v>0</v>
      </c>
      <c r="G5" s="27">
        <f>+Input!G141</f>
        <v>0</v>
      </c>
      <c r="H5" s="27">
        <f>+Input!H141</f>
        <v>0</v>
      </c>
      <c r="I5" s="12"/>
    </row>
    <row r="6" spans="2:9" ht="15">
      <c r="B6" s="13"/>
      <c r="C6" s="14" t="str">
        <f>+Input!C142</f>
        <v>Contributo conto esercizio Liquidazione</v>
      </c>
      <c r="D6" s="27">
        <f>+Input!D142</f>
        <v>0</v>
      </c>
      <c r="E6" s="27">
        <f>+Input!E142</f>
        <v>0</v>
      </c>
      <c r="F6" s="27">
        <f>+Input!F142</f>
        <v>0</v>
      </c>
      <c r="G6" s="27">
        <f>+Input!G142</f>
        <v>0</v>
      </c>
      <c r="H6" s="27">
        <f>+Input!H142</f>
        <v>0</v>
      </c>
      <c r="I6" s="12"/>
    </row>
    <row r="7" spans="2:9" ht="15">
      <c r="B7" s="13"/>
      <c r="C7" s="14"/>
      <c r="D7" s="14"/>
      <c r="E7" s="14"/>
      <c r="F7" s="14"/>
      <c r="G7" s="14"/>
      <c r="H7" s="14"/>
      <c r="I7" s="12"/>
    </row>
    <row r="8" spans="2:9" ht="15">
      <c r="B8" s="13"/>
      <c r="C8" s="14" t="s">
        <v>356</v>
      </c>
      <c r="D8" s="27">
        <f>+D5</f>
        <v>0</v>
      </c>
      <c r="E8" s="27">
        <f>+E5</f>
        <v>0</v>
      </c>
      <c r="F8" s="27">
        <f>+F5</f>
        <v>0</v>
      </c>
      <c r="G8" s="27">
        <f>+G5</f>
        <v>0</v>
      </c>
      <c r="H8" s="27">
        <f>+H5</f>
        <v>0</v>
      </c>
      <c r="I8" s="12"/>
    </row>
    <row r="9" spans="2:9" ht="15">
      <c r="B9" s="13"/>
      <c r="C9" s="14" t="s">
        <v>357</v>
      </c>
      <c r="D9" s="27">
        <f>+D5-D6</f>
        <v>0</v>
      </c>
      <c r="E9" s="27">
        <f>+E5-E6+D9</f>
        <v>0</v>
      </c>
      <c r="F9" s="27">
        <f>+F5-F6+E9</f>
        <v>0</v>
      </c>
      <c r="G9" s="27">
        <f>+G5-G6+F9</f>
        <v>0</v>
      </c>
      <c r="H9" s="27">
        <f>+H5-H6+G9</f>
        <v>0</v>
      </c>
      <c r="I9" s="12"/>
    </row>
    <row r="10" spans="2:9" ht="15">
      <c r="B10" s="13"/>
      <c r="C10" s="14" t="s">
        <v>358</v>
      </c>
      <c r="D10" s="27">
        <f>+D6</f>
        <v>0</v>
      </c>
      <c r="E10" s="27">
        <f>+E6+D10</f>
        <v>0</v>
      </c>
      <c r="F10" s="27">
        <f>+F6+E10</f>
        <v>0</v>
      </c>
      <c r="G10" s="27">
        <f>+G6+F10</f>
        <v>0</v>
      </c>
      <c r="H10" s="27">
        <f>+H6+G10</f>
        <v>0</v>
      </c>
      <c r="I10" s="12"/>
    </row>
    <row r="11" spans="2:9" ht="15.75" thickBot="1">
      <c r="B11" s="15"/>
      <c r="C11" s="16"/>
      <c r="D11" s="16"/>
      <c r="E11" s="16"/>
      <c r="F11" s="16"/>
      <c r="G11" s="16"/>
      <c r="H11" s="16"/>
      <c r="I11" s="17"/>
    </row>
    <row r="12" ht="15.75" thickBot="1"/>
    <row r="13" spans="2:9" ht="15">
      <c r="B13" s="5"/>
      <c r="C13" s="6"/>
      <c r="D13" s="6"/>
      <c r="E13" s="6"/>
      <c r="F13" s="6"/>
      <c r="G13" s="6"/>
      <c r="H13" s="6"/>
      <c r="I13" s="7"/>
    </row>
    <row r="14" spans="2:9" ht="15">
      <c r="B14" s="13"/>
      <c r="C14" s="14"/>
      <c r="D14" s="14"/>
      <c r="E14" s="14"/>
      <c r="F14" s="14"/>
      <c r="G14" s="14"/>
      <c r="H14" s="14"/>
      <c r="I14" s="12"/>
    </row>
    <row r="15" spans="2:9" ht="15">
      <c r="B15" s="13"/>
      <c r="C15" s="9" t="s">
        <v>361</v>
      </c>
      <c r="D15" s="10">
        <f>+D3</f>
        <v>2017</v>
      </c>
      <c r="E15" s="10">
        <f>+E3</f>
        <v>2018</v>
      </c>
      <c r="F15" s="10">
        <f>+F3</f>
        <v>2019</v>
      </c>
      <c r="G15" s="10">
        <f>+G3</f>
        <v>2020</v>
      </c>
      <c r="H15" s="10">
        <f>+H3</f>
        <v>2021</v>
      </c>
      <c r="I15" s="12"/>
    </row>
    <row r="16" spans="2:9" ht="15">
      <c r="B16" s="13"/>
      <c r="C16" s="14"/>
      <c r="D16" s="14"/>
      <c r="E16" s="14"/>
      <c r="F16" s="14"/>
      <c r="G16" s="14"/>
      <c r="H16" s="14"/>
      <c r="I16" s="12"/>
    </row>
    <row r="17" spans="2:9" ht="15">
      <c r="B17" s="13"/>
      <c r="C17" s="14" t="str">
        <f>+Input!C144</f>
        <v>Contributo conto capitale/impianti delibera</v>
      </c>
      <c r="D17" s="27">
        <f>+Input!D144</f>
        <v>0</v>
      </c>
      <c r="E17" s="27">
        <f>+Input!E144</f>
        <v>0</v>
      </c>
      <c r="F17" s="27">
        <f>+Input!F144</f>
        <v>0</v>
      </c>
      <c r="G17" s="27">
        <f>+Input!G144</f>
        <v>0</v>
      </c>
      <c r="H17" s="27">
        <f>+Input!H144</f>
        <v>0</v>
      </c>
      <c r="I17" s="12"/>
    </row>
    <row r="18" spans="2:9" ht="15">
      <c r="B18" s="13"/>
      <c r="C18" s="14" t="str">
        <f>+Input!C145</f>
        <v>Contributo conto capitale/impianti Liquidazione</v>
      </c>
      <c r="D18" s="27">
        <f>+Input!D145</f>
        <v>0</v>
      </c>
      <c r="E18" s="27">
        <f>+Input!E145</f>
        <v>0</v>
      </c>
      <c r="F18" s="27">
        <f>+Input!F145</f>
        <v>0</v>
      </c>
      <c r="G18" s="27">
        <f>+Input!G145</f>
        <v>0</v>
      </c>
      <c r="H18" s="27">
        <f>+Input!H145</f>
        <v>0</v>
      </c>
      <c r="I18" s="12"/>
    </row>
    <row r="19" spans="2:9" ht="15">
      <c r="B19" s="13"/>
      <c r="C19" s="14" t="str">
        <f>+Input!C146</f>
        <v>Aliquota ammortamento cespiti finanziati</v>
      </c>
      <c r="D19" s="102">
        <f>+Input!D146</f>
        <v>0</v>
      </c>
      <c r="E19" s="102">
        <f>+Input!E146</f>
        <v>0</v>
      </c>
      <c r="F19" s="102">
        <f>+Input!F146</f>
        <v>0</v>
      </c>
      <c r="G19" s="102">
        <f>+Input!G146</f>
        <v>0</v>
      </c>
      <c r="H19" s="102">
        <f>+Input!H146</f>
        <v>0</v>
      </c>
      <c r="I19" s="12"/>
    </row>
    <row r="20" spans="2:9" ht="15">
      <c r="B20" s="13"/>
      <c r="C20" s="14"/>
      <c r="D20" s="14"/>
      <c r="E20" s="14"/>
      <c r="F20" s="14"/>
      <c r="G20" s="14"/>
      <c r="H20" s="14"/>
      <c r="I20" s="12"/>
    </row>
    <row r="21" spans="2:17" ht="15">
      <c r="B21" s="13"/>
      <c r="C21" s="14" t="s">
        <v>363</v>
      </c>
      <c r="D21" s="27">
        <f>+$D$17*$D$19</f>
        <v>0</v>
      </c>
      <c r="E21" s="27">
        <f>+IF(SUM(D21)&gt;=$D$17,0,(+$D$17*$D$19))</f>
        <v>0</v>
      </c>
      <c r="F21" s="27">
        <f>+IF(SUM(D21:E21)&gt;=$D$17,0,(+$D$17*$D$19))</f>
        <v>0</v>
      </c>
      <c r="G21" s="27">
        <f>+IF(SUM(D21:F21)&gt;=$D$17,0,(+$D$17*$D$19))</f>
        <v>0</v>
      </c>
      <c r="H21" s="27">
        <f>+IF(SUM(D21:G21)&gt;=$D$17,0,(+$D$17*$D$19))</f>
        <v>0</v>
      </c>
      <c r="I21" s="12"/>
      <c r="L21" s="20"/>
      <c r="M21" s="20"/>
      <c r="N21" s="20"/>
      <c r="O21" s="20"/>
      <c r="P21" s="20"/>
      <c r="Q21" s="20"/>
    </row>
    <row r="22" spans="2:17" ht="15">
      <c r="B22" s="13"/>
      <c r="C22" s="14" t="s">
        <v>364</v>
      </c>
      <c r="D22" s="27"/>
      <c r="E22" s="27">
        <f>+IF(SUM(D22)&gt;=$E$17,0,(+$E$17*$E$19))</f>
        <v>0</v>
      </c>
      <c r="F22" s="27">
        <f>+IF(SUM(E22)&gt;=$E$17,0,(+$E$17*$E$19))</f>
        <v>0</v>
      </c>
      <c r="G22" s="27">
        <f>+IF(SUM(F22)&gt;=$E$17,0,(+$E$17*$E$19))</f>
        <v>0</v>
      </c>
      <c r="H22" s="27">
        <f>+IF(SUM(G22)&gt;=$E$17,0,(+$E$17*$E$19))</f>
        <v>0</v>
      </c>
      <c r="I22" s="12"/>
      <c r="L22" s="20"/>
      <c r="M22" s="20"/>
      <c r="N22" s="20"/>
      <c r="O22" s="20"/>
      <c r="P22" s="20"/>
      <c r="Q22" s="20"/>
    </row>
    <row r="23" spans="2:17" ht="15">
      <c r="B23" s="13"/>
      <c r="C23" s="14" t="s">
        <v>365</v>
      </c>
      <c r="D23" s="27"/>
      <c r="E23" s="14"/>
      <c r="F23" s="27">
        <f>+IF(SUM(E23)&gt;=$F$17,0,(+$F$17*$F$19))</f>
        <v>0</v>
      </c>
      <c r="G23" s="27">
        <f>+IF(SUM(F23)&gt;=$F$17,0,(+$F$17*$F$19))</f>
        <v>0</v>
      </c>
      <c r="H23" s="27">
        <f>+IF(SUM(G23)&gt;=$F$17,0,(+$F$17*$F$19))</f>
        <v>0</v>
      </c>
      <c r="I23" s="12"/>
      <c r="L23" s="20"/>
      <c r="M23" s="20"/>
      <c r="N23" s="20"/>
      <c r="O23" s="20"/>
      <c r="P23" s="20"/>
      <c r="Q23" s="20"/>
    </row>
    <row r="24" spans="2:17" ht="15">
      <c r="B24" s="13"/>
      <c r="C24" s="14" t="s">
        <v>366</v>
      </c>
      <c r="D24" s="27"/>
      <c r="E24" s="14"/>
      <c r="F24" s="14"/>
      <c r="G24" s="27">
        <f>+IF(SUM(F24)&gt;=$G$17,0,(+$G$17*$G$19))</f>
        <v>0</v>
      </c>
      <c r="H24" s="27">
        <f>+IF(SUM(G24)&gt;=$G$17,0,(+$G$17*$G$19))</f>
        <v>0</v>
      </c>
      <c r="I24" s="12"/>
      <c r="L24" s="20"/>
      <c r="M24" s="20"/>
      <c r="N24" s="20"/>
      <c r="O24" s="20"/>
      <c r="P24" s="20"/>
      <c r="Q24" s="20"/>
    </row>
    <row r="25" spans="2:17" ht="15">
      <c r="B25" s="13"/>
      <c r="C25" s="14" t="s">
        <v>367</v>
      </c>
      <c r="D25" s="27"/>
      <c r="E25" s="14"/>
      <c r="F25" s="14"/>
      <c r="G25" s="14"/>
      <c r="H25" s="27">
        <f>+IF(SUM(G25)&gt;=$H$17,0,(+$H$17*$H$19))</f>
        <v>0</v>
      </c>
      <c r="I25" s="12"/>
      <c r="L25" s="20"/>
      <c r="M25" s="20"/>
      <c r="N25" s="20"/>
      <c r="O25" s="20"/>
      <c r="P25" s="20"/>
      <c r="Q25" s="20"/>
    </row>
    <row r="26" spans="2:17" ht="15">
      <c r="B26" s="13"/>
      <c r="C26" s="103" t="s">
        <v>16</v>
      </c>
      <c r="D26" s="28">
        <f>SUM(D21:D25)</f>
        <v>0</v>
      </c>
      <c r="E26" s="28">
        <f>SUM(E21:E25)</f>
        <v>0</v>
      </c>
      <c r="F26" s="28">
        <f>SUM(F21:F25)</f>
        <v>0</v>
      </c>
      <c r="G26" s="28">
        <f>SUM(G21:G25)</f>
        <v>0</v>
      </c>
      <c r="H26" s="28">
        <f>SUM(H21:H25)</f>
        <v>0</v>
      </c>
      <c r="I26" s="12"/>
      <c r="L26" s="20"/>
      <c r="M26" s="20"/>
      <c r="N26" s="20"/>
      <c r="O26" s="20"/>
      <c r="P26" s="20"/>
      <c r="Q26" s="20"/>
    </row>
    <row r="27" spans="2:17" ht="15">
      <c r="B27" s="13"/>
      <c r="C27" s="14"/>
      <c r="D27" s="27"/>
      <c r="E27" s="14"/>
      <c r="F27" s="14"/>
      <c r="G27" s="14"/>
      <c r="H27" s="14"/>
      <c r="I27" s="12"/>
      <c r="L27" s="20"/>
      <c r="M27" s="20"/>
      <c r="N27" s="20"/>
      <c r="O27" s="20"/>
      <c r="P27" s="20"/>
      <c r="Q27" s="20"/>
    </row>
    <row r="28" spans="2:17" ht="15">
      <c r="B28" s="13"/>
      <c r="C28" s="14" t="s">
        <v>362</v>
      </c>
      <c r="D28" s="27">
        <f>+D17-D26</f>
        <v>0</v>
      </c>
      <c r="E28" s="27">
        <f>+SUM(D17:E17)-SUM(D26:E26)</f>
        <v>0</v>
      </c>
      <c r="F28" s="27">
        <f>+SUM(D17:F17)-SUM(D26:F26)</f>
        <v>0</v>
      </c>
      <c r="G28" s="27">
        <f>+SUM(D17:G17)-SUM(D26:G26)</f>
        <v>0</v>
      </c>
      <c r="H28" s="27">
        <f>+SUM(D17:H17)-SUM(D26:H26)</f>
        <v>0</v>
      </c>
      <c r="I28" s="12"/>
      <c r="L28" s="20"/>
      <c r="M28" s="20"/>
      <c r="N28" s="20"/>
      <c r="O28" s="20"/>
      <c r="P28" s="20"/>
      <c r="Q28" s="20"/>
    </row>
    <row r="29" spans="2:17" ht="15">
      <c r="B29" s="13"/>
      <c r="C29" s="14" t="s">
        <v>371</v>
      </c>
      <c r="D29" s="27">
        <f>+D17-D18</f>
        <v>0</v>
      </c>
      <c r="E29" s="27">
        <f>+D29+E17-E18</f>
        <v>0</v>
      </c>
      <c r="F29" s="27">
        <f>+E29+F17-F18</f>
        <v>0</v>
      </c>
      <c r="G29" s="27">
        <f>+F29+G17-G18</f>
        <v>0</v>
      </c>
      <c r="H29" s="27">
        <f>+G29+H17-H18</f>
        <v>0</v>
      </c>
      <c r="I29" s="12"/>
      <c r="L29" s="20"/>
      <c r="M29" s="20"/>
      <c r="N29" s="20"/>
      <c r="O29" s="20"/>
      <c r="P29" s="20"/>
      <c r="Q29" s="20"/>
    </row>
    <row r="30" spans="2:9" ht="15">
      <c r="B30" s="13"/>
      <c r="C30" s="14" t="s">
        <v>358</v>
      </c>
      <c r="D30" s="27">
        <f>+D18</f>
        <v>0</v>
      </c>
      <c r="E30" s="27">
        <f>+D30+E18</f>
        <v>0</v>
      </c>
      <c r="F30" s="27">
        <f>+E30+F18</f>
        <v>0</v>
      </c>
      <c r="G30" s="27">
        <f>+F30+G18</f>
        <v>0</v>
      </c>
      <c r="H30" s="27">
        <f>+G30+H18</f>
        <v>0</v>
      </c>
      <c r="I30" s="12"/>
    </row>
    <row r="31" spans="2:9" ht="15.75" thickBot="1">
      <c r="B31" s="15"/>
      <c r="C31" s="16"/>
      <c r="D31" s="16"/>
      <c r="E31" s="16"/>
      <c r="F31" s="16"/>
      <c r="G31" s="16"/>
      <c r="H31" s="16"/>
      <c r="I31" s="17"/>
    </row>
    <row r="32" ht="15.75" thickBot="1"/>
    <row r="33" spans="2:9" ht="15">
      <c r="B33" s="5"/>
      <c r="C33" s="6"/>
      <c r="D33" s="6"/>
      <c r="E33" s="6"/>
      <c r="F33" s="6"/>
      <c r="G33" s="6"/>
      <c r="H33" s="6"/>
      <c r="I33" s="7"/>
    </row>
    <row r="34" spans="2:9" ht="15">
      <c r="B34" s="13"/>
      <c r="C34" s="14"/>
      <c r="D34" s="14"/>
      <c r="E34" s="14"/>
      <c r="F34" s="14"/>
      <c r="G34" s="14"/>
      <c r="H34" s="14"/>
      <c r="I34" s="12"/>
    </row>
    <row r="35" spans="2:9" ht="15">
      <c r="B35" s="13"/>
      <c r="C35" s="9" t="s">
        <v>373</v>
      </c>
      <c r="D35" s="10">
        <f>+D15</f>
        <v>2017</v>
      </c>
      <c r="E35" s="10">
        <f>+E15</f>
        <v>2018</v>
      </c>
      <c r="F35" s="10">
        <f>+F15</f>
        <v>2019</v>
      </c>
      <c r="G35" s="10">
        <f>+G15</f>
        <v>2020</v>
      </c>
      <c r="H35" s="10">
        <f>+H15</f>
        <v>2021</v>
      </c>
      <c r="I35" s="12"/>
    </row>
    <row r="36" spans="2:17" ht="15">
      <c r="B36" s="13"/>
      <c r="C36" s="14"/>
      <c r="D36" s="14"/>
      <c r="E36" s="14"/>
      <c r="F36" s="14"/>
      <c r="G36" s="14"/>
      <c r="H36" s="14"/>
      <c r="I36" s="12"/>
      <c r="L36" s="20"/>
      <c r="M36" s="20"/>
      <c r="N36" s="20"/>
      <c r="O36" s="20"/>
      <c r="P36" s="20"/>
      <c r="Q36" s="20"/>
    </row>
    <row r="37" spans="2:9" ht="15">
      <c r="B37" s="13"/>
      <c r="C37" s="14" t="s">
        <v>376</v>
      </c>
      <c r="D37" s="27">
        <f>+Input!D148</f>
        <v>0</v>
      </c>
      <c r="E37" s="27">
        <v>0</v>
      </c>
      <c r="F37" s="27">
        <v>0</v>
      </c>
      <c r="G37" s="27">
        <v>0</v>
      </c>
      <c r="H37" s="27">
        <v>0</v>
      </c>
      <c r="I37" s="12"/>
    </row>
    <row r="38" spans="2:9" ht="15">
      <c r="B38" s="13"/>
      <c r="C38" s="14" t="str">
        <f>+Input!C149</f>
        <v>Aliquota ammortamento cespiti finanziati</v>
      </c>
      <c r="D38" s="102">
        <f>+Input!D149</f>
        <v>0</v>
      </c>
      <c r="E38" s="102">
        <f>+Input!E149</f>
        <v>0</v>
      </c>
      <c r="F38" s="102">
        <f>+Input!F149</f>
        <v>0</v>
      </c>
      <c r="G38" s="102">
        <f>+Input!G149</f>
        <v>0</v>
      </c>
      <c r="H38" s="102">
        <f>+Input!H149</f>
        <v>0</v>
      </c>
      <c r="I38" s="12"/>
    </row>
    <row r="39" spans="2:9" ht="15">
      <c r="B39" s="13"/>
      <c r="C39" s="14"/>
      <c r="D39" s="102"/>
      <c r="E39" s="102"/>
      <c r="F39" s="102"/>
      <c r="G39" s="102"/>
      <c r="H39" s="102"/>
      <c r="I39" s="12"/>
    </row>
    <row r="40" spans="2:9" ht="15">
      <c r="B40" s="13"/>
      <c r="C40" s="14" t="s">
        <v>375</v>
      </c>
      <c r="D40" s="104"/>
      <c r="E40" s="104"/>
      <c r="F40" s="104"/>
      <c r="G40" s="104"/>
      <c r="H40" s="104"/>
      <c r="I40" s="12"/>
    </row>
    <row r="41" spans="2:9" ht="15">
      <c r="B41" s="13"/>
      <c r="C41" s="14"/>
      <c r="D41" s="14"/>
      <c r="E41" s="14"/>
      <c r="F41" s="14"/>
      <c r="G41" s="14"/>
      <c r="H41" s="14"/>
      <c r="I41" s="12"/>
    </row>
    <row r="42" spans="2:9" ht="15">
      <c r="B42" s="13"/>
      <c r="C42" s="14" t="s">
        <v>363</v>
      </c>
      <c r="D42" s="27">
        <f>+$D$37*$D$38</f>
        <v>0</v>
      </c>
      <c r="E42" s="27">
        <f>+IF(SUM(D42)&gt;=$D$37,0,(+$D$37*$D$38))</f>
        <v>0</v>
      </c>
      <c r="F42" s="27">
        <f>+IF(SUM(D42:E42)&gt;=$D$37,0,(+$D$37*$D$38))</f>
        <v>0</v>
      </c>
      <c r="G42" s="27">
        <f>+IF(SUM(E42:F42)&gt;=$D$37,0,(+$D$37*$D$38))</f>
        <v>0</v>
      </c>
      <c r="H42" s="27">
        <f>+IF(SUM(F42:G42)&gt;=$D$37,0,(+$D$37*$D$38))</f>
        <v>0</v>
      </c>
      <c r="I42" s="12"/>
    </row>
    <row r="43" spans="2:9" ht="15">
      <c r="B43" s="13"/>
      <c r="C43" s="14" t="s">
        <v>364</v>
      </c>
      <c r="D43" s="27"/>
      <c r="E43" s="27">
        <f>+IF(SUM(D43)&gt;=$E$37,0,(+$E$37*$E$38))</f>
        <v>0</v>
      </c>
      <c r="F43" s="27">
        <f>+IF(SUM(D43:E43)&gt;=$E$37,0,(+$E$37*$E$38))</f>
        <v>0</v>
      </c>
      <c r="G43" s="27">
        <f>+IF(SUM(D43:F43)&gt;=$E$37,0,(+$E$37*$E$38))</f>
        <v>0</v>
      </c>
      <c r="H43" s="27">
        <f>+IF(SUM(D43:G43)&gt;=$E$37,0,(+$E$37*$E$38))</f>
        <v>0</v>
      </c>
      <c r="I43" s="12"/>
    </row>
    <row r="44" spans="2:9" ht="15">
      <c r="B44" s="13"/>
      <c r="C44" s="14" t="s">
        <v>365</v>
      </c>
      <c r="D44" s="27"/>
      <c r="E44" s="14"/>
      <c r="F44" s="27">
        <f>+IF(SUM(D44:E44)&gt;=$F$37,0,(+$F$37*$F$38))</f>
        <v>0</v>
      </c>
      <c r="G44" s="27">
        <f>+IF(SUM(E44:F44)&gt;=$F$37,0,(+$F$37*$F$38))</f>
        <v>0</v>
      </c>
      <c r="H44" s="27">
        <f>+IF(SUM(F44:G44)&gt;=$F$37,0,(+$F$37*$F$38))</f>
        <v>0</v>
      </c>
      <c r="I44" s="12"/>
    </row>
    <row r="45" spans="2:9" ht="15">
      <c r="B45" s="13"/>
      <c r="C45" s="14" t="s">
        <v>366</v>
      </c>
      <c r="D45" s="27"/>
      <c r="E45" s="14"/>
      <c r="F45" s="14"/>
      <c r="G45" s="27">
        <f>+IF(SUM(E45:F45)&gt;=$G$37,0,(+$G$37*$G$38))</f>
        <v>0</v>
      </c>
      <c r="H45" s="27">
        <f>+IF(SUM(F45:G45)&gt;=$G$37,0,(+$G$37*$G$38))</f>
        <v>0</v>
      </c>
      <c r="I45" s="12"/>
    </row>
    <row r="46" spans="2:9" ht="15">
      <c r="B46" s="13"/>
      <c r="C46" s="14" t="s">
        <v>367</v>
      </c>
      <c r="D46" s="27"/>
      <c r="E46" s="14"/>
      <c r="F46" s="14"/>
      <c r="G46" s="14"/>
      <c r="H46" s="27">
        <f>+IF(SUM(F46:G46)&gt;=$H$37,0,(+$H$37*$H$38))</f>
        <v>0</v>
      </c>
      <c r="I46" s="12"/>
    </row>
    <row r="47" spans="2:9" ht="15">
      <c r="B47" s="13"/>
      <c r="C47" s="103" t="s">
        <v>16</v>
      </c>
      <c r="D47" s="28">
        <f>SUM(D42:D46)</f>
        <v>0</v>
      </c>
      <c r="E47" s="28">
        <f>SUM(E42:E46)</f>
        <v>0</v>
      </c>
      <c r="F47" s="28">
        <f>SUM(F42:F46)</f>
        <v>0</v>
      </c>
      <c r="G47" s="28">
        <f>SUM(G42:G46)</f>
        <v>0</v>
      </c>
      <c r="H47" s="28">
        <f>SUM(H42:H46)</f>
        <v>0</v>
      </c>
      <c r="I47" s="12"/>
    </row>
    <row r="48" spans="2:9" ht="15">
      <c r="B48" s="13"/>
      <c r="C48" s="14"/>
      <c r="D48" s="27"/>
      <c r="E48" s="14"/>
      <c r="F48" s="14"/>
      <c r="G48" s="14"/>
      <c r="H48" s="14"/>
      <c r="I48" s="12"/>
    </row>
    <row r="49" spans="2:9" ht="15">
      <c r="B49" s="13"/>
      <c r="C49" s="14" t="s">
        <v>362</v>
      </c>
      <c r="D49" s="27">
        <f>+D37-D47</f>
        <v>0</v>
      </c>
      <c r="E49" s="27">
        <f>+SUM(D37:E37)-SUM(D47:E47)</f>
        <v>0</v>
      </c>
      <c r="F49" s="27">
        <f>+SUM(D37:F37)-SUM(D47:F47)</f>
        <v>0</v>
      </c>
      <c r="G49" s="27">
        <f>+SUM(D37:G37)-SUM(D47:G47)</f>
        <v>0</v>
      </c>
      <c r="H49" s="27">
        <f>+SUM(D37:H37)-SUM(D47:H47)</f>
        <v>0</v>
      </c>
      <c r="I49" s="12"/>
    </row>
    <row r="50" spans="2:9" ht="15">
      <c r="B50" s="13"/>
      <c r="C50" s="14"/>
      <c r="D50" s="27"/>
      <c r="E50" s="27"/>
      <c r="F50" s="27"/>
      <c r="G50" s="27"/>
      <c r="H50" s="27"/>
      <c r="I50" s="12"/>
    </row>
    <row r="51" spans="2:9" ht="15">
      <c r="B51" s="13"/>
      <c r="C51" s="14"/>
      <c r="D51" s="27"/>
      <c r="E51" s="27"/>
      <c r="F51" s="27"/>
      <c r="G51" s="27"/>
      <c r="H51" s="27"/>
      <c r="I51" s="12"/>
    </row>
    <row r="52" spans="2:9" ht="15.75" thickBot="1">
      <c r="B52" s="15"/>
      <c r="C52" s="16"/>
      <c r="D52" s="16"/>
      <c r="E52" s="16"/>
      <c r="F52" s="16"/>
      <c r="G52" s="16"/>
      <c r="H52" s="16"/>
      <c r="I5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showGridLines="0" zoomScalePageLayoutView="0" workbookViewId="0" topLeftCell="A1">
      <selection activeCell="C4" sqref="C4:G4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267</v>
      </c>
      <c r="C2" t="str">
        <f>+Input!D27</f>
        <v>mensile</v>
      </c>
    </row>
    <row r="4" spans="2:7" ht="15">
      <c r="B4" s="77" t="s">
        <v>255</v>
      </c>
      <c r="C4" s="4">
        <f>+'CE'!D2</f>
        <v>2017</v>
      </c>
      <c r="D4" s="4">
        <f>+'CE'!E2</f>
        <v>2018</v>
      </c>
      <c r="E4" s="4">
        <f>+'CE'!F2</f>
        <v>2019</v>
      </c>
      <c r="F4" s="4">
        <f>+'CE'!G2</f>
        <v>2020</v>
      </c>
      <c r="G4" s="4">
        <f>+'CE'!H2</f>
        <v>2021</v>
      </c>
    </row>
    <row r="5" spans="2:8" ht="15">
      <c r="B5" s="14" t="s">
        <v>20</v>
      </c>
      <c r="C5" s="21">
        <f>+MCL!M17</f>
        <v>99000</v>
      </c>
      <c r="D5" s="21">
        <f>+MCL!N17</f>
        <v>101200</v>
      </c>
      <c r="E5" s="21">
        <f>+MCL!O17</f>
        <v>105600</v>
      </c>
      <c r="F5" s="21">
        <f>+MCL!P17</f>
        <v>105600</v>
      </c>
      <c r="G5" s="21">
        <f>+MCL!Q17</f>
        <v>105600</v>
      </c>
      <c r="H5" s="76"/>
    </row>
    <row r="6" spans="2:8" ht="15">
      <c r="B6" s="14" t="s">
        <v>25</v>
      </c>
      <c r="C6" s="21">
        <f>+MCL!M23+Inve!M6+'Altri costi'!D25</f>
        <v>106863.42857142858</v>
      </c>
      <c r="D6" s="21">
        <f>+MCL!N23+Inve!N6+'Altri costi'!E25</f>
        <v>17700.571428571428</v>
      </c>
      <c r="E6" s="21">
        <f>+MCL!O23+Inve!O6+'Altri costi'!F25</f>
        <v>64214.85714285714</v>
      </c>
      <c r="F6" s="21">
        <f>+MCL!P23+Inve!P6+'Altri costi'!G25</f>
        <v>53214.85714285714</v>
      </c>
      <c r="G6" s="21">
        <f>+MCL!Q23+Inve!Q6+'Altri costi'!H25</f>
        <v>64214.85714285714</v>
      </c>
      <c r="H6" s="76"/>
    </row>
    <row r="7" spans="2:8" ht="15">
      <c r="B7" s="78"/>
      <c r="C7" s="29">
        <f>+C6-C5</f>
        <v>7863.42857142858</v>
      </c>
      <c r="D7" s="29">
        <f>+D6-D5</f>
        <v>-83499.42857142858</v>
      </c>
      <c r="E7" s="29">
        <f>+E6-E5</f>
        <v>-41385.14285714286</v>
      </c>
      <c r="F7" s="29">
        <f>+F6-F5</f>
        <v>-52385.14285714286</v>
      </c>
      <c r="G7" s="29">
        <f>+G6-G5</f>
        <v>-41385.14285714286</v>
      </c>
      <c r="H7" s="78"/>
    </row>
    <row r="8" spans="2:8" ht="15">
      <c r="B8" s="78"/>
      <c r="C8" s="78"/>
      <c r="D8" s="78"/>
      <c r="E8" s="78"/>
      <c r="F8" s="78"/>
      <c r="G8" s="78"/>
      <c r="H8" s="78"/>
    </row>
    <row r="9" spans="2:8" ht="15">
      <c r="B9" s="77" t="s">
        <v>256</v>
      </c>
      <c r="C9" s="78"/>
      <c r="D9" s="78"/>
      <c r="E9" s="78"/>
      <c r="F9" s="78"/>
      <c r="G9" s="78"/>
      <c r="H9" s="78"/>
    </row>
    <row r="10" spans="2:8" ht="15">
      <c r="B10" s="77" t="s">
        <v>257</v>
      </c>
      <c r="C10" s="21">
        <f>+C7</f>
        <v>7863.42857142858</v>
      </c>
      <c r="D10" s="21">
        <f>+D7</f>
        <v>-83499.42857142858</v>
      </c>
      <c r="E10" s="21">
        <f>+E7</f>
        <v>-41385.14285714286</v>
      </c>
      <c r="F10" s="21">
        <f>+F7</f>
        <v>-52385.14285714286</v>
      </c>
      <c r="G10" s="21">
        <f>+G7</f>
        <v>-41385.14285714286</v>
      </c>
      <c r="H10" s="78"/>
    </row>
    <row r="11" spans="2:8" ht="15">
      <c r="B11" s="77" t="s">
        <v>258</v>
      </c>
      <c r="C11" s="21">
        <v>0</v>
      </c>
      <c r="D11" s="21">
        <f>+IF(D10&gt;0,0,IF(C13&gt;-D10,-D10,C13))</f>
        <v>7863.42857142858</v>
      </c>
      <c r="E11" s="21">
        <f>+IF(E10&gt;0,0,IF(D13&gt;-E10,-E10,D13))</f>
        <v>0</v>
      </c>
      <c r="F11" s="21">
        <f>+IF(F10&gt;0,0,IF(E13&gt;-F10,-F10,E13))</f>
        <v>0</v>
      </c>
      <c r="G11" s="21">
        <f>+IF(G10&gt;0,0,IF(F13&gt;-G10,-G10,F13))</f>
        <v>0</v>
      </c>
      <c r="H11" s="78"/>
    </row>
    <row r="12" spans="2:8" ht="15">
      <c r="B12" s="77" t="s">
        <v>259</v>
      </c>
      <c r="C12" s="21">
        <f>+IF((C10+C11)&gt;0,0,(C10+C11))</f>
        <v>0</v>
      </c>
      <c r="D12" s="21">
        <f>+IF((D10+D11)&gt;0,0,(D10+D11))</f>
        <v>-75636</v>
      </c>
      <c r="E12" s="21">
        <f>+IF((E10+E11)&gt;0,0,(E10+E11))</f>
        <v>-41385.14285714286</v>
      </c>
      <c r="F12" s="21">
        <f>+IF((F10+F11)&gt;0,0,(F10+F11))</f>
        <v>-52385.14285714286</v>
      </c>
      <c r="G12" s="21">
        <f>+IF((G10+G11)&gt;0,0,(G10+G11))</f>
        <v>-41385.14285714286</v>
      </c>
      <c r="H12" s="78"/>
    </row>
    <row r="13" spans="2:8" ht="15">
      <c r="B13" s="77" t="s">
        <v>260</v>
      </c>
      <c r="C13" s="21">
        <f>+IF(C6&gt;C5,C6-C5,0)</f>
        <v>7863.42857142858</v>
      </c>
      <c r="D13" s="21">
        <f>+IF(D10&gt;0,C13+D10,C13-D11)</f>
        <v>0</v>
      </c>
      <c r="E13" s="21">
        <f>+IF(E10&gt;0,D13+E10,D13-E11)</f>
        <v>0</v>
      </c>
      <c r="F13" s="21">
        <f>+IF(F10&gt;0,E13+F10,E13-F11)</f>
        <v>0</v>
      </c>
      <c r="G13" s="21">
        <f>+IF(G10&gt;0,F13+G10,F13-G11)</f>
        <v>0</v>
      </c>
      <c r="H13" s="78"/>
    </row>
    <row r="14" spans="2:8" ht="15">
      <c r="B14" s="77" t="s">
        <v>261</v>
      </c>
      <c r="C14" s="21">
        <f>+C12*(11/12)</f>
        <v>0</v>
      </c>
      <c r="D14" s="21">
        <f>+(D12*(11/12))+(C12-C14)</f>
        <v>-69333</v>
      </c>
      <c r="E14" s="21">
        <f>+(E12*(11/12))+(D12-D14)+(C12-C14)</f>
        <v>-44239.380952380954</v>
      </c>
      <c r="F14" s="21">
        <f>+(F12*(11/12))+(E12-E14)+(D12-D14)+(C12-C14)</f>
        <v>-51468.4761904762</v>
      </c>
      <c r="G14" s="21">
        <f>+(G12*(11/12))+(F12-F14)+(E12-E14)+(D12-D14)+(C12-C14)</f>
        <v>-42301.80952380953</v>
      </c>
      <c r="H14" s="78"/>
    </row>
    <row r="15" spans="2:8" ht="15">
      <c r="B15" s="78"/>
      <c r="C15" s="79">
        <f>+C12-C14</f>
        <v>0</v>
      </c>
      <c r="D15" s="79">
        <f>+D12-D14</f>
        <v>-6303</v>
      </c>
      <c r="E15" s="79">
        <f>+E12-E14</f>
        <v>2854.238095238092</v>
      </c>
      <c r="F15" s="79">
        <f>+F12-F14</f>
        <v>-916.6666666666642</v>
      </c>
      <c r="G15" s="79">
        <f>+G12-G14</f>
        <v>916.6666666666642</v>
      </c>
      <c r="H15" s="78"/>
    </row>
    <row r="16" spans="2:8" ht="15">
      <c r="B16" s="78"/>
      <c r="C16" s="78"/>
      <c r="D16" s="78"/>
      <c r="E16" s="78"/>
      <c r="F16" s="78"/>
      <c r="G16" s="78"/>
      <c r="H16" s="78"/>
    </row>
    <row r="17" spans="2:8" ht="15">
      <c r="B17" s="77" t="s">
        <v>262</v>
      </c>
      <c r="C17" s="78"/>
      <c r="D17" s="78"/>
      <c r="E17" s="78"/>
      <c r="F17" s="78"/>
      <c r="G17" s="78"/>
      <c r="H17" s="78"/>
    </row>
    <row r="18" spans="2:8" ht="15">
      <c r="B18" s="77" t="s">
        <v>263</v>
      </c>
      <c r="C18" s="21">
        <f>+C7</f>
        <v>7863.42857142858</v>
      </c>
      <c r="D18" s="21">
        <f>+D7</f>
        <v>-83499.42857142858</v>
      </c>
      <c r="E18" s="21">
        <f>+E7</f>
        <v>-41385.14285714286</v>
      </c>
      <c r="F18" s="21">
        <f>+F7</f>
        <v>-52385.14285714286</v>
      </c>
      <c r="G18" s="21">
        <f>+G7</f>
        <v>-41385.14285714286</v>
      </c>
      <c r="H18" s="78"/>
    </row>
    <row r="19" spans="2:8" ht="15">
      <c r="B19" s="77" t="s">
        <v>258</v>
      </c>
      <c r="C19" s="21">
        <v>0</v>
      </c>
      <c r="D19" s="21">
        <f>+IF(D18&gt;0,0,IF(C21&gt;-D18,-D18,C21))</f>
        <v>7863.42857142858</v>
      </c>
      <c r="E19" s="21">
        <f>+IF(E18&gt;0,0,IF(D21&gt;-E18,-E18,D21))</f>
        <v>0</v>
      </c>
      <c r="F19" s="21">
        <f>+IF(F18&gt;0,0,IF(E21&gt;-F18,-F18,E21))</f>
        <v>0</v>
      </c>
      <c r="G19" s="21">
        <f>+IF(G18&gt;0,0,IF(F21&gt;-G18,-G18,F21))</f>
        <v>0</v>
      </c>
      <c r="H19" s="78"/>
    </row>
    <row r="20" spans="2:8" ht="15">
      <c r="B20" s="77" t="s">
        <v>259</v>
      </c>
      <c r="C20" s="21">
        <f>+IF((C18+C19)&gt;0,0,(C18+C19))</f>
        <v>0</v>
      </c>
      <c r="D20" s="21">
        <f>+IF((D18+D19)&gt;0,0,(D18+D19))</f>
        <v>-75636</v>
      </c>
      <c r="E20" s="21">
        <f>+IF((E18+E19)&gt;0,0,(E18+E19))</f>
        <v>-41385.14285714286</v>
      </c>
      <c r="F20" s="21">
        <f>+IF((F18+F19)&gt;0,0,(F18+F19))</f>
        <v>-52385.14285714286</v>
      </c>
      <c r="G20" s="21">
        <f>+IF((G18+G19)&gt;0,0,(G18+G19))</f>
        <v>-41385.14285714286</v>
      </c>
      <c r="H20" s="78"/>
    </row>
    <row r="21" spans="2:8" ht="15">
      <c r="B21" s="77" t="s">
        <v>260</v>
      </c>
      <c r="C21" s="21">
        <f>+IF(C6&gt;C5,C6-C5,0)</f>
        <v>7863.42857142858</v>
      </c>
      <c r="D21" s="21">
        <f>+IF(D18&gt;0,C21+D18,C21-D19)</f>
        <v>0</v>
      </c>
      <c r="E21" s="21">
        <f>+IF(E18&gt;0,D21+E18,D21-E19)</f>
        <v>0</v>
      </c>
      <c r="F21" s="21">
        <f>+IF(F18&gt;0,E21+F18,E21-F19)</f>
        <v>0</v>
      </c>
      <c r="G21" s="21">
        <f>+IF(G18&gt;0,F21+G18,F21-G19)</f>
        <v>0</v>
      </c>
      <c r="H21" s="78"/>
    </row>
    <row r="22" spans="2:8" ht="15">
      <c r="B22" s="77" t="s">
        <v>261</v>
      </c>
      <c r="C22" s="21">
        <f>+C20*(9/12)</f>
        <v>0</v>
      </c>
      <c r="D22" s="21">
        <f>+(D20*(9/12))+(C20-C22)</f>
        <v>-56727</v>
      </c>
      <c r="E22" s="21">
        <f>+(E20*(9/12)*(9/12))+(D20-D22)+(C20-C22)</f>
        <v>-42188.142857142855</v>
      </c>
      <c r="F22" s="21">
        <f>+(F20*(9/12))+(E20-E22)+(D20-D22)+(C20-C22)</f>
        <v>-57394.85714285715</v>
      </c>
      <c r="G22" s="21">
        <f>+(G20*(9/12))+(F20-F22)+(E20-E22)+(D20-D22)+(C20-C22)</f>
        <v>-44135.14285714286</v>
      </c>
      <c r="H22" s="78"/>
    </row>
    <row r="23" spans="2:8" ht="15">
      <c r="B23" s="77"/>
      <c r="C23" s="21"/>
      <c r="D23" s="21"/>
      <c r="E23" s="21"/>
      <c r="F23" s="21"/>
      <c r="G23" s="21"/>
      <c r="H23" s="78"/>
    </row>
    <row r="24" spans="2:8" ht="15">
      <c r="B24" s="77"/>
      <c r="C24" s="21"/>
      <c r="D24" s="21"/>
      <c r="E24" s="21"/>
      <c r="F24" s="21"/>
      <c r="G24" s="21"/>
      <c r="H24" s="78"/>
    </row>
    <row r="25" spans="2:8" ht="15">
      <c r="B25" s="77" t="s">
        <v>25</v>
      </c>
      <c r="C25" s="21">
        <f>+IF($C$2="mensile",C13,C21)</f>
        <v>7863.42857142858</v>
      </c>
      <c r="D25" s="21">
        <f>+IF($C$2="mensile",D13,D21)</f>
        <v>0</v>
      </c>
      <c r="E25" s="21">
        <f>+IF($C$2="mensile",E13,E21)</f>
        <v>0</v>
      </c>
      <c r="F25" s="21">
        <f>+IF($C$2="mensile",F13,F21)</f>
        <v>0</v>
      </c>
      <c r="G25" s="21">
        <f>+IF($C$2="mensile",G13,G21)</f>
        <v>0</v>
      </c>
      <c r="H25" s="78"/>
    </row>
    <row r="26" spans="2:8" ht="15">
      <c r="B26" s="77" t="s">
        <v>20</v>
      </c>
      <c r="C26" s="21">
        <f>+IF($C$2="mensile",-(C12-C14),-(C20-C22))</f>
        <v>0</v>
      </c>
      <c r="D26" s="21">
        <f>+IF($C$2="mensile",-(D12-D14),-(D20-D22))+C26</f>
        <v>6303</v>
      </c>
      <c r="E26" s="21">
        <f>+IF($C$2="mensile",-(E12-E14),-(E20-E22))+D26</f>
        <v>3448.761904761908</v>
      </c>
      <c r="F26" s="21">
        <f>+IF($C$2="mensile",-(F12-F14),-(F20-F22))+E26</f>
        <v>4365.4285714285725</v>
      </c>
      <c r="G26" s="21">
        <f>+IF($C$2="mensile",-(G12-G14),-(G20-G22))+F26</f>
        <v>3448.761904761908</v>
      </c>
      <c r="H26" s="78"/>
    </row>
    <row r="27" spans="2:8" ht="15">
      <c r="B27" s="77" t="s">
        <v>261</v>
      </c>
      <c r="C27" s="21">
        <f>IF($C$2="mensile",-C14,-C22)</f>
        <v>0</v>
      </c>
      <c r="D27" s="21">
        <f>IF($C$2="mensile",-D14,-D22)</f>
        <v>69333</v>
      </c>
      <c r="E27" s="21">
        <f>IF($C$2="mensile",-E14,-E22)</f>
        <v>44239.380952380954</v>
      </c>
      <c r="F27" s="21">
        <f>IF($C$2="mensile",-F14,-F22)</f>
        <v>51468.4761904762</v>
      </c>
      <c r="G27" s="21">
        <f>IF($C$2="mensile",-G14,-G22)</f>
        <v>42301.80952380953</v>
      </c>
      <c r="H27" s="78"/>
    </row>
    <row r="28" spans="3:7" ht="15">
      <c r="C28" s="20"/>
      <c r="D28" s="20"/>
      <c r="E28" s="20"/>
      <c r="F28" s="20"/>
      <c r="G28" s="20"/>
    </row>
    <row r="31" ht="15">
      <c r="B31" t="s">
        <v>268</v>
      </c>
    </row>
    <row r="32" ht="15">
      <c r="B32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showGridLines="0" zoomScalePageLayoutView="0" workbookViewId="0" topLeftCell="A1">
      <pane xSplit="3" ySplit="2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85" t="s">
        <v>327</v>
      </c>
    </row>
    <row r="2" spans="4:8" ht="15">
      <c r="D2" s="4">
        <f>+Input!D53</f>
        <v>2017</v>
      </c>
      <c r="E2" s="4">
        <f>+Input!E53</f>
        <v>2018</v>
      </c>
      <c r="F2" s="4">
        <f>+Input!F53</f>
        <v>2019</v>
      </c>
      <c r="G2" s="4">
        <f>+Input!G53</f>
        <v>2020</v>
      </c>
      <c r="H2" s="4">
        <f>+Input!H53</f>
        <v>2021</v>
      </c>
    </row>
    <row r="3" spans="2:8" ht="15">
      <c r="B3" s="3" t="s">
        <v>0</v>
      </c>
      <c r="C3" s="3"/>
      <c r="D3" s="29">
        <f>+MCL!D5</f>
        <v>450000</v>
      </c>
      <c r="E3" s="29">
        <f>+MCL!E5</f>
        <v>460000</v>
      </c>
      <c r="F3" s="29">
        <f>+MCL!F5</f>
        <v>480000</v>
      </c>
      <c r="G3" s="29">
        <f>+MCL!G5</f>
        <v>480000</v>
      </c>
      <c r="H3" s="29">
        <f>+MCL!H5</f>
        <v>480000</v>
      </c>
    </row>
    <row r="5" spans="2:8" ht="15">
      <c r="B5" s="3" t="s">
        <v>17</v>
      </c>
      <c r="C5" s="3"/>
      <c r="D5" s="29">
        <f>+D7-D8+D6</f>
        <v>257142.85714285716</v>
      </c>
      <c r="E5" s="29">
        <f>+E7-E8+E6</f>
        <v>262857.14285714284</v>
      </c>
      <c r="F5" s="29">
        <f>+F7-F8+F6</f>
        <v>274285.71428571426</v>
      </c>
      <c r="G5" s="29">
        <f>+G7-G8+G6</f>
        <v>274285.71428571426</v>
      </c>
      <c r="H5" s="29">
        <f>+H7-H8+H6</f>
        <v>274285.71428571426</v>
      </c>
    </row>
    <row r="6" spans="2:8" ht="15">
      <c r="B6" t="s">
        <v>14</v>
      </c>
      <c r="D6" s="21">
        <f>+Input!D37</f>
        <v>250000</v>
      </c>
      <c r="E6" s="21">
        <f>+D8</f>
        <v>250000</v>
      </c>
      <c r="F6" s="21">
        <f>+E8</f>
        <v>50000</v>
      </c>
      <c r="G6" s="21">
        <f>+F8</f>
        <v>50000</v>
      </c>
      <c r="H6" s="21">
        <f>+G8</f>
        <v>0</v>
      </c>
    </row>
    <row r="7" spans="2:8" ht="15">
      <c r="B7" t="s">
        <v>13</v>
      </c>
      <c r="D7" s="21">
        <f>+MCL!V11</f>
        <v>257142.85714285716</v>
      </c>
      <c r="E7" s="21">
        <f>+MCL!W11</f>
        <v>62857.14285714284</v>
      </c>
      <c r="F7" s="21">
        <f>+MCL!X11</f>
        <v>274285.71428571426</v>
      </c>
      <c r="G7" s="21">
        <f>+MCL!Y11</f>
        <v>224285.71428571426</v>
      </c>
      <c r="H7" s="21">
        <f>+MCL!Z11</f>
        <v>274285.71428571426</v>
      </c>
    </row>
    <row r="8" spans="2:8" ht="15">
      <c r="B8" t="s">
        <v>15</v>
      </c>
      <c r="D8" s="21">
        <f>+MCL!M11</f>
        <v>250000</v>
      </c>
      <c r="E8" s="21">
        <f>+MCL!N11</f>
        <v>50000</v>
      </c>
      <c r="F8" s="21">
        <f>+MCL!O11</f>
        <v>50000</v>
      </c>
      <c r="G8" s="21">
        <f>+MCL!P11</f>
        <v>0</v>
      </c>
      <c r="H8" s="21">
        <f>+MCL!Q11</f>
        <v>0</v>
      </c>
    </row>
    <row r="9" spans="4:8" ht="15">
      <c r="D9" s="21"/>
      <c r="E9" s="21"/>
      <c r="F9" s="21"/>
      <c r="G9" s="21"/>
      <c r="H9" s="21"/>
    </row>
    <row r="10" spans="2:8" ht="15">
      <c r="B10" s="3" t="s">
        <v>308</v>
      </c>
      <c r="C10" s="3"/>
      <c r="D10" s="29">
        <f>+D3-D5</f>
        <v>192857.14285714284</v>
      </c>
      <c r="E10" s="29">
        <f>+E3-E5</f>
        <v>197142.85714285716</v>
      </c>
      <c r="F10" s="29">
        <f>+F3-F5</f>
        <v>205714.28571428574</v>
      </c>
      <c r="G10" s="29">
        <f>+G3-G5</f>
        <v>205714.28571428574</v>
      </c>
      <c r="H10" s="29">
        <f>+H3-H5</f>
        <v>205714.28571428574</v>
      </c>
    </row>
    <row r="12" spans="2:8" ht="15">
      <c r="B12" s="3" t="s">
        <v>227</v>
      </c>
      <c r="C12" s="3"/>
      <c r="D12" s="29">
        <f>SUM(D13:D33)</f>
        <v>54600</v>
      </c>
      <c r="E12" s="29">
        <f>SUM(E13:E33)</f>
        <v>43600</v>
      </c>
      <c r="F12" s="29">
        <f>SUM(F13:F33)</f>
        <v>43600</v>
      </c>
      <c r="G12" s="29">
        <f>SUM(G13:G33)</f>
        <v>43600</v>
      </c>
      <c r="H12" s="29">
        <f>SUM(H13:H33)</f>
        <v>43600</v>
      </c>
    </row>
    <row r="13" spans="2:8" ht="15">
      <c r="B13" t="str">
        <f>+Input!C107</f>
        <v>spese utenze</v>
      </c>
      <c r="D13" s="21">
        <f>+Input!F107</f>
        <v>12000</v>
      </c>
      <c r="E13" s="21">
        <f>+Input!G107</f>
        <v>12000</v>
      </c>
      <c r="F13" s="21">
        <f>+Input!H107</f>
        <v>12000</v>
      </c>
      <c r="G13" s="21">
        <f>+Input!I107</f>
        <v>12000</v>
      </c>
      <c r="H13" s="21">
        <f>+Input!J107</f>
        <v>12000</v>
      </c>
    </row>
    <row r="14" spans="2:8" ht="15">
      <c r="B14" t="str">
        <f>+Input!C108</f>
        <v>spese di rappresentanza</v>
      </c>
      <c r="D14" s="21">
        <f>+Input!F108</f>
        <v>0</v>
      </c>
      <c r="E14" s="21">
        <f>+Input!G108</f>
        <v>0</v>
      </c>
      <c r="F14" s="21">
        <f>+Input!H108</f>
        <v>0</v>
      </c>
      <c r="G14" s="21">
        <f>+Input!I108</f>
        <v>0</v>
      </c>
      <c r="H14" s="21">
        <f>+Input!J108</f>
        <v>0</v>
      </c>
    </row>
    <row r="15" spans="2:8" ht="15">
      <c r="B15" t="str">
        <f>+Input!C109</f>
        <v>spese di pubblicità e promozioni</v>
      </c>
      <c r="D15" s="21">
        <f>+Input!F109</f>
        <v>15000</v>
      </c>
      <c r="E15" s="21">
        <f>+Input!G109</f>
        <v>2000</v>
      </c>
      <c r="F15" s="21">
        <f>+Input!H109</f>
        <v>2000</v>
      </c>
      <c r="G15" s="21">
        <f>+Input!I109</f>
        <v>2000</v>
      </c>
      <c r="H15" s="21">
        <f>+Input!J109</f>
        <v>2000</v>
      </c>
    </row>
    <row r="16" spans="2:8" ht="15">
      <c r="B16" t="str">
        <f>+Input!C110</f>
        <v>beni strumentali inf. al milione</v>
      </c>
      <c r="D16" s="21">
        <f>+Input!F110</f>
        <v>0</v>
      </c>
      <c r="E16" s="21">
        <f>+Input!G110</f>
        <v>0</v>
      </c>
      <c r="F16" s="21">
        <f>+Input!H110</f>
        <v>0</v>
      </c>
      <c r="G16" s="21">
        <f>+Input!I110</f>
        <v>0</v>
      </c>
      <c r="H16" s="21">
        <f>+Input!J110</f>
        <v>0</v>
      </c>
    </row>
    <row r="17" spans="2:8" ht="15">
      <c r="B17" t="str">
        <f>+Input!C111</f>
        <v>spese di trasporto</v>
      </c>
      <c r="D17" s="21">
        <f>+Input!F111</f>
        <v>0</v>
      </c>
      <c r="E17" s="21">
        <f>+Input!G111</f>
        <v>0</v>
      </c>
      <c r="F17" s="21">
        <f>+Input!H111</f>
        <v>0</v>
      </c>
      <c r="G17" s="21">
        <f>+Input!I111</f>
        <v>0</v>
      </c>
      <c r="H17" s="21">
        <f>+Input!J111</f>
        <v>0</v>
      </c>
    </row>
    <row r="18" spans="2:8" ht="15">
      <c r="B18" t="str">
        <f>+Input!C112</f>
        <v>lavorazioni presso terzi</v>
      </c>
      <c r="D18" s="21">
        <f>+Input!F112</f>
        <v>0</v>
      </c>
      <c r="E18" s="21">
        <f>+Input!G112</f>
        <v>0</v>
      </c>
      <c r="F18" s="21">
        <f>+Input!H112</f>
        <v>0</v>
      </c>
      <c r="G18" s="21">
        <f>+Input!I112</f>
        <v>0</v>
      </c>
      <c r="H18" s="21">
        <f>+Input!J112</f>
        <v>0</v>
      </c>
    </row>
    <row r="19" spans="2:8" ht="15">
      <c r="B19" t="str">
        <f>+Input!C113</f>
        <v>consulenze legali, fiscali, notarili, ecc…</v>
      </c>
      <c r="D19" s="21">
        <f>+Input!F113</f>
        <v>600</v>
      </c>
      <c r="E19" s="21">
        <f>+Input!G113</f>
        <v>600</v>
      </c>
      <c r="F19" s="21">
        <f>+Input!H113</f>
        <v>600</v>
      </c>
      <c r="G19" s="21">
        <f>+Input!I113</f>
        <v>600</v>
      </c>
      <c r="H19" s="21">
        <f>+Input!J113</f>
        <v>600</v>
      </c>
    </row>
    <row r="20" spans="2:8" ht="15">
      <c r="B20" t="str">
        <f>+Input!C114</f>
        <v>compensi amministratori</v>
      </c>
      <c r="D20" s="21">
        <f>+Input!F114</f>
        <v>0</v>
      </c>
      <c r="E20" s="21">
        <f>+Input!G114</f>
        <v>0</v>
      </c>
      <c r="F20" s="21">
        <f>+Input!H114</f>
        <v>0</v>
      </c>
      <c r="G20" s="21">
        <f>+Input!I114</f>
        <v>0</v>
      </c>
      <c r="H20" s="21">
        <f>+Input!J114</f>
        <v>0</v>
      </c>
    </row>
    <row r="21" spans="2:8" ht="15">
      <c r="B21" t="str">
        <f>+Input!C115</f>
        <v>affitti </v>
      </c>
      <c r="D21" s="21">
        <f>+Input!F115</f>
        <v>24000</v>
      </c>
      <c r="E21" s="21">
        <f>+Input!G115</f>
        <v>24000</v>
      </c>
      <c r="F21" s="21">
        <f>+Input!H115</f>
        <v>24000</v>
      </c>
      <c r="G21" s="21">
        <f>+Input!I115</f>
        <v>24000</v>
      </c>
      <c r="H21" s="21">
        <f>+Input!J115</f>
        <v>24000</v>
      </c>
    </row>
    <row r="22" spans="2:8" ht="15">
      <c r="B22" t="str">
        <f>+Input!C116</f>
        <v>altri costi amministrativi</v>
      </c>
      <c r="D22" s="21">
        <f>+Input!F116</f>
        <v>0</v>
      </c>
      <c r="E22" s="21">
        <f>+Input!G116</f>
        <v>0</v>
      </c>
      <c r="F22" s="21">
        <f>+Input!H116</f>
        <v>0</v>
      </c>
      <c r="G22" s="21">
        <f>+Input!I116</f>
        <v>0</v>
      </c>
      <c r="H22" s="21">
        <f>+Input!J116</f>
        <v>0</v>
      </c>
    </row>
    <row r="23" spans="2:8" ht="15">
      <c r="B23" t="str">
        <f>+Input!C117</f>
        <v>Costi diversi</v>
      </c>
      <c r="D23" s="21">
        <f>+Input!F117</f>
        <v>1000</v>
      </c>
      <c r="E23" s="21">
        <f>+Input!G117</f>
        <v>3000</v>
      </c>
      <c r="F23" s="21">
        <f>+Input!H117</f>
        <v>3000</v>
      </c>
      <c r="G23" s="21">
        <f>+Input!I117</f>
        <v>3000</v>
      </c>
      <c r="H23" s="21">
        <f>+Input!J117</f>
        <v>3000</v>
      </c>
    </row>
    <row r="24" spans="2:8" ht="15">
      <c r="B24" t="str">
        <f>+Input!C118</f>
        <v>Premi assicurativi</v>
      </c>
      <c r="D24" s="21">
        <f>+Input!F118</f>
        <v>2000</v>
      </c>
      <c r="E24" s="21">
        <f>+Input!G118</f>
        <v>2000</v>
      </c>
      <c r="F24" s="21">
        <f>+Input!H118</f>
        <v>2000</v>
      </c>
      <c r="G24" s="21">
        <f>+Input!I118</f>
        <v>2000</v>
      </c>
      <c r="H24" s="21">
        <f>+Input!J118</f>
        <v>2000</v>
      </c>
    </row>
    <row r="25" spans="2:8" ht="15">
      <c r="B25" t="str">
        <f>+Input!C119</f>
        <v>Altri costi 1</v>
      </c>
      <c r="D25" s="21">
        <f>+Input!F119</f>
        <v>0</v>
      </c>
      <c r="E25" s="21">
        <f>+Input!G119</f>
        <v>0</v>
      </c>
      <c r="F25" s="21">
        <f>+Input!H119</f>
        <v>0</v>
      </c>
      <c r="G25" s="21">
        <f>+Input!I119</f>
        <v>0</v>
      </c>
      <c r="H25" s="21">
        <f>+Input!J119</f>
        <v>0</v>
      </c>
    </row>
    <row r="26" spans="2:8" ht="15">
      <c r="B26" t="str">
        <f>+Input!C120</f>
        <v>Altri costi 2</v>
      </c>
      <c r="D26" s="21">
        <f>+Input!F120</f>
        <v>0</v>
      </c>
      <c r="E26" s="21">
        <f>+Input!G120</f>
        <v>0</v>
      </c>
      <c r="F26" s="21">
        <f>+Input!H120</f>
        <v>0</v>
      </c>
      <c r="G26" s="21">
        <f>+Input!I120</f>
        <v>0</v>
      </c>
      <c r="H26" s="21">
        <f>+Input!J120</f>
        <v>0</v>
      </c>
    </row>
    <row r="27" spans="2:8" ht="15">
      <c r="B27" t="str">
        <f>+Input!C121</f>
        <v>Altri costi 3</v>
      </c>
      <c r="D27" s="21">
        <f>+Input!F121</f>
        <v>0</v>
      </c>
      <c r="E27" s="21">
        <f>+Input!G121</f>
        <v>0</v>
      </c>
      <c r="F27" s="21">
        <f>+Input!H121</f>
        <v>0</v>
      </c>
      <c r="G27" s="21">
        <f>+Input!I121</f>
        <v>0</v>
      </c>
      <c r="H27" s="21">
        <f>+Input!J121</f>
        <v>0</v>
      </c>
    </row>
    <row r="28" spans="2:8" ht="15">
      <c r="B28" t="str">
        <f>+Input!C122</f>
        <v>Altri costi 4</v>
      </c>
      <c r="D28" s="21">
        <f>+Input!F122</f>
        <v>0</v>
      </c>
      <c r="E28" s="21">
        <f>+Input!G122</f>
        <v>0</v>
      </c>
      <c r="F28" s="21">
        <f>+Input!H122</f>
        <v>0</v>
      </c>
      <c r="G28" s="21">
        <f>+Input!I122</f>
        <v>0</v>
      </c>
      <c r="H28" s="21">
        <f>+Input!J122</f>
        <v>0</v>
      </c>
    </row>
    <row r="29" spans="2:8" ht="15">
      <c r="B29" t="str">
        <f>+Input!C123</f>
        <v>Altri costi 5</v>
      </c>
      <c r="D29" s="21">
        <f>+Input!F123</f>
        <v>0</v>
      </c>
      <c r="E29" s="21">
        <f>+Input!G123</f>
        <v>0</v>
      </c>
      <c r="F29" s="21">
        <f>+Input!H123</f>
        <v>0</v>
      </c>
      <c r="G29" s="21">
        <f>+Input!I123</f>
        <v>0</v>
      </c>
      <c r="H29" s="21">
        <f>+Input!J123</f>
        <v>0</v>
      </c>
    </row>
    <row r="30" spans="2:8" ht="15">
      <c r="B30" t="str">
        <f>+Input!C124</f>
        <v>Altri costi 6</v>
      </c>
      <c r="D30" s="21">
        <f>+Input!F124</f>
        <v>0</v>
      </c>
      <c r="E30" s="21">
        <f>+Input!G124</f>
        <v>0</v>
      </c>
      <c r="F30" s="21">
        <f>+Input!H124</f>
        <v>0</v>
      </c>
      <c r="G30" s="21">
        <f>+Input!I124</f>
        <v>0</v>
      </c>
      <c r="H30" s="21">
        <f>+Input!J124</f>
        <v>0</v>
      </c>
    </row>
    <row r="31" spans="2:8" ht="15">
      <c r="B31" t="str">
        <f>+Input!C125</f>
        <v>Altri costi 7</v>
      </c>
      <c r="D31" s="21">
        <f>+Input!F125</f>
        <v>0</v>
      </c>
      <c r="E31" s="21">
        <f>+Input!G125</f>
        <v>0</v>
      </c>
      <c r="F31" s="21">
        <f>+Input!H125</f>
        <v>0</v>
      </c>
      <c r="G31" s="21">
        <f>+Input!I125</f>
        <v>0</v>
      </c>
      <c r="H31" s="21">
        <f>+Input!J125</f>
        <v>0</v>
      </c>
    </row>
    <row r="32" spans="2:8" ht="15">
      <c r="B32" t="str">
        <f>+Input!C126</f>
        <v>Altri costi 8</v>
      </c>
      <c r="D32" s="21">
        <f>+Input!F126</f>
        <v>0</v>
      </c>
      <c r="E32" s="21">
        <f>+Input!G126</f>
        <v>0</v>
      </c>
      <c r="F32" s="21">
        <f>+Input!H126</f>
        <v>0</v>
      </c>
      <c r="G32" s="21">
        <f>+Input!I126</f>
        <v>0</v>
      </c>
      <c r="H32" s="21">
        <f>+Input!J126</f>
        <v>0</v>
      </c>
    </row>
    <row r="33" spans="2:8" ht="15">
      <c r="B33" t="str">
        <f>+Input!C127</f>
        <v>Altri costi 9</v>
      </c>
      <c r="D33" s="21">
        <f>+Input!F127</f>
        <v>0</v>
      </c>
      <c r="E33" s="21">
        <f>+Input!G127</f>
        <v>0</v>
      </c>
      <c r="F33" s="21">
        <f>+Input!H127</f>
        <v>0</v>
      </c>
      <c r="G33" s="21">
        <f>+Input!I127</f>
        <v>0</v>
      </c>
      <c r="H33" s="21">
        <f>+Input!J127</f>
        <v>0</v>
      </c>
    </row>
    <row r="35" spans="2:8" ht="15">
      <c r="B35" s="3" t="s">
        <v>310</v>
      </c>
      <c r="C35" s="3"/>
      <c r="D35" s="29">
        <f>SUM(D36:D37)</f>
        <v>20000</v>
      </c>
      <c r="E35" s="29">
        <f>SUM(E36:E37)</f>
        <v>20000</v>
      </c>
      <c r="F35" s="29">
        <f>SUM(F36:F37)</f>
        <v>20000</v>
      </c>
      <c r="G35" s="29">
        <f>SUM(G36:G37)</f>
        <v>20000</v>
      </c>
      <c r="H35" s="29">
        <f>SUM(H36:H37)</f>
        <v>20000</v>
      </c>
    </row>
    <row r="36" spans="2:8" ht="15">
      <c r="B36" t="s">
        <v>53</v>
      </c>
      <c r="D36" s="21">
        <f>+Inve!D54</f>
        <v>18000</v>
      </c>
      <c r="E36" s="21">
        <f>+Inve!E54</f>
        <v>18000</v>
      </c>
      <c r="F36" s="21">
        <f>+Inve!F54</f>
        <v>18000</v>
      </c>
      <c r="G36" s="21">
        <f>+Inve!G54</f>
        <v>18000</v>
      </c>
      <c r="H36" s="21">
        <f>+Inve!H54</f>
        <v>18000</v>
      </c>
    </row>
    <row r="37" spans="2:8" ht="15">
      <c r="B37" t="s">
        <v>54</v>
      </c>
      <c r="D37" s="21">
        <f>+Inve!D55</f>
        <v>2000</v>
      </c>
      <c r="E37" s="21">
        <f>+Inve!E55</f>
        <v>2000</v>
      </c>
      <c r="F37" s="21">
        <f>+Inve!F55</f>
        <v>2000</v>
      </c>
      <c r="G37" s="21">
        <f>+Inve!G55</f>
        <v>2000</v>
      </c>
      <c r="H37" s="21">
        <f>+Inve!H55</f>
        <v>2000</v>
      </c>
    </row>
    <row r="38" spans="4:8" ht="15">
      <c r="D38" s="21"/>
      <c r="E38" s="21"/>
      <c r="F38" s="21"/>
      <c r="G38" s="21"/>
      <c r="H38" s="21"/>
    </row>
    <row r="39" spans="2:8" ht="15">
      <c r="B39" s="3" t="s">
        <v>77</v>
      </c>
      <c r="C39" s="3"/>
      <c r="D39" s="29">
        <f>+Personale!D8</f>
        <v>59283</v>
      </c>
      <c r="E39" s="29">
        <f>+Personale!E8</f>
        <v>59283</v>
      </c>
      <c r="F39" s="29">
        <f>+Personale!F8</f>
        <v>59283</v>
      </c>
      <c r="G39" s="29">
        <f>+Personale!G8</f>
        <v>59283</v>
      </c>
      <c r="H39" s="29">
        <f>+Personale!H8</f>
        <v>59283</v>
      </c>
    </row>
    <row r="40" spans="4:8" ht="15">
      <c r="D40" s="21"/>
      <c r="E40" s="21"/>
      <c r="F40" s="21"/>
      <c r="G40" s="21"/>
      <c r="H40" s="21"/>
    </row>
    <row r="41" spans="2:8" ht="15">
      <c r="B41" s="3" t="s">
        <v>309</v>
      </c>
      <c r="C41" s="3"/>
      <c r="D41" s="29">
        <f>+D10-D12-D35-D39</f>
        <v>58974.14285714284</v>
      </c>
      <c r="E41" s="29">
        <f>+E10-E12-E35-E39</f>
        <v>74259.85714285716</v>
      </c>
      <c r="F41" s="29">
        <f>+F10-F12-F35-F39</f>
        <v>82831.28571428574</v>
      </c>
      <c r="G41" s="29">
        <f>+G10-G12-G35-G39</f>
        <v>82831.28571428574</v>
      </c>
      <c r="H41" s="29">
        <f>+H10-H12-H35-H39</f>
        <v>82831.28571428574</v>
      </c>
    </row>
    <row r="42" spans="4:8" ht="15">
      <c r="D42" s="21"/>
      <c r="E42" s="21"/>
      <c r="F42" s="21"/>
      <c r="G42" s="21"/>
      <c r="H42" s="21"/>
    </row>
    <row r="43" spans="2:8" ht="15">
      <c r="B43" s="3" t="s">
        <v>354</v>
      </c>
      <c r="D43" s="29">
        <f>SUM(D44:D46)</f>
        <v>0</v>
      </c>
      <c r="E43" s="29">
        <f>SUM(E44:E46)</f>
        <v>0</v>
      </c>
      <c r="F43" s="29">
        <f>SUM(F44:F46)</f>
        <v>0</v>
      </c>
      <c r="G43" s="29">
        <f>SUM(G44:G46)</f>
        <v>0</v>
      </c>
      <c r="H43" s="29">
        <f>SUM(H44:H46)</f>
        <v>0</v>
      </c>
    </row>
    <row r="44" spans="2:8" ht="15">
      <c r="B44" t="s">
        <v>355</v>
      </c>
      <c r="D44" s="21">
        <f>+CFP!D8</f>
        <v>0</v>
      </c>
      <c r="E44" s="21">
        <f>+CFP!E8</f>
        <v>0</v>
      </c>
      <c r="F44" s="21">
        <f>+CFP!F8</f>
        <v>0</v>
      </c>
      <c r="G44" s="21">
        <f>+CFP!G8</f>
        <v>0</v>
      </c>
      <c r="H44" s="21">
        <f>+CFP!H8</f>
        <v>0</v>
      </c>
    </row>
    <row r="45" spans="2:8" ht="15">
      <c r="B45" t="s">
        <v>369</v>
      </c>
      <c r="D45" s="21">
        <f>+CFP!D26</f>
        <v>0</v>
      </c>
      <c r="E45" s="21">
        <f>+CFP!E26</f>
        <v>0</v>
      </c>
      <c r="F45" s="21">
        <f>+CFP!F26</f>
        <v>0</v>
      </c>
      <c r="G45" s="21">
        <f>+CFP!G26</f>
        <v>0</v>
      </c>
      <c r="H45" s="21">
        <f>+CFP!H26</f>
        <v>0</v>
      </c>
    </row>
    <row r="46" spans="2:8" ht="15">
      <c r="B46" t="s">
        <v>374</v>
      </c>
      <c r="D46" s="21"/>
      <c r="E46" s="21"/>
      <c r="F46" s="21"/>
      <c r="G46" s="21"/>
      <c r="H46" s="21"/>
    </row>
    <row r="47" spans="4:8" ht="15">
      <c r="D47" s="21"/>
      <c r="E47" s="21"/>
      <c r="F47" s="21"/>
      <c r="G47" s="21"/>
      <c r="H47" s="21"/>
    </row>
    <row r="48" spans="2:8" ht="15">
      <c r="B48" s="3" t="s">
        <v>322</v>
      </c>
      <c r="C48" s="3"/>
      <c r="D48" s="29">
        <f>-D49+D50</f>
        <v>-9235.542900780703</v>
      </c>
      <c r="E48" s="29">
        <f>-E49+E50</f>
        <v>8108.778284240763</v>
      </c>
      <c r="F48" s="29">
        <f>-F49+F50</f>
        <v>13925.00664511678</v>
      </c>
      <c r="G48" s="29">
        <f>-G49+G50</f>
        <v>24874.899280009642</v>
      </c>
      <c r="H48" s="29">
        <f>-H49+H50</f>
        <v>31553.283286030084</v>
      </c>
    </row>
    <row r="49" spans="2:8" ht="15">
      <c r="B49" t="s">
        <v>131</v>
      </c>
      <c r="D49" s="21">
        <f>+finanziamento!E28+Banca!C9</f>
        <v>14000.000000000013</v>
      </c>
      <c r="E49" s="21">
        <f>+finanziamento!F28+Banca!D9</f>
        <v>12986.714961816904</v>
      </c>
      <c r="F49" s="21">
        <f>+finanziamento!G28+Banca!E9</f>
        <v>11902.49997096098</v>
      </c>
      <c r="G49" s="21">
        <f>+finanziamento!H28+Banca!F9</f>
        <v>10742.38993074514</v>
      </c>
      <c r="H49" s="21">
        <f>+finanziamento!I28+Banca!G9</f>
        <v>9501.07218771419</v>
      </c>
    </row>
    <row r="50" spans="2:8" ht="15">
      <c r="B50" t="s">
        <v>321</v>
      </c>
      <c r="D50" s="21">
        <f>+Banca!C10</f>
        <v>4764.457099219309</v>
      </c>
      <c r="E50" s="21">
        <f>+Banca!D10</f>
        <v>21095.493246057667</v>
      </c>
      <c r="F50" s="21">
        <f>+Banca!E10</f>
        <v>25827.50661607776</v>
      </c>
      <c r="G50" s="21">
        <f>+Banca!F10</f>
        <v>35617.28921075478</v>
      </c>
      <c r="H50" s="21">
        <f>+Banca!G10</f>
        <v>41054.355473744276</v>
      </c>
    </row>
    <row r="52" spans="2:8" ht="15">
      <c r="B52" s="3" t="s">
        <v>251</v>
      </c>
      <c r="C52" s="3"/>
      <c r="D52" s="29">
        <f>+D41+D48+D43</f>
        <v>49738.59995636214</v>
      </c>
      <c r="E52" s="29">
        <f>+E41+E48+E43</f>
        <v>82368.63542709792</v>
      </c>
      <c r="F52" s="29">
        <f>+F41+F48+F43</f>
        <v>96756.29235940252</v>
      </c>
      <c r="G52" s="29">
        <f>+G41+G48+G43</f>
        <v>107706.18499429538</v>
      </c>
      <c r="H52" s="29">
        <f>+H41+H48+H43</f>
        <v>114384.56900031582</v>
      </c>
    </row>
    <row r="54" spans="2:8" ht="15">
      <c r="B54" t="s">
        <v>276</v>
      </c>
      <c r="D54" s="21">
        <f>+Irap!E16</f>
        <v>0</v>
      </c>
      <c r="E54" s="21">
        <f>+Irap!F16</f>
        <v>10367.713281656821</v>
      </c>
      <c r="F54" s="21">
        <f>+Irap!G16</f>
        <v>6008.1694020167</v>
      </c>
      <c r="G54" s="21">
        <f>+Irap!H16</f>
        <v>8583.790214777518</v>
      </c>
      <c r="H54" s="21">
        <f>+Irap!I16</f>
        <v>6894.247191012317</v>
      </c>
    </row>
    <row r="55" spans="4:8" ht="15">
      <c r="D55" s="21"/>
      <c r="E55" s="21"/>
      <c r="F55" s="21"/>
      <c r="G55" s="21"/>
      <c r="H55" s="21"/>
    </row>
    <row r="56" spans="2:8" ht="15">
      <c r="B56" t="s">
        <v>373</v>
      </c>
      <c r="D56" s="21">
        <f>+CFP!D47</f>
        <v>0</v>
      </c>
      <c r="E56" s="21">
        <f>+CFP!E47</f>
        <v>0</v>
      </c>
      <c r="F56" s="21">
        <f>+CFP!F47</f>
        <v>0</v>
      </c>
      <c r="G56" s="21">
        <f>+CFP!G47</f>
        <v>0</v>
      </c>
      <c r="H56" s="21">
        <f>+CFP!H47</f>
        <v>0</v>
      </c>
    </row>
    <row r="57" spans="2:8" ht="15">
      <c r="B57" s="3" t="s">
        <v>335</v>
      </c>
      <c r="D57" s="29">
        <f>+D52-D54-D55+D56</f>
        <v>49738.59995636214</v>
      </c>
      <c r="E57" s="29">
        <f>+E52-E54-E55+E56</f>
        <v>72000.9221454411</v>
      </c>
      <c r="F57" s="29">
        <f>+F52-F54-F55+F56</f>
        <v>90748.12295738581</v>
      </c>
      <c r="G57" s="29">
        <f>+G52-G54-G55+G56</f>
        <v>99122.39477951787</v>
      </c>
      <c r="H57" s="29">
        <f>+H52-H54-H55+H56</f>
        <v>107490.32180930351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3:H16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3" max="3" width="17.28125" style="0" bestFit="1" customWidth="1"/>
    <col min="4" max="4" width="13.140625" style="0" bestFit="1" customWidth="1"/>
    <col min="5" max="5" width="10.421875" style="0" bestFit="1" customWidth="1"/>
    <col min="6" max="6" width="13.140625" style="0" bestFit="1" customWidth="1"/>
    <col min="7" max="8" width="14.7109375" style="0" bestFit="1" customWidth="1"/>
  </cols>
  <sheetData>
    <row r="3" spans="4:8" ht="15">
      <c r="D3" s="4">
        <f>+'CE'!D2</f>
        <v>2017</v>
      </c>
      <c r="E3" s="4">
        <f>+'CE'!E2</f>
        <v>2018</v>
      </c>
      <c r="F3" s="4">
        <f>+'CE'!F2</f>
        <v>2019</v>
      </c>
      <c r="G3" s="4">
        <f>+'CE'!G2</f>
        <v>2020</v>
      </c>
      <c r="H3" s="4">
        <f>+'CE'!H2</f>
        <v>2021</v>
      </c>
    </row>
    <row r="4" spans="3:8" ht="15">
      <c r="C4" t="s">
        <v>37</v>
      </c>
      <c r="D4" s="193">
        <f>+MCL!D29-MCL!M17+Input!D40</f>
        <v>411812.5</v>
      </c>
      <c r="E4" s="193">
        <f>+MCL!E29-MCL!N17</f>
        <v>381079.1666666667</v>
      </c>
      <c r="F4" s="193">
        <f>+MCL!F29-MCL!O17</f>
        <v>474908.3333333334</v>
      </c>
      <c r="G4" s="193">
        <f>+MCL!G29-MCL!P17</f>
        <v>480000</v>
      </c>
      <c r="H4" s="193">
        <f>+MCL!H29-MCL!Q17</f>
        <v>480000</v>
      </c>
    </row>
    <row r="5" spans="4:8" ht="15">
      <c r="D5" s="193"/>
      <c r="E5" s="193"/>
      <c r="F5" s="193"/>
      <c r="G5" s="193"/>
      <c r="H5" s="193"/>
    </row>
    <row r="6" spans="3:8" ht="15">
      <c r="C6" t="s">
        <v>430</v>
      </c>
      <c r="D6" s="193">
        <f>+MCL!M29-MCL!M23+Input!D41</f>
        <v>257142.85714285716</v>
      </c>
      <c r="E6" s="193">
        <f>+MCL!N29-MCL!N23</f>
        <v>62857.14285714283</v>
      </c>
      <c r="F6" s="193">
        <f>+MCL!O29-MCL!O23</f>
        <v>274285.71428571426</v>
      </c>
      <c r="G6" s="193">
        <f>+MCL!P29-MCL!P23</f>
        <v>224285.7142857143</v>
      </c>
      <c r="H6" s="193">
        <f>+MCL!Q29-MCL!Q23</f>
        <v>274285.71428571426</v>
      </c>
    </row>
    <row r="7" spans="3:8" ht="15">
      <c r="C7" t="s">
        <v>443</v>
      </c>
      <c r="D7" s="193">
        <f>+'Altri costi'!D51-'Altri costi'!D25</f>
        <v>54600</v>
      </c>
      <c r="E7" s="193">
        <f>+'Altri costi'!E51-'Altri costi'!E25</f>
        <v>43600</v>
      </c>
      <c r="F7" s="193">
        <f>+'Altri costi'!F51-'Altri costi'!F25</f>
        <v>43600</v>
      </c>
      <c r="G7" s="193">
        <f>+'Altri costi'!G51-'Altri costi'!G25</f>
        <v>43600</v>
      </c>
      <c r="H7" s="193">
        <f>+'Altri costi'!H51-'Altri costi'!H25</f>
        <v>43600</v>
      </c>
    </row>
    <row r="8" spans="3:8" ht="15">
      <c r="C8" t="s">
        <v>431</v>
      </c>
      <c r="D8" s="193">
        <f>+Personale!D18</f>
        <v>56175</v>
      </c>
      <c r="E8" s="193">
        <f>+Personale!E18</f>
        <v>56175</v>
      </c>
      <c r="F8" s="193">
        <f>+Personale!F18</f>
        <v>56175</v>
      </c>
      <c r="G8" s="193">
        <f>+Personale!G18</f>
        <v>56175</v>
      </c>
      <c r="H8" s="193">
        <f>+Personale!H18</f>
        <v>56175</v>
      </c>
    </row>
    <row r="9" spans="3:4" ht="15">
      <c r="C9" t="s">
        <v>433</v>
      </c>
      <c r="D9" s="193">
        <f>+Input!D37</f>
        <v>250000</v>
      </c>
    </row>
    <row r="11" spans="3:8" ht="15">
      <c r="C11" t="s">
        <v>50</v>
      </c>
      <c r="D11" s="193">
        <f>+'CE'!D35</f>
        <v>20000</v>
      </c>
      <c r="E11" s="193">
        <f>+'CE'!E35</f>
        <v>20000</v>
      </c>
      <c r="F11" s="193">
        <f>+'CE'!F35</f>
        <v>20000</v>
      </c>
      <c r="G11" s="193">
        <f>+'CE'!G35</f>
        <v>20000</v>
      </c>
      <c r="H11" s="193">
        <f>+'CE'!H35</f>
        <v>20000</v>
      </c>
    </row>
    <row r="12" spans="3:8" ht="15">
      <c r="C12" t="s">
        <v>434</v>
      </c>
      <c r="D12" s="193">
        <f>+'CE'!D43</f>
        <v>0</v>
      </c>
      <c r="E12" s="193">
        <f>+'CE'!E43</f>
        <v>0</v>
      </c>
      <c r="F12" s="193">
        <f>+'CE'!F43</f>
        <v>0</v>
      </c>
      <c r="G12" s="193">
        <f>+'CE'!G43</f>
        <v>0</v>
      </c>
      <c r="H12" s="193">
        <f>+'CE'!H43</f>
        <v>0</v>
      </c>
    </row>
    <row r="13" spans="3:8" ht="15">
      <c r="C13" t="s">
        <v>435</v>
      </c>
      <c r="D13" s="193">
        <f>+'CE'!D48</f>
        <v>-9235.542900780703</v>
      </c>
      <c r="E13" s="193">
        <f>+'CE'!E48</f>
        <v>8108.778284240763</v>
      </c>
      <c r="F13" s="193">
        <f>+'CE'!F48</f>
        <v>13925.00664511678</v>
      </c>
      <c r="G13" s="193">
        <f>+'CE'!G48</f>
        <v>24874.899280009642</v>
      </c>
      <c r="H13" s="193">
        <f>+'CE'!H48</f>
        <v>31553.283286030084</v>
      </c>
    </row>
    <row r="16" spans="3:8" ht="15">
      <c r="C16" t="s">
        <v>436</v>
      </c>
      <c r="D16" s="193">
        <f>+D4-SUM(D6:D9)-D11+D12+D13</f>
        <v>-235340.90004363787</v>
      </c>
      <c r="E16" s="193">
        <f>+E4-SUM(E6:E9)-E11+E12+E13</f>
        <v>206555.80209376462</v>
      </c>
      <c r="F16" s="193">
        <f>+F4-SUM(F6:F9)-F11+F12+F13</f>
        <v>94772.62569273589</v>
      </c>
      <c r="G16" s="193">
        <f>+G4-SUM(G6:G9)-G11+G12+G13</f>
        <v>160814.18499429533</v>
      </c>
      <c r="H16" s="193">
        <f>+H4-SUM(H6:H9)-H11+H12+H13</f>
        <v>117492.56900031582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4:J75"/>
  <sheetViews>
    <sheetView showGridLines="0" zoomScalePageLayoutView="0" workbookViewId="0" topLeftCell="A1">
      <selection activeCell="F6" sqref="F6"/>
    </sheetView>
  </sheetViews>
  <sheetFormatPr defaultColWidth="9.140625" defaultRowHeight="15"/>
  <cols>
    <col min="2" max="2" width="11.57421875" style="0" bestFit="1" customWidth="1"/>
    <col min="5" max="5" width="28.7109375" style="0" bestFit="1" customWidth="1"/>
    <col min="6" max="6" width="20.7109375" style="0" customWidth="1"/>
    <col min="7" max="7" width="21.140625" style="0" customWidth="1"/>
    <col min="8" max="8" width="25.7109375" style="0" bestFit="1" customWidth="1"/>
    <col min="9" max="10" width="18.7109375" style="0" bestFit="1" customWidth="1"/>
  </cols>
  <sheetData>
    <row r="4" ht="15">
      <c r="E4" s="114"/>
    </row>
    <row r="5" spans="6:10" ht="15.75" thickBot="1">
      <c r="F5" s="115">
        <f>+F11</f>
        <v>2017</v>
      </c>
      <c r="G5" s="115">
        <f>+G11</f>
        <v>2018</v>
      </c>
      <c r="H5" s="115">
        <f>+H11</f>
        <v>2019</v>
      </c>
      <c r="I5" s="115">
        <f>+I11</f>
        <v>2020</v>
      </c>
      <c r="J5" s="115">
        <f>+J11</f>
        <v>2021</v>
      </c>
    </row>
    <row r="6" spans="5:10" ht="15">
      <c r="E6" s="3" t="s">
        <v>414</v>
      </c>
      <c r="F6" s="21">
        <f>+IF(Input!$D$25="Principio Cassa",'Irpef Cassa'!D16,'CE'!D52)</f>
        <v>-235340.90004363787</v>
      </c>
      <c r="G6" s="21">
        <f>+IF(Input!$D$25="Principio Cassa",'Irpef Cassa'!E16,'CE'!E52)</f>
        <v>206555.80209376462</v>
      </c>
      <c r="H6" s="21">
        <f>+IF(Input!$D$25="Principio Cassa",'Irpef Cassa'!F16,'CE'!F52)</f>
        <v>94772.62569273589</v>
      </c>
      <c r="I6" s="21">
        <f>+IF(Input!$D$25="Principio Cassa",'Irpef Cassa'!G16,'CE'!G52)</f>
        <v>160814.18499429533</v>
      </c>
      <c r="J6" s="21">
        <f>+IF(Input!$D$25="Principio Cassa",'Irpef Cassa'!H16,'CE'!H52)</f>
        <v>117492.56900031582</v>
      </c>
    </row>
    <row r="11" spans="6:10" ht="15.75" thickBot="1">
      <c r="F11" s="115">
        <f>+Input!D8</f>
        <v>2017</v>
      </c>
      <c r="G11" s="115">
        <f>+Input!E8</f>
        <v>2018</v>
      </c>
      <c r="H11" s="115">
        <f>+Input!F8</f>
        <v>2019</v>
      </c>
      <c r="I11" s="115">
        <f>+Input!G8</f>
        <v>2020</v>
      </c>
      <c r="J11" s="115">
        <f>+Input!H8</f>
        <v>2021</v>
      </c>
    </row>
    <row r="12" spans="5:10" ht="15">
      <c r="E12" t="s">
        <v>415</v>
      </c>
      <c r="F12" s="198">
        <f>+Input!$D$31</f>
        <v>0.5</v>
      </c>
      <c r="G12" s="198">
        <f>+Input!$D$31</f>
        <v>0.5</v>
      </c>
      <c r="H12" s="198">
        <f>+Input!$D$31</f>
        <v>0.5</v>
      </c>
      <c r="I12" s="198">
        <f>+Input!$D$31</f>
        <v>0.5</v>
      </c>
      <c r="J12" s="198">
        <f>+Input!$D$31</f>
        <v>0.5</v>
      </c>
    </row>
    <row r="14" spans="6:10" ht="15.75" thickBot="1">
      <c r="F14" s="115">
        <f>+F11</f>
        <v>2017</v>
      </c>
      <c r="G14" s="115">
        <f>+G11</f>
        <v>2018</v>
      </c>
      <c r="H14" s="115">
        <f>+H11</f>
        <v>2019</v>
      </c>
      <c r="I14" s="115">
        <f>+I11</f>
        <v>2020</v>
      </c>
      <c r="J14" s="115">
        <f>+J11</f>
        <v>2021</v>
      </c>
    </row>
    <row r="15" spans="5:10" ht="15">
      <c r="E15" t="s">
        <v>416</v>
      </c>
      <c r="F15" s="116">
        <f>+IF(F6*F12&lt;0,0,F12*F6)</f>
        <v>0</v>
      </c>
      <c r="G15" s="116">
        <f>+IF(G6*G12&lt;0,0,G12*G6)</f>
        <v>103277.90104688231</v>
      </c>
      <c r="H15" s="116">
        <f>+IF(H6*H12&lt;0,0,H12*H6)</f>
        <v>47386.312846367946</v>
      </c>
      <c r="I15" s="116">
        <f>+IF(I6*I12&lt;0,0,I12*I6)</f>
        <v>80407.09249714766</v>
      </c>
      <c r="J15" s="116">
        <f>+IF(J6*J12&lt;0,0,J12*J6)</f>
        <v>58746.28450015791</v>
      </c>
    </row>
    <row r="16" spans="6:8" ht="15">
      <c r="F16" s="20"/>
      <c r="G16" s="20"/>
      <c r="H16" s="20"/>
    </row>
    <row r="17" spans="6:10" ht="15.75" thickBot="1">
      <c r="F17" s="115">
        <f>+F5</f>
        <v>2017</v>
      </c>
      <c r="G17" s="115">
        <f>+G5</f>
        <v>2018</v>
      </c>
      <c r="H17" s="115">
        <f>+H5</f>
        <v>2019</v>
      </c>
      <c r="I17" s="115">
        <f>+I5</f>
        <v>2020</v>
      </c>
      <c r="J17" s="115">
        <f>+J5</f>
        <v>2021</v>
      </c>
    </row>
    <row r="18" spans="5:10" ht="15">
      <c r="E18" s="3" t="s">
        <v>417</v>
      </c>
      <c r="F18" s="116">
        <f>+Input!D34</f>
        <v>40000</v>
      </c>
      <c r="G18" s="116">
        <f>+Input!E34</f>
        <v>0</v>
      </c>
      <c r="H18" s="116">
        <f>+Input!F34</f>
        <v>0</v>
      </c>
      <c r="I18" s="116">
        <f>+Input!G34</f>
        <v>0</v>
      </c>
      <c r="J18" s="116">
        <f>+Input!H34</f>
        <v>0</v>
      </c>
    </row>
    <row r="20" spans="5:10" ht="15">
      <c r="E20" s="3" t="s">
        <v>418</v>
      </c>
      <c r="F20" s="116">
        <f>+F15+F18</f>
        <v>40000</v>
      </c>
      <c r="G20" s="116">
        <f>+G15+G18</f>
        <v>103277.90104688231</v>
      </c>
      <c r="H20" s="116">
        <f>+H15+H18</f>
        <v>47386.312846367946</v>
      </c>
      <c r="I20" s="116">
        <f>+I15+I18</f>
        <v>80407.09249714766</v>
      </c>
      <c r="J20" s="116">
        <f>+J15+J18</f>
        <v>58746.28450015791</v>
      </c>
    </row>
    <row r="21" spans="5:8" ht="15">
      <c r="E21" s="3"/>
      <c r="F21" s="37"/>
      <c r="G21" s="37"/>
      <c r="H21" s="37"/>
    </row>
    <row r="22" spans="5:10" ht="15">
      <c r="E22" s="3" t="s">
        <v>419</v>
      </c>
      <c r="F22" s="116">
        <f>+F39</f>
        <v>0</v>
      </c>
      <c r="G22" s="116">
        <f>+G48</f>
        <v>37579.4974501594</v>
      </c>
      <c r="H22" s="116">
        <f>+H57</f>
        <v>9759.38357501553</v>
      </c>
      <c r="I22" s="116">
        <f>+I66</f>
        <v>21383.849773773494</v>
      </c>
      <c r="J22" s="116">
        <f>+J75</f>
        <v>7737.188267010857</v>
      </c>
    </row>
    <row r="23" spans="5:10" ht="15">
      <c r="E23" s="3"/>
      <c r="F23" s="42"/>
      <c r="G23" s="42"/>
      <c r="H23" s="42"/>
      <c r="J23" s="82"/>
    </row>
    <row r="24" spans="2:6" ht="15">
      <c r="B24" s="117"/>
      <c r="C24" s="78"/>
      <c r="D24" s="78"/>
      <c r="E24" s="78"/>
      <c r="F24" s="78"/>
    </row>
    <row r="25" spans="2:6" ht="15">
      <c r="B25" s="117"/>
      <c r="C25" s="78"/>
      <c r="D25" s="78"/>
      <c r="E25" s="78"/>
      <c r="F25" s="78"/>
    </row>
    <row r="26" spans="2:6" ht="15">
      <c r="B26" s="117"/>
      <c r="C26" s="78"/>
      <c r="D26" s="78"/>
      <c r="E26" s="78"/>
      <c r="F26" s="78"/>
    </row>
    <row r="27" spans="2:6" ht="15">
      <c r="B27" s="117"/>
      <c r="C27" s="78"/>
      <c r="D27" s="78"/>
      <c r="E27" s="78"/>
      <c r="F27" s="78"/>
    </row>
    <row r="28" spans="2:6" ht="15">
      <c r="B28" s="117"/>
      <c r="C28" s="78"/>
      <c r="D28" s="78"/>
      <c r="E28" s="78"/>
      <c r="F28" s="78"/>
    </row>
    <row r="29" spans="2:6" ht="15">
      <c r="B29" s="117"/>
      <c r="C29" s="78"/>
      <c r="D29" s="78"/>
      <c r="E29" s="78"/>
      <c r="F29" s="78"/>
    </row>
    <row r="30" spans="2:6" ht="15">
      <c r="B30" s="117"/>
      <c r="C30" s="78"/>
      <c r="D30" s="78"/>
      <c r="E30" s="78"/>
      <c r="F30" s="78"/>
    </row>
    <row r="31" spans="2:6" ht="15.75" thickBot="1">
      <c r="B31" s="117"/>
      <c r="C31" s="78"/>
      <c r="D31" s="78"/>
      <c r="E31" s="78"/>
      <c r="F31" s="78"/>
    </row>
    <row r="32" spans="2:6" ht="15">
      <c r="B32" s="217" t="s">
        <v>420</v>
      </c>
      <c r="C32" s="218"/>
      <c r="D32" s="219"/>
      <c r="E32" s="118"/>
      <c r="F32" s="119">
        <f>+F14</f>
        <v>2017</v>
      </c>
    </row>
    <row r="33" spans="2:6" ht="15">
      <c r="B33" s="120" t="s">
        <v>421</v>
      </c>
      <c r="C33" s="121" t="s">
        <v>422</v>
      </c>
      <c r="D33" s="121" t="s">
        <v>423</v>
      </c>
      <c r="E33" s="121" t="s">
        <v>424</v>
      </c>
      <c r="F33" s="121" t="s">
        <v>425</v>
      </c>
    </row>
    <row r="34" spans="2:6" ht="15">
      <c r="B34" s="122">
        <v>0</v>
      </c>
      <c r="C34" s="123">
        <v>15000</v>
      </c>
      <c r="D34" s="124">
        <v>0.23</v>
      </c>
      <c r="E34" s="125">
        <f>+IF($F$18&gt;=C34,0,IF($F$20&lt;=C34,$F$15,IF($F$20&gt;=C34,IF($F$18&lt;C34,C34-$F$18,0))))</f>
        <v>0</v>
      </c>
      <c r="F34" s="126">
        <f>+IF($F$15&lt;$E$34,$F$15*$D$34,$E$34*$D$34)</f>
        <v>0</v>
      </c>
    </row>
    <row r="35" spans="2:6" ht="15">
      <c r="B35" s="127">
        <v>15000</v>
      </c>
      <c r="C35" s="128">
        <v>28000</v>
      </c>
      <c r="D35" s="129">
        <v>0.27</v>
      </c>
      <c r="E35" s="125">
        <f>+IF($F$18&gt;=C35,0,IF($F$20&lt;=C35,$F$15-E34,IF($F$20&gt;=C35,IF($F$18&lt;C35,C35-$F$18-E34,0))))</f>
        <v>0</v>
      </c>
      <c r="F35" s="126">
        <f>+IF($F$15&lt;=$E$34,0,IF($F$15-$E$35-$E$34&gt;0,($E$35*$D$35),($F$15-$E$34)*$D$35))</f>
        <v>0</v>
      </c>
    </row>
    <row r="36" spans="2:6" ht="15">
      <c r="B36" s="127">
        <v>28000</v>
      </c>
      <c r="C36" s="128">
        <v>55000</v>
      </c>
      <c r="D36" s="129">
        <v>0.38</v>
      </c>
      <c r="E36" s="125">
        <f>+IF($F$18&gt;=C36,0,IF($F$20&lt;=C36,$F$15-E35-E34,IF($F$20&gt;=C36,IF($F$18&lt;C36,C36-$F$18-E35-E34,0))))</f>
        <v>0</v>
      </c>
      <c r="F36" s="126">
        <f>+IF($F$15&lt;=E35,0,IF($F$15-E36-E35&gt;0,E36*D36,($F$15-E35)*D36))</f>
        <v>0</v>
      </c>
    </row>
    <row r="37" spans="2:6" ht="15">
      <c r="B37" s="127">
        <v>55000</v>
      </c>
      <c r="C37" s="128">
        <v>75000</v>
      </c>
      <c r="D37" s="129">
        <v>0.41</v>
      </c>
      <c r="E37" s="125">
        <f>+IF($F$18&gt;=C37,0,IF($F$20&lt;=C37,$F$15-E36-E35-E34,IF($F$20&gt;=C37,IF($F$18&lt;=C37,C37-$F$18-E36-E35-E34,0))))</f>
        <v>0</v>
      </c>
      <c r="F37" s="126">
        <f>+IF($F$15&lt;=E36,0,IF($F$15-E37-E36&gt;0,E37*D37,($F$15-E36)*D37))</f>
        <v>0</v>
      </c>
    </row>
    <row r="38" spans="2:6" ht="15">
      <c r="B38" s="130">
        <v>75000</v>
      </c>
      <c r="C38" s="131"/>
      <c r="D38" s="132">
        <v>0.43</v>
      </c>
      <c r="E38" s="133">
        <f>+IF(F$20&lt;=B38,0,IF(F$18&gt;=B38,(F$20-B38+B38-F$18),+((F$18+$F$15)-B38)))</f>
        <v>0</v>
      </c>
      <c r="F38" s="134">
        <f>+IF($F$15&lt;=E37,0,IF($F$15-E38-E37&gt;0,E38*D38,($F$15-E37)*D38))</f>
        <v>0</v>
      </c>
    </row>
    <row r="39" spans="5:8" ht="15">
      <c r="E39" s="3" t="s">
        <v>16</v>
      </c>
      <c r="F39" s="135">
        <f>SUM(F34:F38)</f>
        <v>0</v>
      </c>
      <c r="G39" s="136" t="e">
        <f>+F39/F15</f>
        <v>#DIV/0!</v>
      </c>
      <c r="H39" s="135"/>
    </row>
    <row r="40" ht="15.75" thickBot="1"/>
    <row r="41" spans="3:7" ht="15">
      <c r="C41" s="217" t="s">
        <v>420</v>
      </c>
      <c r="D41" s="218"/>
      <c r="E41" s="219"/>
      <c r="F41" s="118"/>
      <c r="G41" s="119">
        <f>+G14</f>
        <v>2018</v>
      </c>
    </row>
    <row r="42" spans="3:7" ht="15">
      <c r="C42" s="120" t="s">
        <v>421</v>
      </c>
      <c r="D42" s="121" t="s">
        <v>422</v>
      </c>
      <c r="E42" s="121" t="s">
        <v>423</v>
      </c>
      <c r="F42" s="121" t="s">
        <v>424</v>
      </c>
      <c r="G42" s="121" t="s">
        <v>425</v>
      </c>
    </row>
    <row r="43" spans="3:7" ht="15">
      <c r="C43" s="122">
        <v>0</v>
      </c>
      <c r="D43" s="123">
        <v>15000</v>
      </c>
      <c r="E43" s="124">
        <v>0.23</v>
      </c>
      <c r="F43" s="125">
        <f>+IF(G$18&gt;=D43,0,IF(G$20&lt;=D43,$G$15,IF(G$20&gt;=D43,IF(G$18&lt;D43,D43-G$18,0))))</f>
        <v>15000</v>
      </c>
      <c r="G43" s="126">
        <f>+IF($G$15&lt;F43,#REF!*E43,F43*E43)</f>
        <v>3450</v>
      </c>
    </row>
    <row r="44" spans="3:7" ht="15">
      <c r="C44" s="127">
        <v>15000</v>
      </c>
      <c r="D44" s="128">
        <v>28000</v>
      </c>
      <c r="E44" s="129">
        <v>0.27</v>
      </c>
      <c r="F44" s="125">
        <f>+IF(G$18&gt;=D44,0,IF(G$20&lt;=D44,$G$15-F43,IF(G$20&gt;=D44,IF(G$18&lt;D44,D44-G$18-F43,0))))</f>
        <v>13000</v>
      </c>
      <c r="G44" s="126">
        <f>+IF($G$15&lt;=F43,0,IF($G$15-F44-F43&gt;0,(F44*E44),($G$15-F43)*E44))</f>
        <v>3510.0000000000005</v>
      </c>
    </row>
    <row r="45" spans="3:7" ht="15">
      <c r="C45" s="127">
        <v>28000</v>
      </c>
      <c r="D45" s="128">
        <v>55000</v>
      </c>
      <c r="E45" s="129">
        <v>0.38</v>
      </c>
      <c r="F45" s="125">
        <f>+IF(G$18&gt;=D45,0,IF(G$20&lt;=D45,$G$15-F44-F43,IF(G$20&gt;=D45,IF(G$18&lt;D45,D45-G$18-F44-F43,0))))</f>
        <v>27000</v>
      </c>
      <c r="G45" s="126">
        <f>+IF($G$15&lt;=F44,0,IF($G$15-F45-F44&gt;0,F45*E45,($G$15-F44)*E45))</f>
        <v>10260</v>
      </c>
    </row>
    <row r="46" spans="3:7" ht="15">
      <c r="C46" s="127">
        <v>55000</v>
      </c>
      <c r="D46" s="128">
        <v>75000</v>
      </c>
      <c r="E46" s="129">
        <v>0.41</v>
      </c>
      <c r="F46" s="125">
        <f>+IF(G$18&gt;=D46,0,IF(G$20&lt;=D46,$G$15-F45-F44-F43,IF(G$20&gt;=D46,IF(G$18&lt;=D46,D46-G$18-F45-F44-F43,0))))</f>
        <v>20000</v>
      </c>
      <c r="G46" s="126">
        <f>+IF($G$15&lt;=F45,0,IF($G$15-F46-F45&gt;0,F46*E46,($G$15-F45)*E46))</f>
        <v>8200</v>
      </c>
    </row>
    <row r="47" spans="3:7" ht="15">
      <c r="C47" s="130">
        <v>75000</v>
      </c>
      <c r="D47" s="131"/>
      <c r="E47" s="132">
        <v>0.43</v>
      </c>
      <c r="F47" s="133">
        <f>+IF(G$20&lt;=C47,0,IF(G$18&gt;=C47,(G$20-C47+C47-G$18),+((G$18+$G$15)-C47)))</f>
        <v>28277.90104688231</v>
      </c>
      <c r="G47" s="134">
        <f>+IF($G$15&lt;=F46,0,IF($G$15-F47-F46&gt;0,F47*E47,($G$15-F46)*E47))</f>
        <v>12159.497450159393</v>
      </c>
    </row>
    <row r="48" spans="6:8" ht="15">
      <c r="F48" s="3" t="s">
        <v>16</v>
      </c>
      <c r="G48" s="135">
        <f>SUM(G43:G47)</f>
        <v>37579.4974501594</v>
      </c>
      <c r="H48" s="137">
        <f>+G48/G15</f>
        <v>0.36386774972411995</v>
      </c>
    </row>
    <row r="49" ht="15.75" thickBot="1"/>
    <row r="50" spans="4:8" ht="15">
      <c r="D50" s="217" t="s">
        <v>420</v>
      </c>
      <c r="E50" s="218"/>
      <c r="F50" s="219"/>
      <c r="G50" s="118"/>
      <c r="H50" s="119">
        <f>+H14</f>
        <v>2019</v>
      </c>
    </row>
    <row r="51" spans="4:8" ht="15">
      <c r="D51" s="120" t="s">
        <v>421</v>
      </c>
      <c r="E51" s="121" t="s">
        <v>422</v>
      </c>
      <c r="F51" s="121" t="s">
        <v>423</v>
      </c>
      <c r="G51" s="121" t="s">
        <v>424</v>
      </c>
      <c r="H51" s="121" t="s">
        <v>425</v>
      </c>
    </row>
    <row r="52" spans="4:8" ht="15">
      <c r="D52" s="122">
        <v>0</v>
      </c>
      <c r="E52" s="123">
        <v>15000</v>
      </c>
      <c r="F52" s="124">
        <v>0.23</v>
      </c>
      <c r="G52" s="125">
        <f>+IF(H$18&gt;=E52,0,IF(H$20&lt;=E52,$H$15,IF(H$20&gt;=E52,IF(H$18&lt;E52,E52-H$18,0))))</f>
        <v>15000</v>
      </c>
      <c r="H52" s="126">
        <f>+IF($H$15&lt;G52,$H$15*F52,G52*F52)</f>
        <v>3450</v>
      </c>
    </row>
    <row r="53" spans="4:8" ht="15">
      <c r="D53" s="127">
        <v>15000</v>
      </c>
      <c r="E53" s="128">
        <v>28000</v>
      </c>
      <c r="F53" s="129">
        <v>0.27</v>
      </c>
      <c r="G53" s="125">
        <f>+IF(H$18&gt;=E53,0,IF(H$20&lt;=E53,$H$15-G52,IF(H$20&gt;=E53,IF(H$18&lt;E53,E53-H$18-G52,0))))</f>
        <v>13000</v>
      </c>
      <c r="H53" s="126">
        <f>+IF($H$15&lt;=G52,0,IF($H$15-G53-G52&gt;0,(G53*F53),($H$15-G52)*F53))</f>
        <v>3510.0000000000005</v>
      </c>
    </row>
    <row r="54" spans="4:8" ht="15">
      <c r="D54" s="127">
        <v>28000</v>
      </c>
      <c r="E54" s="128">
        <v>55000</v>
      </c>
      <c r="F54" s="129">
        <v>0.38</v>
      </c>
      <c r="G54" s="125">
        <f>+IF(H$18&gt;=E54,0,IF(H$20&lt;=E54,$H$15-G53-G52,IF(H$20&gt;=E54,IF(H$18&lt;E54,E54-H$18-G53-G52,0))))</f>
        <v>19386.312846367946</v>
      </c>
      <c r="H54" s="126">
        <f>+IF($H$15&lt;=G53,0,IF($H$15-G54-G53&gt;0,G54*F54,$H$15-G53)*F54)</f>
        <v>2799.3835750155313</v>
      </c>
    </row>
    <row r="55" spans="4:8" ht="15">
      <c r="D55" s="127">
        <v>55000</v>
      </c>
      <c r="E55" s="128">
        <v>75000</v>
      </c>
      <c r="F55" s="129">
        <v>0.41</v>
      </c>
      <c r="G55" s="125">
        <f>+IF(H$18&gt;=E55,0,IF(H$20&lt;=E55,$H$15-G54-G53-G52,IF(H$20&gt;=E55,IF(H$18&lt;=E55,E55-H$18-G54-G53-G52,0))))</f>
        <v>0</v>
      </c>
      <c r="H55" s="126">
        <f>+IF($H$15&lt;=G54,0,IF($H$15-G55-G54&gt;0,G55*F55,($H$15-G54)*F55))</f>
        <v>0</v>
      </c>
    </row>
    <row r="56" spans="4:8" ht="15">
      <c r="D56" s="130">
        <v>75000</v>
      </c>
      <c r="E56" s="131"/>
      <c r="F56" s="132">
        <v>0.43</v>
      </c>
      <c r="G56" s="133">
        <f>+IF(H$20&lt;=D56,0,IF(H$18&gt;=D56,(H$20-D56+D56-H$18),+((H$18+$H$15)-D56)))</f>
        <v>0</v>
      </c>
      <c r="H56" s="134">
        <f>+IF($H$15&lt;=G55,0,IF($H$15-G56-G55&gt;0,G56*F56,($H$15-G55)*F56))</f>
        <v>0</v>
      </c>
    </row>
    <row r="57" spans="7:8" ht="15">
      <c r="G57" s="3" t="s">
        <v>16</v>
      </c>
      <c r="H57" s="135">
        <f>SUM(H52:H56)</f>
        <v>9759.38357501553</v>
      </c>
    </row>
    <row r="58" ht="15.75" thickBot="1"/>
    <row r="59" spans="5:9" ht="15">
      <c r="E59" s="217" t="s">
        <v>420</v>
      </c>
      <c r="F59" s="218"/>
      <c r="G59" s="219"/>
      <c r="H59" s="118"/>
      <c r="I59" s="119">
        <f>+I14</f>
        <v>2020</v>
      </c>
    </row>
    <row r="60" spans="5:9" ht="15">
      <c r="E60" s="120" t="s">
        <v>421</v>
      </c>
      <c r="F60" s="121" t="s">
        <v>422</v>
      </c>
      <c r="G60" s="121" t="s">
        <v>423</v>
      </c>
      <c r="H60" s="121" t="s">
        <v>424</v>
      </c>
      <c r="I60" s="121" t="s">
        <v>425</v>
      </c>
    </row>
    <row r="61" spans="5:9" ht="15">
      <c r="E61" s="122">
        <v>0</v>
      </c>
      <c r="F61" s="123">
        <v>15000</v>
      </c>
      <c r="G61" s="124">
        <v>0.23</v>
      </c>
      <c r="H61" s="125">
        <f>+IF(I$18&gt;=F61,0,IF(I$20&lt;=F61,$I$15,IF(I$20&gt;=F61,IF(I$18&lt;F61,F61-I$18,0))))</f>
        <v>15000</v>
      </c>
      <c r="I61" s="126">
        <f>+IF($I$15&lt;H61,$I$15*G61,H61*G61)</f>
        <v>3450</v>
      </c>
    </row>
    <row r="62" spans="5:9" ht="15">
      <c r="E62" s="127">
        <v>15000</v>
      </c>
      <c r="F62" s="128">
        <v>28000</v>
      </c>
      <c r="G62" s="129">
        <v>0.27</v>
      </c>
      <c r="H62" s="125">
        <f>+IF(I$18&gt;=F62,0,IF(I$20&lt;=F62,$I$15-H61,IF(I$20&gt;=F62,IF(I$18&lt;F62,F62-I$18-H61,0))))</f>
        <v>13000</v>
      </c>
      <c r="I62" s="126">
        <f>+IF($I$15&lt;=H61,0,IF($I$15-H62-H61&gt;0,(H62*G62),($I$15-H61)*G62))</f>
        <v>3510.0000000000005</v>
      </c>
    </row>
    <row r="63" spans="5:9" ht="15">
      <c r="E63" s="127">
        <v>28000</v>
      </c>
      <c r="F63" s="128">
        <v>55000</v>
      </c>
      <c r="G63" s="129">
        <v>0.38</v>
      </c>
      <c r="H63" s="125">
        <f>+IF(I$18&gt;=F63,0,IF(I$20&lt;=F63,$I$15-H62-H61,IF(I$20&gt;=F63,IF(I$18&lt;F63,F63-I$18-H62-H61,0))))</f>
        <v>27000</v>
      </c>
      <c r="I63" s="126">
        <f>+IF($I$15&lt;=H62,0,IF($I$15-H63-H62&gt;0,H63*G63,$I$15-H62)*G63)</f>
        <v>3898.8</v>
      </c>
    </row>
    <row r="64" spans="5:9" ht="15">
      <c r="E64" s="127">
        <v>55000</v>
      </c>
      <c r="F64" s="128">
        <v>75000</v>
      </c>
      <c r="G64" s="129">
        <v>0.41</v>
      </c>
      <c r="H64" s="125">
        <f>+IF(I$18&gt;=F64,0,IF(I$20&lt;=F64,$I$15-H63-H62-H61,IF(I$20&gt;=F64,IF(I$18&lt;=F64,F64-I$18-H63-H62-H61,0))))</f>
        <v>20000</v>
      </c>
      <c r="I64" s="126">
        <f>+IF($I$15&lt;=H63,0,IF($I$15-H64-H63&gt;0,H64*G64,($I$15-H63)*G64))</f>
        <v>8200</v>
      </c>
    </row>
    <row r="65" spans="5:9" ht="15">
      <c r="E65" s="130">
        <v>75000</v>
      </c>
      <c r="F65" s="131"/>
      <c r="G65" s="132">
        <v>0.43</v>
      </c>
      <c r="H65" s="133">
        <f>+IF(I$20&lt;=E65,0,IF(I$18&gt;=E65,(I$20-E65+E65-I$18),+((I$18+$I$15)-E65)))</f>
        <v>5407.092497147663</v>
      </c>
      <c r="I65" s="134">
        <f>+IF($H$15&lt;=H64,0,IF($H$15-H65-H64&gt;0,H65*G65,($I$15-H64)*G65))</f>
        <v>2325.0497737734954</v>
      </c>
    </row>
    <row r="66" spans="8:9" ht="15">
      <c r="H66" s="3" t="s">
        <v>16</v>
      </c>
      <c r="I66" s="135">
        <f>SUM(I61:I65)</f>
        <v>21383.849773773494</v>
      </c>
    </row>
    <row r="67" ht="15.75" thickBot="1"/>
    <row r="68" spans="6:10" ht="15">
      <c r="F68" s="217" t="s">
        <v>420</v>
      </c>
      <c r="G68" s="218"/>
      <c r="H68" s="219"/>
      <c r="I68" s="118"/>
      <c r="J68" s="119">
        <f>+J14</f>
        <v>2021</v>
      </c>
    </row>
    <row r="69" spans="6:10" ht="15">
      <c r="F69" s="120" t="s">
        <v>421</v>
      </c>
      <c r="G69" s="121" t="s">
        <v>422</v>
      </c>
      <c r="H69" s="121" t="s">
        <v>423</v>
      </c>
      <c r="I69" s="121" t="s">
        <v>424</v>
      </c>
      <c r="J69" s="121" t="s">
        <v>425</v>
      </c>
    </row>
    <row r="70" spans="6:10" ht="15">
      <c r="F70" s="122">
        <v>0</v>
      </c>
      <c r="G70" s="123">
        <v>15000</v>
      </c>
      <c r="H70" s="124">
        <v>0.23</v>
      </c>
      <c r="I70" s="125">
        <f>+IF(J$18&gt;=G70,0,IF(J$20&lt;=G70,$I$15,IF(J$20&gt;=G70,IF(J$18&lt;G70,G70-J$18,0))))</f>
        <v>15000</v>
      </c>
      <c r="J70" s="126">
        <f>+IF($J$15&lt;I70,$J$15*H70,I70*H70)</f>
        <v>3450</v>
      </c>
    </row>
    <row r="71" spans="6:10" ht="15">
      <c r="F71" s="127">
        <v>15000</v>
      </c>
      <c r="G71" s="128">
        <v>28000</v>
      </c>
      <c r="H71" s="129">
        <v>0.27</v>
      </c>
      <c r="I71" s="125">
        <f>+IF(J$18&gt;=G71,0,IF(J$20&lt;=G71,$H$15-I70,IF(J$20&gt;=G71,IF(J$18&lt;G71,G71-J$18-I70,0))))</f>
        <v>13000</v>
      </c>
      <c r="J71" s="126">
        <f>+IF($J$15&lt;=I70,0,IF($J$15-I71-I70&gt;0,(I71*H71),($J$15-I70)*H71))</f>
        <v>3510.0000000000005</v>
      </c>
    </row>
    <row r="72" spans="6:10" ht="15">
      <c r="F72" s="127">
        <v>28000</v>
      </c>
      <c r="G72" s="128">
        <v>55000</v>
      </c>
      <c r="H72" s="129">
        <v>0.38</v>
      </c>
      <c r="I72" s="125">
        <f>+IF(J$18&gt;=G72,0,IF(J$20&lt;=G72,$H$15-I71-I70,IF(J$20&gt;=G72,IF(J$18&lt;G72,G72-J$18-I71-I70,0))))</f>
        <v>27000</v>
      </c>
      <c r="J72" s="126">
        <f>+IF($J$15&lt;=I71,0,IF($J$15-I72-I71&gt;0,I72*H72,$J$15-I71)*H72)</f>
        <v>3898.8</v>
      </c>
    </row>
    <row r="73" spans="6:10" ht="15">
      <c r="F73" s="127">
        <v>55000</v>
      </c>
      <c r="G73" s="128">
        <v>75000</v>
      </c>
      <c r="H73" s="129">
        <v>0.41</v>
      </c>
      <c r="I73" s="125">
        <f>+IF(J$18&gt;=G73,0,IF(J$20&lt;=G73,$H$15-I72-I71-I70,IF(J$20&gt;=G73,IF(J$18&lt;=G73,G73-J$18-I72-I71-I70,0))))</f>
        <v>-7613.687153632054</v>
      </c>
      <c r="J73" s="126">
        <f>+IF($J$15&lt;=I72,0,IF($J$15-I73-I72&gt;0,I73*H73,($J$15-I72)*H73))</f>
        <v>-3121.611732989142</v>
      </c>
    </row>
    <row r="74" spans="6:10" ht="15">
      <c r="F74" s="130">
        <v>75000</v>
      </c>
      <c r="G74" s="131"/>
      <c r="H74" s="132">
        <v>0.43</v>
      </c>
      <c r="I74" s="133">
        <f>+IF(J$20&lt;=F74,0,IF(J$18&gt;=F74,(J$20-F74+F74-J$18),+((J$18+$J$15)-F74)))</f>
        <v>0</v>
      </c>
      <c r="J74" s="134">
        <f>+IF($J$15&lt;=I73,0,IF($J$15-I74-I73&gt;0,I74*H74,($J$15-I73)*H74))</f>
        <v>0</v>
      </c>
    </row>
    <row r="75" spans="9:10" ht="15">
      <c r="I75" s="3" t="s">
        <v>16</v>
      </c>
      <c r="J75" s="135">
        <f>SUM(J70:J74)</f>
        <v>7737.188267010857</v>
      </c>
    </row>
  </sheetData>
  <sheetProtection/>
  <mergeCells count="5">
    <mergeCell ref="B32:D32"/>
    <mergeCell ref="C41:E41"/>
    <mergeCell ref="D50:F50"/>
    <mergeCell ref="E59:G59"/>
    <mergeCell ref="F68:H6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5"/>
      <c r="C2" s="6"/>
      <c r="D2" s="6"/>
      <c r="E2" s="6"/>
      <c r="F2" s="6"/>
      <c r="G2" s="6"/>
      <c r="H2" s="6"/>
      <c r="I2" s="6"/>
      <c r="J2" s="7"/>
    </row>
    <row r="3" spans="2:10" ht="15">
      <c r="B3" s="13"/>
      <c r="C3" s="14" t="s">
        <v>277</v>
      </c>
      <c r="D3" s="80">
        <v>0.039</v>
      </c>
      <c r="E3" s="14"/>
      <c r="F3" s="14"/>
      <c r="G3" s="14"/>
      <c r="H3" s="14"/>
      <c r="I3" s="14"/>
      <c r="J3" s="12"/>
    </row>
    <row r="4" spans="2:10" ht="15">
      <c r="B4" s="13"/>
      <c r="C4" s="14"/>
      <c r="D4" s="14"/>
      <c r="E4" s="14"/>
      <c r="F4" s="14"/>
      <c r="G4" s="14"/>
      <c r="H4" s="14"/>
      <c r="I4" s="14"/>
      <c r="J4" s="12"/>
    </row>
    <row r="5" spans="2:10" ht="15">
      <c r="B5" s="13"/>
      <c r="C5" s="14"/>
      <c r="D5" s="81"/>
      <c r="E5" s="10">
        <f>+SP!C3</f>
        <v>2017</v>
      </c>
      <c r="F5" s="10">
        <f>+SP!D3</f>
        <v>2018</v>
      </c>
      <c r="G5" s="10">
        <f>+SP!E3</f>
        <v>2019</v>
      </c>
      <c r="H5" s="10">
        <f>+SP!F3</f>
        <v>2020</v>
      </c>
      <c r="I5" s="10">
        <f>+SP!G3</f>
        <v>2021</v>
      </c>
      <c r="J5" s="12"/>
    </row>
    <row r="6" spans="2:10" ht="15">
      <c r="B6" s="13"/>
      <c r="C6" s="14"/>
      <c r="D6" s="9" t="s">
        <v>271</v>
      </c>
      <c r="E6" s="28">
        <f>+IF(Input!$D$25="Principio cassa",'Irpef Cassa'!D16,'CE'!D52)</f>
        <v>-235340.90004363787</v>
      </c>
      <c r="F6" s="28">
        <f>+IF(Input!$D$25="Principio cassa",'Irpef Cassa'!E16,'CE'!E52)</f>
        <v>206555.80209376462</v>
      </c>
      <c r="G6" s="28">
        <f>+IF(Input!$D$25="Principio cassa",'Irpef Cassa'!F16,'CE'!F52)</f>
        <v>94772.62569273589</v>
      </c>
      <c r="H6" s="28">
        <f>+IF(Input!$D$25="Principio cassa",'Irpef Cassa'!G16,'CE'!G52)</f>
        <v>160814.18499429533</v>
      </c>
      <c r="I6" s="28">
        <f>+IF(Input!$D$25="Principio cassa",'Irpef Cassa'!H16,'CE'!H52)</f>
        <v>117492.56900031582</v>
      </c>
      <c r="J6" s="12"/>
    </row>
    <row r="7" spans="2:10" ht="15">
      <c r="B7" s="13"/>
      <c r="C7" s="14"/>
      <c r="D7" s="14"/>
      <c r="E7" s="14"/>
      <c r="F7" s="14"/>
      <c r="G7" s="14"/>
      <c r="H7" s="14"/>
      <c r="I7" s="14"/>
      <c r="J7" s="12"/>
    </row>
    <row r="8" spans="2:10" ht="15">
      <c r="B8" s="13"/>
      <c r="C8" s="14"/>
      <c r="D8" s="14" t="s">
        <v>272</v>
      </c>
      <c r="E8" s="14"/>
      <c r="F8" s="14"/>
      <c r="G8" s="14"/>
      <c r="H8" s="14"/>
      <c r="I8" s="14"/>
      <c r="J8" s="12"/>
    </row>
    <row r="9" spans="2:10" ht="15">
      <c r="B9" s="13"/>
      <c r="C9" s="14"/>
      <c r="D9" s="14" t="s">
        <v>273</v>
      </c>
      <c r="E9" s="194">
        <f>+IF(Input!$D$25="Principio cassa",'Irpef Cassa'!D8,'CE'!D55)</f>
        <v>56175</v>
      </c>
      <c r="F9" s="27">
        <f>+'CE'!E39</f>
        <v>59283</v>
      </c>
      <c r="G9" s="27">
        <f>+'CE'!F39</f>
        <v>59283</v>
      </c>
      <c r="H9" s="27">
        <f>+'CE'!G39</f>
        <v>59283</v>
      </c>
      <c r="I9" s="27">
        <f>+'CE'!H39</f>
        <v>59283</v>
      </c>
      <c r="J9" s="12"/>
    </row>
    <row r="10" spans="2:10" ht="15">
      <c r="B10" s="13"/>
      <c r="C10" s="14"/>
      <c r="D10" s="14" t="s">
        <v>226</v>
      </c>
      <c r="E10" s="27">
        <f>+'CE'!D42</f>
        <v>0</v>
      </c>
      <c r="F10" s="27">
        <f>+'CE'!E42</f>
        <v>0</v>
      </c>
      <c r="G10" s="27">
        <f>+'CE'!F42</f>
        <v>0</v>
      </c>
      <c r="H10" s="27">
        <f>+'CE'!G42</f>
        <v>0</v>
      </c>
      <c r="I10" s="27">
        <f>+'CE'!H42</f>
        <v>0</v>
      </c>
      <c r="J10" s="12"/>
    </row>
    <row r="11" spans="2:10" ht="15">
      <c r="B11" s="13"/>
      <c r="C11" s="14"/>
      <c r="D11" s="9" t="s">
        <v>274</v>
      </c>
      <c r="E11" s="28">
        <f>SUM(E9:E10)</f>
        <v>56175</v>
      </c>
      <c r="F11" s="28">
        <f>SUM(F9:F10)</f>
        <v>59283</v>
      </c>
      <c r="G11" s="28">
        <f>SUM(G9:G10)</f>
        <v>59283</v>
      </c>
      <c r="H11" s="28">
        <f>SUM(H9:H10)</f>
        <v>59283</v>
      </c>
      <c r="I11" s="28">
        <f>SUM(I9:I10)</f>
        <v>59283</v>
      </c>
      <c r="J11" s="12"/>
    </row>
    <row r="12" spans="2:10" ht="15">
      <c r="B12" s="13"/>
      <c r="C12" s="14"/>
      <c r="D12" s="14"/>
      <c r="E12" s="14"/>
      <c r="F12" s="14"/>
      <c r="G12" s="14"/>
      <c r="H12" s="14"/>
      <c r="I12" s="14"/>
      <c r="J12" s="12"/>
    </row>
    <row r="13" spans="2:10" ht="15">
      <c r="B13" s="13"/>
      <c r="C13" s="14"/>
      <c r="D13" s="14"/>
      <c r="E13" s="14"/>
      <c r="F13" s="14"/>
      <c r="G13" s="14"/>
      <c r="H13" s="14"/>
      <c r="I13" s="14"/>
      <c r="J13" s="12"/>
    </row>
    <row r="14" spans="2:10" ht="15">
      <c r="B14" s="13"/>
      <c r="C14" s="14"/>
      <c r="D14" s="14" t="s">
        <v>275</v>
      </c>
      <c r="E14" s="37">
        <f>+E6+E11</f>
        <v>-179165.90004363787</v>
      </c>
      <c r="F14" s="37">
        <f>+F6+F11</f>
        <v>265838.80209376465</v>
      </c>
      <c r="G14" s="37">
        <f>+G6+G11</f>
        <v>154055.6256927359</v>
      </c>
      <c r="H14" s="37">
        <f>+H6+H11</f>
        <v>220097.18499429533</v>
      </c>
      <c r="I14" s="37">
        <f>+I6+I11</f>
        <v>176775.56900031582</v>
      </c>
      <c r="J14" s="12"/>
    </row>
    <row r="15" spans="2:10" ht="15">
      <c r="B15" s="13"/>
      <c r="C15" s="14"/>
      <c r="D15" s="14"/>
      <c r="E15" s="14"/>
      <c r="F15" s="14"/>
      <c r="G15" s="14"/>
      <c r="H15" s="14"/>
      <c r="I15" s="14"/>
      <c r="J15" s="12"/>
    </row>
    <row r="16" spans="2:10" ht="15">
      <c r="B16" s="13"/>
      <c r="C16" s="14"/>
      <c r="D16" s="14" t="s">
        <v>278</v>
      </c>
      <c r="E16" s="37">
        <f>+IF(E14&lt;0,0,E14*$D$3)</f>
        <v>0</v>
      </c>
      <c r="F16" s="37">
        <f>+IF(F14&lt;0,0,F14*$D$3)</f>
        <v>10367.713281656821</v>
      </c>
      <c r="G16" s="37">
        <f>+IF(G14&lt;0,0,G14*$D$3)</f>
        <v>6008.1694020167</v>
      </c>
      <c r="H16" s="37">
        <f>+IF(H14&lt;0,0,H14*$D$3)</f>
        <v>8583.790214777518</v>
      </c>
      <c r="I16" s="37">
        <f>+IF(I14&lt;0,0,I14*$D$3)</f>
        <v>6894.247191012317</v>
      </c>
      <c r="J16" s="12"/>
    </row>
    <row r="17" spans="2:10" ht="15">
      <c r="B17" s="13"/>
      <c r="C17" s="14"/>
      <c r="D17" s="14"/>
      <c r="E17" s="14"/>
      <c r="F17" s="14"/>
      <c r="G17" s="14"/>
      <c r="H17" s="14"/>
      <c r="I17" s="14"/>
      <c r="J17" s="12"/>
    </row>
    <row r="18" spans="2:10" ht="15">
      <c r="B18" s="13"/>
      <c r="C18" s="14"/>
      <c r="D18" s="14" t="s">
        <v>279</v>
      </c>
      <c r="E18" s="14">
        <v>0</v>
      </c>
      <c r="F18" s="37">
        <f>+E16*2</f>
        <v>0</v>
      </c>
      <c r="G18" s="37">
        <f>+F16</f>
        <v>10367.713281656821</v>
      </c>
      <c r="H18" s="37">
        <f>+G16</f>
        <v>6008.1694020167</v>
      </c>
      <c r="I18" s="37">
        <f>+H16</f>
        <v>8583.790214777518</v>
      </c>
      <c r="J18" s="12"/>
    </row>
    <row r="19" spans="2:10" ht="15">
      <c r="B19" s="13"/>
      <c r="C19" s="14"/>
      <c r="D19" s="14"/>
      <c r="E19" s="14"/>
      <c r="F19" s="14"/>
      <c r="G19" s="14"/>
      <c r="H19" s="14"/>
      <c r="I19" s="14"/>
      <c r="J19" s="12"/>
    </row>
    <row r="20" spans="2:10" ht="15">
      <c r="B20" s="13"/>
      <c r="C20" s="14"/>
      <c r="D20" s="14" t="s">
        <v>280</v>
      </c>
      <c r="E20" s="37">
        <f>+IF($E$16-$E$18&gt;0,$E$16-$E$18,0)</f>
        <v>0</v>
      </c>
      <c r="F20" s="37">
        <f>+IF(SUM(E$16:F16)-SUM($E$18:$F$18)&gt;0,SUM($E$16:$F$16)-SUM($E$18:$F$18),0)</f>
        <v>10367.713281656821</v>
      </c>
      <c r="G20" s="37">
        <f>+IF(SUM($E$16:$G$16)-SUM($E$18:$G$18)&gt;0,SUM($E$16:$G$16)-SUM($E$18:$G$18),0)</f>
        <v>6008.1694020167</v>
      </c>
      <c r="H20" s="37">
        <f>+IF(SUM($E$16:$H$16)-SUM($E$18:$H$18)&gt;0,SUM($E$16:$H$16)-SUM($E$18:$H$18),0)</f>
        <v>8583.79021477752</v>
      </c>
      <c r="I20" s="37">
        <f>+IF(SUM($E$16:$I$16)-SUM($E$18:$I$18)&gt;0,SUM($E$16:$I$16)-SUM($E$18:$I$18),0)</f>
        <v>6894.247191012317</v>
      </c>
      <c r="J20" s="12"/>
    </row>
    <row r="21" spans="2:10" ht="15">
      <c r="B21" s="13"/>
      <c r="C21" s="14"/>
      <c r="D21" s="14" t="s">
        <v>281</v>
      </c>
      <c r="E21" s="37">
        <f>+IF($E$16-$E$18&lt;0,-($E$16-$E$18),0)</f>
        <v>0</v>
      </c>
      <c r="F21" s="37">
        <f>+IF(SUM(E$16:F17)-SUM($E$18:$F$18)&lt;0,-(SUM($E$16:$F$16)-SUM($E$18:$F$18)),0)</f>
        <v>0</v>
      </c>
      <c r="G21" s="37">
        <f>+IF(SUM($E$16:$G$16)-SUM($E$18:$G$18)&lt;0,-(SUM($E$16:$G$16)-SUM($E$18:$G$18)),0)</f>
        <v>0</v>
      </c>
      <c r="H21" s="37">
        <f>+IF(SUM($E$16:$H$16)-SUM($E$18:$H$18)&lt;0,-(SUM($E$16:$H$16)-SUM($E$18:$H$18)),0)</f>
        <v>0</v>
      </c>
      <c r="I21" s="37">
        <f>+IF(SUM($E$16:$I$16)-SUM($E$18:$I$18)&lt;0,-(SUM($E$16:$I$16)-SUM($E$18:$I$18)),0)</f>
        <v>0</v>
      </c>
      <c r="J21" s="12"/>
    </row>
    <row r="22" spans="2:10" ht="15">
      <c r="B22" s="13"/>
      <c r="C22" s="14"/>
      <c r="D22" s="14"/>
      <c r="E22" s="14"/>
      <c r="F22" s="14"/>
      <c r="G22" s="14"/>
      <c r="H22" s="14"/>
      <c r="I22" s="14"/>
      <c r="J22" s="12"/>
    </row>
    <row r="23" spans="2:10" ht="15">
      <c r="B23" s="13"/>
      <c r="C23" s="14"/>
      <c r="D23" s="14" t="s">
        <v>39</v>
      </c>
      <c r="E23" s="37">
        <f>+E18</f>
        <v>0</v>
      </c>
      <c r="F23" s="37">
        <f>+F18</f>
        <v>0</v>
      </c>
      <c r="G23" s="37">
        <f>+G18</f>
        <v>10367.713281656821</v>
      </c>
      <c r="H23" s="37">
        <f>+H18</f>
        <v>6008.1694020167</v>
      </c>
      <c r="I23" s="37">
        <f>+I18</f>
        <v>8583.790214777518</v>
      </c>
      <c r="J23" s="12"/>
    </row>
    <row r="24" spans="2:10" ht="15">
      <c r="B24" s="13"/>
      <c r="C24" s="14"/>
      <c r="D24" s="14"/>
      <c r="E24" s="14"/>
      <c r="F24" s="14"/>
      <c r="G24" s="14"/>
      <c r="H24" s="14"/>
      <c r="I24" s="14"/>
      <c r="J24" s="12"/>
    </row>
    <row r="25" spans="2:10" ht="15.75" thickBot="1">
      <c r="B25" s="15"/>
      <c r="C25" s="16"/>
      <c r="D25" s="16"/>
      <c r="E25" s="16"/>
      <c r="F25" s="16"/>
      <c r="G25" s="16"/>
      <c r="H25" s="16"/>
      <c r="I25" s="16"/>
      <c r="J25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4">
        <f>+SP!C3</f>
        <v>2017</v>
      </c>
      <c r="D2" s="4">
        <f>+SP!D3</f>
        <v>2018</v>
      </c>
      <c r="E2" s="4">
        <f>+SP!E3</f>
        <v>2019</v>
      </c>
      <c r="F2" s="4">
        <f>+SP!F3</f>
        <v>2020</v>
      </c>
      <c r="G2" s="4">
        <f>+SP!G3</f>
        <v>2021</v>
      </c>
    </row>
    <row r="3" spans="2:7" ht="15">
      <c r="B3" t="s">
        <v>38</v>
      </c>
      <c r="C3" s="20">
        <f>+MCL!D29+finanziamento!E33+Input!D44+CFP!D6+CFP!D18+CFP!D37</f>
        <v>732336.999454527</v>
      </c>
      <c r="D3" s="20">
        <f>+MCL!E29+finanziamento!F33+Input!E44+C3+CFP!E6+CFP!E18+CFP!E37</f>
        <v>1214616.1661211937</v>
      </c>
      <c r="E3" s="20">
        <f>+MCL!F29+finanziamento!G33+Input!F44+D3+CFP!F6+CFP!F18+CFP!F37</f>
        <v>1795124.4994545272</v>
      </c>
      <c r="F3" s="20">
        <f>+MCL!G29+finanziamento!H33+Input!G44+E3+CFP!G6+CFP!G18+CFP!G37</f>
        <v>2380724.499454527</v>
      </c>
      <c r="G3" s="20">
        <f>+MCL!H29+finanziamento!I33+Input!H44+F3+CFP!H6+CFP!H18+CFP!H37</f>
        <v>2966324.499454527</v>
      </c>
    </row>
    <row r="4" spans="2:7" ht="15">
      <c r="B4" t="s">
        <v>63</v>
      </c>
      <c r="C4" s="20">
        <f>+MCL!M29+Inve!M20+Personale!D23+finanziamento!E34+'Altri costi'!D51+Iva!C27+Irap!E23</f>
        <v>672781.2857142857</v>
      </c>
      <c r="D4" s="20">
        <f>+MCL!N29+Inve!N20+Personale!E23+finanziamento!F34+'Altri costi'!E51+Iva!D27+Irap!F23+Input!D45+C4</f>
        <v>950922.5005454728</v>
      </c>
      <c r="E4" s="20">
        <f>+MCL!O29+Inve!O20+Personale!F23+finanziamento!G34+'Altri costi'!F51+Iva!E27+Irap!G23+Input!E45+D4</f>
        <v>1472280.6667535552</v>
      </c>
      <c r="F4" s="20">
        <f>+MCL!P29+Inve!P20+Personale!G23+finanziamento!H34+'Altri costi'!G51+Iva!F27+Irap!H23+Input!F45+E4</f>
        <v>1935508.3843200924</v>
      </c>
      <c r="G4" s="20">
        <f>+MCL!Q29+Inve!Q20+Personale!H23+finanziamento!I34+'Altri costi'!H51+Iva!G27+Irap!I23+Input!G45+F4</f>
        <v>2453145.0560327237</v>
      </c>
    </row>
    <row r="6" spans="2:7" ht="15">
      <c r="B6" t="s">
        <v>315</v>
      </c>
      <c r="C6" s="76">
        <f>+IF((C3-C4)&gt;0,(C3-C4),0)</f>
        <v>59555.713740241365</v>
      </c>
      <c r="D6" s="76">
        <f>+IF((D3-D4)&gt;0,(D3-D4),0)</f>
        <v>263693.66557572084</v>
      </c>
      <c r="E6" s="76">
        <f>+IF((E3-E4)&gt;0,(E3-E4),0)</f>
        <v>322843.832700972</v>
      </c>
      <c r="F6" s="76">
        <f>+IF((F3-F4)&gt;0,(F3-F4),0)</f>
        <v>445216.1151344348</v>
      </c>
      <c r="G6" s="76">
        <f>+IF((G3-G4)&gt;0,(G3-G4),0)</f>
        <v>513179.4434218034</v>
      </c>
    </row>
    <row r="7" spans="2:7" ht="15">
      <c r="B7" t="s">
        <v>316</v>
      </c>
      <c r="C7" s="76">
        <f>+IF((C3-C4)&lt;0,-(C3-C4),0)</f>
        <v>0</v>
      </c>
      <c r="D7" s="76">
        <f>+IF((D3-D4)&lt;0,-(D3-D4),0)</f>
        <v>0</v>
      </c>
      <c r="E7" s="76">
        <f>+IF((E3-E4)&lt;0,-(E3-E4),0)</f>
        <v>0</v>
      </c>
      <c r="F7" s="76">
        <f>+IF((F3-F4)&lt;0,-(F3-F4),0)</f>
        <v>0</v>
      </c>
      <c r="G7" s="76">
        <f>+IF((G3-G4)&lt;0,-(G3-G4),0)</f>
        <v>0</v>
      </c>
    </row>
    <row r="9" spans="2:7" ht="15">
      <c r="B9" t="s">
        <v>317</v>
      </c>
      <c r="C9" s="76">
        <f>+C7*Input!$D$133</f>
        <v>0</v>
      </c>
      <c r="D9" s="76">
        <f>+D7*Input!$D$133</f>
        <v>0</v>
      </c>
      <c r="E9" s="76">
        <f>+E7*Input!$D$133</f>
        <v>0</v>
      </c>
      <c r="F9" s="76">
        <f>+F7*Input!$D$133</f>
        <v>0</v>
      </c>
      <c r="G9" s="76">
        <f>+G7*Input!$D$133</f>
        <v>0</v>
      </c>
    </row>
    <row r="10" spans="2:7" ht="15">
      <c r="B10" t="s">
        <v>323</v>
      </c>
      <c r="C10" s="76">
        <f>+C6*Input!$D$135</f>
        <v>4764.457099219309</v>
      </c>
      <c r="D10" s="76">
        <f>+D6*Input!$D$135</f>
        <v>21095.493246057667</v>
      </c>
      <c r="E10" s="76">
        <f>+E6*Input!$D$135</f>
        <v>25827.50661607776</v>
      </c>
      <c r="F10" s="76">
        <f>+F6*Input!$D$135</f>
        <v>35617.28921075478</v>
      </c>
      <c r="G10" s="76">
        <f>+G6*Input!$D$135</f>
        <v>41054.355473744276</v>
      </c>
    </row>
    <row r="12" ht="15">
      <c r="B12" t="s">
        <v>342</v>
      </c>
    </row>
    <row r="13" spans="2:7" ht="15">
      <c r="B13" t="s">
        <v>317</v>
      </c>
      <c r="C13" s="76">
        <f>+C7*Input!$D$133</f>
        <v>0</v>
      </c>
      <c r="D13" s="76">
        <f>+D7*Input!$D$133+C13</f>
        <v>0</v>
      </c>
      <c r="E13" s="76">
        <f>+E7*Input!$D$133+D13</f>
        <v>0</v>
      </c>
      <c r="F13" s="76">
        <f>+F7*Input!$D$133+E13</f>
        <v>0</v>
      </c>
      <c r="G13" s="76">
        <f>+G7*Input!$D$133+F13</f>
        <v>0</v>
      </c>
    </row>
    <row r="14" spans="2:7" ht="15">
      <c r="B14" t="s">
        <v>323</v>
      </c>
      <c r="C14" s="76">
        <f>+C6*Input!D135</f>
        <v>4764.457099219309</v>
      </c>
      <c r="D14" s="76">
        <f>+D6*Input!$D$135+C14</f>
        <v>25859.95034527698</v>
      </c>
      <c r="E14" s="76">
        <f>+E6*Input!$D$135+D14</f>
        <v>51687.456961354736</v>
      </c>
      <c r="F14" s="76">
        <f>+F6*Input!$D$135+E14</f>
        <v>87304.74617210952</v>
      </c>
      <c r="G14" s="76">
        <f>+G6*Input!$D$135+F14</f>
        <v>128359.10164585379</v>
      </c>
    </row>
    <row r="16" spans="2:7" ht="15">
      <c r="B16" t="s">
        <v>319</v>
      </c>
      <c r="C16" s="76">
        <f>+C13</f>
        <v>0</v>
      </c>
      <c r="D16" s="76">
        <f aca="true" t="shared" si="0" ref="D16:G17">+D13</f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</row>
    <row r="17" spans="2:7" ht="15">
      <c r="B17" t="s">
        <v>324</v>
      </c>
      <c r="C17" s="76">
        <f>+C14</f>
        <v>4764.457099219309</v>
      </c>
      <c r="D17" s="76">
        <f t="shared" si="0"/>
        <v>25859.95034527698</v>
      </c>
      <c r="E17" s="76">
        <f t="shared" si="0"/>
        <v>51687.456961354736</v>
      </c>
      <c r="F17" s="76">
        <f t="shared" si="0"/>
        <v>87304.74617210952</v>
      </c>
      <c r="G17" s="76">
        <f t="shared" si="0"/>
        <v>128359.10164585379</v>
      </c>
    </row>
    <row r="18" spans="3:7" ht="15">
      <c r="C18" s="76"/>
      <c r="D18" s="76"/>
      <c r="E18" s="76"/>
      <c r="F18" s="76"/>
      <c r="G18" s="76"/>
    </row>
    <row r="19" spans="2:7" ht="15">
      <c r="B19" t="s">
        <v>343</v>
      </c>
      <c r="C19" s="76"/>
      <c r="D19" s="76"/>
      <c r="E19" s="76"/>
      <c r="F19" s="76"/>
      <c r="G19" s="76"/>
    </row>
    <row r="20" spans="2:7" ht="15">
      <c r="B20" t="s">
        <v>38</v>
      </c>
      <c r="C20" s="76">
        <f>+C3+C17</f>
        <v>737101.4565537464</v>
      </c>
      <c r="D20" s="76">
        <f>+D3+D17</f>
        <v>1240476.1164664708</v>
      </c>
      <c r="E20" s="76">
        <f>+E3+E17</f>
        <v>1846811.9564158819</v>
      </c>
      <c r="F20" s="76">
        <f>+F3+F17</f>
        <v>2468029.245626637</v>
      </c>
      <c r="G20" s="76">
        <f>+G3+G17</f>
        <v>3094683.601100381</v>
      </c>
    </row>
    <row r="21" spans="2:7" ht="15">
      <c r="B21" t="s">
        <v>63</v>
      </c>
      <c r="C21" s="76">
        <f>+C4+C16</f>
        <v>672781.2857142857</v>
      </c>
      <c r="D21" s="76">
        <f>+D4+D16</f>
        <v>950922.5005454728</v>
      </c>
      <c r="E21" s="76">
        <f>+E4+E16</f>
        <v>1472280.6667535552</v>
      </c>
      <c r="F21" s="76">
        <f>+F4+F16</f>
        <v>1935508.3843200924</v>
      </c>
      <c r="G21" s="76">
        <f>+G4+G16</f>
        <v>2453145.0560327237</v>
      </c>
    </row>
    <row r="23" spans="2:7" ht="15">
      <c r="B23" t="s">
        <v>315</v>
      </c>
      <c r="C23" s="76">
        <f>+IF((C20-C21)&gt;0,(C20-C21),0)</f>
        <v>64320.17083946068</v>
      </c>
      <c r="D23" s="76">
        <f>+IF((D20-D21)&gt;0,(D20-D21),0)</f>
        <v>289553.6159209979</v>
      </c>
      <c r="E23" s="76">
        <f>+IF((E20-E21)&gt;0,(E20-E21),0)</f>
        <v>374531.2896623267</v>
      </c>
      <c r="F23" s="76">
        <f>+IF((F20-F21)&gt;0,(F20-F21),0)</f>
        <v>532520.8613065444</v>
      </c>
      <c r="G23" s="76">
        <f>+IF((G20-G21)&gt;0,(G20-G21),0)</f>
        <v>641538.5450676573</v>
      </c>
    </row>
    <row r="24" spans="2:7" ht="15">
      <c r="B24" t="s">
        <v>316</v>
      </c>
      <c r="C24" s="76">
        <f>+IF((C20-C21)&lt;0,-(C20-C21),0)</f>
        <v>0</v>
      </c>
      <c r="D24" s="76">
        <f>+IF((D20-D21)&lt;0,-(D20-D21),0)</f>
        <v>0</v>
      </c>
      <c r="E24" s="76">
        <f>+IF((E20-E21)&lt;0,-(E20-E21),0)</f>
        <v>0</v>
      </c>
      <c r="F24" s="76">
        <f>+IF((F20-F21)&lt;0,-(F20-F21),0)</f>
        <v>0</v>
      </c>
      <c r="G24" s="76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Z482"/>
  <sheetViews>
    <sheetView showGridLines="0" tabSelected="1" zoomScalePageLayoutView="0" workbookViewId="0" topLeftCell="A2">
      <selection activeCell="J10" sqref="J10"/>
    </sheetView>
  </sheetViews>
  <sheetFormatPr defaultColWidth="9.140625" defaultRowHeight="15"/>
  <cols>
    <col min="1" max="1" width="11.57421875" style="0" customWidth="1"/>
    <col min="2" max="2" width="1.7109375" style="0" customWidth="1"/>
    <col min="3" max="3" width="45.00390625" style="0" bestFit="1" customWidth="1"/>
    <col min="4" max="4" width="20.7109375" style="0" bestFit="1" customWidth="1"/>
    <col min="5" max="5" width="12.57421875" style="0" customWidth="1"/>
    <col min="6" max="6" width="18.00390625" style="0" customWidth="1"/>
    <col min="7" max="7" width="11.421875" style="0" customWidth="1"/>
    <col min="8" max="8" width="13.140625" style="0" bestFit="1" customWidth="1"/>
    <col min="9" max="9" width="23.57421875" style="0" bestFit="1" customWidth="1"/>
    <col min="10" max="10" width="14.140625" style="0" customWidth="1"/>
    <col min="11" max="11" width="9.57421875" style="0" bestFit="1" customWidth="1"/>
    <col min="13" max="13" width="11.421875" style="0" customWidth="1"/>
    <col min="16" max="18" width="9.28125" style="0" bestFit="1" customWidth="1"/>
    <col min="19" max="20" width="9.57421875" style="0" bestFit="1" customWidth="1"/>
    <col min="30" max="30" width="11.00390625" style="0" bestFit="1" customWidth="1"/>
    <col min="31" max="31" width="15.57421875" style="0" bestFit="1" customWidth="1"/>
  </cols>
  <sheetData>
    <row r="1" spans="2:104" ht="15.75" thickBot="1">
      <c r="B1" s="195"/>
      <c r="C1" s="215" t="s">
        <v>440</v>
      </c>
      <c r="D1" s="216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</row>
    <row r="2" spans="2:104" ht="15.75" thickTop="1">
      <c r="B2" s="195"/>
      <c r="C2" s="197" t="s">
        <v>325</v>
      </c>
      <c r="D2" s="197" t="s">
        <v>284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</row>
    <row r="3" spans="2:104" ht="15">
      <c r="B3" s="195"/>
      <c r="C3" s="197" t="s">
        <v>326</v>
      </c>
      <c r="D3" s="197" t="s">
        <v>378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</row>
    <row r="4" spans="2:104" ht="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</row>
    <row r="5" spans="1:15" ht="15">
      <c r="A5" s="195"/>
      <c r="C5" s="138" t="s">
        <v>426</v>
      </c>
      <c r="E5" s="3"/>
      <c r="G5" s="3"/>
      <c r="I5" s="3"/>
      <c r="J5" s="86"/>
      <c r="O5" s="2" t="s">
        <v>329</v>
      </c>
    </row>
    <row r="6" ht="15.75" thickBot="1">
      <c r="A6" s="195"/>
    </row>
    <row r="7" spans="1:11" ht="15.75" thickBot="1">
      <c r="A7" s="195"/>
      <c r="B7" s="5"/>
      <c r="C7" s="88" t="s">
        <v>254</v>
      </c>
      <c r="D7" s="89"/>
      <c r="E7" s="89"/>
      <c r="F7" s="89"/>
      <c r="G7" s="89"/>
      <c r="H7" s="89"/>
      <c r="I7" s="90"/>
      <c r="K7" s="3"/>
    </row>
    <row r="8" spans="1:9" ht="16.5" thickBot="1" thickTop="1">
      <c r="A8" s="195"/>
      <c r="B8" s="13"/>
      <c r="C8" s="91"/>
      <c r="D8" s="140">
        <v>2017</v>
      </c>
      <c r="E8" s="141">
        <f>+D8+1</f>
        <v>2018</v>
      </c>
      <c r="F8" s="141">
        <f>+E8+1</f>
        <v>2019</v>
      </c>
      <c r="G8" s="141">
        <f>+F8+1</f>
        <v>2020</v>
      </c>
      <c r="H8" s="142">
        <f>+G8+1</f>
        <v>2021</v>
      </c>
      <c r="I8" s="93"/>
    </row>
    <row r="9" spans="1:9" ht="16.5" thickBot="1" thickTop="1">
      <c r="A9" s="195"/>
      <c r="B9" s="13"/>
      <c r="C9" s="139" t="s">
        <v>0</v>
      </c>
      <c r="D9" s="143">
        <f>+'CE'!D3</f>
        <v>450000</v>
      </c>
      <c r="E9" s="144">
        <f>+'CE'!E3</f>
        <v>460000</v>
      </c>
      <c r="F9" s="144">
        <f>+'CE'!F3</f>
        <v>480000</v>
      </c>
      <c r="G9" s="144">
        <f>+'CE'!G3</f>
        <v>480000</v>
      </c>
      <c r="H9" s="145">
        <f>+'CE'!H3</f>
        <v>480000</v>
      </c>
      <c r="I9" s="93"/>
    </row>
    <row r="10" spans="1:9" ht="16.5" thickBot="1" thickTop="1">
      <c r="A10" s="195"/>
      <c r="B10" s="13"/>
      <c r="C10" s="91"/>
      <c r="D10" s="92"/>
      <c r="E10" s="92"/>
      <c r="F10" s="99"/>
      <c r="G10" s="92"/>
      <c r="H10" s="92"/>
      <c r="I10" s="93"/>
    </row>
    <row r="11" spans="1:9" ht="16.5" thickBot="1" thickTop="1">
      <c r="A11" s="195"/>
      <c r="B11" s="13"/>
      <c r="C11" s="139" t="s">
        <v>336</v>
      </c>
      <c r="D11" s="143">
        <f>+'CE'!D57</f>
        <v>49738.59995636214</v>
      </c>
      <c r="E11" s="144">
        <f>+'CE'!E57</f>
        <v>72000.9221454411</v>
      </c>
      <c r="F11" s="144">
        <f>+'CE'!F57</f>
        <v>90748.12295738581</v>
      </c>
      <c r="G11" s="144">
        <f>+'CE'!G57</f>
        <v>99122.39477951787</v>
      </c>
      <c r="H11" s="145">
        <f>+'CE'!H57</f>
        <v>107490.32180930351</v>
      </c>
      <c r="I11" s="93"/>
    </row>
    <row r="12" spans="1:9" ht="16.5" thickBot="1" thickTop="1">
      <c r="A12" s="195"/>
      <c r="B12" s="13"/>
      <c r="C12" s="139" t="s">
        <v>337</v>
      </c>
      <c r="D12" s="143">
        <f>+D11*$D$31</f>
        <v>24869.29997818107</v>
      </c>
      <c r="E12" s="144">
        <f>+E11*$D$31</f>
        <v>36000.46107272055</v>
      </c>
      <c r="F12" s="144">
        <f>+F11*$D$31</f>
        <v>45374.06147869291</v>
      </c>
      <c r="G12" s="144">
        <f>+G11*$D$31</f>
        <v>49561.197389758934</v>
      </c>
      <c r="H12" s="145">
        <f>+H11*$D$31</f>
        <v>53745.160904651755</v>
      </c>
      <c r="I12" s="93"/>
    </row>
    <row r="13" spans="1:9" ht="16.5" thickBot="1" thickTop="1">
      <c r="A13" s="195"/>
      <c r="B13" s="13"/>
      <c r="C13" s="139" t="s">
        <v>271</v>
      </c>
      <c r="D13" s="143">
        <f>+Irpef!F6*$D$31</f>
        <v>-117670.45002181894</v>
      </c>
      <c r="E13" s="143">
        <f>+Irpef!G6*$D$31</f>
        <v>103277.90104688231</v>
      </c>
      <c r="F13" s="143">
        <f>+Irpef!H6*$D$31</f>
        <v>47386.312846367946</v>
      </c>
      <c r="G13" s="143">
        <f>+Irpef!I6*$D$31</f>
        <v>80407.09249714766</v>
      </c>
      <c r="H13" s="143">
        <f>+Irpef!J6*$D$31</f>
        <v>58746.28450015791</v>
      </c>
      <c r="I13" s="93"/>
    </row>
    <row r="14" spans="1:9" ht="16.5" thickBot="1" thickTop="1">
      <c r="A14" s="195"/>
      <c r="B14" s="13"/>
      <c r="C14" s="139" t="s">
        <v>275</v>
      </c>
      <c r="D14" s="143">
        <f>+Irap!E14*$D$31</f>
        <v>-89582.95002181894</v>
      </c>
      <c r="E14" s="143">
        <f>+Irap!F14*$D$31</f>
        <v>132919.40104688233</v>
      </c>
      <c r="F14" s="143">
        <f>+Irap!G14*$D$31</f>
        <v>77027.81284636795</v>
      </c>
      <c r="G14" s="143">
        <f>+Irap!H14*$D$31</f>
        <v>110048.59249714766</v>
      </c>
      <c r="H14" s="143">
        <f>+Irap!I14*$D$31</f>
        <v>88387.78450015791</v>
      </c>
      <c r="I14" s="93"/>
    </row>
    <row r="15" spans="1:9" ht="16.5" thickBot="1" thickTop="1">
      <c r="A15" s="195"/>
      <c r="B15" s="13"/>
      <c r="C15" s="91"/>
      <c r="D15" s="94"/>
      <c r="E15" s="94"/>
      <c r="F15" s="94"/>
      <c r="G15" s="94"/>
      <c r="H15" s="94"/>
      <c r="I15" s="211" t="s">
        <v>449</v>
      </c>
    </row>
    <row r="16" spans="1:9" ht="16.5" thickBot="1" thickTop="1">
      <c r="A16" s="195"/>
      <c r="B16" s="13"/>
      <c r="C16" s="139" t="s">
        <v>276</v>
      </c>
      <c r="D16" s="143">
        <f>+Irap!E16</f>
        <v>0</v>
      </c>
      <c r="E16" s="144">
        <f>+Irap!F16</f>
        <v>10367.713281656821</v>
      </c>
      <c r="F16" s="144">
        <f>+Irap!G16</f>
        <v>6008.1694020167</v>
      </c>
      <c r="G16" s="144">
        <f>+Irap!H16</f>
        <v>8583.790214777518</v>
      </c>
      <c r="H16" s="145">
        <f>+Irap!I16</f>
        <v>6894.247191012317</v>
      </c>
      <c r="I16" s="212">
        <f>+SUM(D16:H16)</f>
        <v>31853.920089463358</v>
      </c>
    </row>
    <row r="17" spans="1:9" ht="16.5" thickBot="1" thickTop="1">
      <c r="A17" s="195"/>
      <c r="B17" s="13"/>
      <c r="C17" s="139" t="s">
        <v>441</v>
      </c>
      <c r="D17" s="143">
        <f>+Irpef!F22</f>
        <v>0</v>
      </c>
      <c r="E17" s="144">
        <f>+Irpef!G22</f>
        <v>37579.4974501594</v>
      </c>
      <c r="F17" s="144">
        <f>+Irpef!H22</f>
        <v>9759.38357501553</v>
      </c>
      <c r="G17" s="144">
        <f>+Irpef!I22</f>
        <v>21383.849773773494</v>
      </c>
      <c r="H17" s="145">
        <f>+Irpef!J22</f>
        <v>7737.188267010857</v>
      </c>
      <c r="I17" s="212">
        <f>+SUM(D17:H17)</f>
        <v>76459.91906595927</v>
      </c>
    </row>
    <row r="18" spans="1:9" ht="16.5" thickBot="1" thickTop="1">
      <c r="A18" s="195"/>
      <c r="B18" s="13"/>
      <c r="C18" s="91"/>
      <c r="D18" s="94"/>
      <c r="E18" s="94"/>
      <c r="F18" s="94"/>
      <c r="G18" s="94"/>
      <c r="H18" s="94"/>
      <c r="I18" s="213">
        <f>SUM(I16:I17)</f>
        <v>108313.83915542263</v>
      </c>
    </row>
    <row r="19" spans="1:9" ht="16.5" thickBot="1" thickTop="1">
      <c r="A19" s="195"/>
      <c r="B19" s="13"/>
      <c r="C19" s="139" t="s">
        <v>344</v>
      </c>
      <c r="D19" s="143">
        <f>+'Cash Flow'!C8</f>
        <v>-296050.9285714286</v>
      </c>
      <c r="E19" s="144">
        <f>+'Cash Flow'!D8</f>
        <v>145613.30851975208</v>
      </c>
      <c r="F19" s="144">
        <f>+'Cash Flow'!E8</f>
        <v>-12305.448641544885</v>
      </c>
      <c r="G19" s="144">
        <f>+'Cash Flow'!F8</f>
        <v>53492.28747942748</v>
      </c>
      <c r="H19" s="145">
        <f>+'Cash Flow'!G8</f>
        <v>-2606.209690431868</v>
      </c>
      <c r="I19" s="93"/>
    </row>
    <row r="20" spans="1:9" ht="16.5" thickBot="1" thickTop="1">
      <c r="A20" s="195"/>
      <c r="B20" s="13"/>
      <c r="C20" s="139" t="s">
        <v>270</v>
      </c>
      <c r="D20" s="143">
        <f>+IF(SP!C4&gt;0,SP!C4,-SP!C26)</f>
        <v>64320.17083946068</v>
      </c>
      <c r="E20" s="144">
        <f>+IF(SP!D4&gt;0,SP!D4,-SP!D26)</f>
        <v>289553.6159209979</v>
      </c>
      <c r="F20" s="144">
        <f>+IF(SP!E4&gt;0,SP!E4,-SP!E26)</f>
        <v>374531.2896623267</v>
      </c>
      <c r="G20" s="144">
        <f>+IF(SP!F4&gt;0,SP!F4,-SP!F26)</f>
        <v>532520.8613065444</v>
      </c>
      <c r="H20" s="145">
        <f>+IF(SP!G4&gt;0,SP!G4,-SP!G26)</f>
        <v>641538.5450676573</v>
      </c>
      <c r="I20" s="93"/>
    </row>
    <row r="21" spans="1:9" ht="16.5" thickBot="1" thickTop="1">
      <c r="A21" s="195"/>
      <c r="B21" s="15"/>
      <c r="C21" s="95"/>
      <c r="D21" s="95"/>
      <c r="E21" s="95"/>
      <c r="F21" s="100"/>
      <c r="G21" s="95"/>
      <c r="H21" s="95"/>
      <c r="I21" s="96"/>
    </row>
    <row r="22" ht="15.75" thickBot="1">
      <c r="A22" s="195"/>
    </row>
    <row r="23" spans="1:9" ht="15">
      <c r="A23" s="195"/>
      <c r="B23" s="5"/>
      <c r="C23" s="6"/>
      <c r="D23" s="6"/>
      <c r="E23" s="6"/>
      <c r="F23" s="6"/>
      <c r="G23" s="6"/>
      <c r="H23" s="6"/>
      <c r="I23" s="7"/>
    </row>
    <row r="24" spans="1:9" ht="15.75" thickBot="1">
      <c r="A24" s="195"/>
      <c r="B24" s="13"/>
      <c r="C24" s="9" t="s">
        <v>266</v>
      </c>
      <c r="D24" s="14"/>
      <c r="E24" s="14"/>
      <c r="F24" s="14"/>
      <c r="G24" s="14"/>
      <c r="H24" s="14"/>
      <c r="I24" s="12"/>
    </row>
    <row r="25" spans="1:9" ht="16.5" thickBot="1" thickTop="1">
      <c r="A25" s="195"/>
      <c r="B25" s="13"/>
      <c r="C25" s="139" t="s">
        <v>437</v>
      </c>
      <c r="D25" s="146" t="s">
        <v>439</v>
      </c>
      <c r="E25" s="14"/>
      <c r="F25" s="14"/>
      <c r="G25" s="14"/>
      <c r="H25" s="14"/>
      <c r="I25" s="12"/>
    </row>
    <row r="26" spans="1:9" ht="16.5" thickBot="1" thickTop="1">
      <c r="A26" s="195"/>
      <c r="B26" s="13"/>
      <c r="C26" s="9"/>
      <c r="D26" s="14"/>
      <c r="E26" s="14"/>
      <c r="F26" s="14"/>
      <c r="G26" s="14"/>
      <c r="H26" s="14"/>
      <c r="I26" s="12"/>
    </row>
    <row r="27" spans="1:35" ht="16.5" thickBot="1" thickTop="1">
      <c r="A27" s="195"/>
      <c r="B27" s="13"/>
      <c r="C27" s="139" t="s">
        <v>259</v>
      </c>
      <c r="D27" s="146" t="s">
        <v>264</v>
      </c>
      <c r="E27" s="14"/>
      <c r="F27" s="14"/>
      <c r="G27" s="14"/>
      <c r="H27" s="14"/>
      <c r="I27" s="12"/>
      <c r="AI27" t="s">
        <v>264</v>
      </c>
    </row>
    <row r="28" spans="1:35" ht="16.5" thickBot="1" thickTop="1">
      <c r="A28" s="195"/>
      <c r="B28" s="13"/>
      <c r="C28" s="14"/>
      <c r="D28" s="14"/>
      <c r="E28" s="14"/>
      <c r="F28" s="14"/>
      <c r="G28" s="14"/>
      <c r="H28" s="14"/>
      <c r="I28" s="12"/>
      <c r="AI28" t="s">
        <v>265</v>
      </c>
    </row>
    <row r="29" spans="1:9" ht="16.5" thickBot="1" thickTop="1">
      <c r="A29" s="195"/>
      <c r="B29" s="13"/>
      <c r="C29" s="139" t="s">
        <v>334</v>
      </c>
      <c r="D29" s="149">
        <v>0.275</v>
      </c>
      <c r="E29" s="14"/>
      <c r="F29" s="14"/>
      <c r="G29" s="14"/>
      <c r="H29" s="14"/>
      <c r="I29" s="12"/>
    </row>
    <row r="30" spans="1:9" ht="16.5" thickBot="1" thickTop="1">
      <c r="A30" s="195"/>
      <c r="B30" s="13"/>
      <c r="C30" s="14"/>
      <c r="D30" s="14"/>
      <c r="E30" s="14"/>
      <c r="F30" s="14"/>
      <c r="G30" s="14"/>
      <c r="H30" s="14"/>
      <c r="I30" s="12"/>
    </row>
    <row r="31" spans="1:9" ht="16.5" thickBot="1" thickTop="1">
      <c r="A31" s="195"/>
      <c r="B31" s="13"/>
      <c r="C31" s="147" t="s">
        <v>269</v>
      </c>
      <c r="D31" s="149">
        <v>0.5</v>
      </c>
      <c r="E31" s="9"/>
      <c r="F31" s="14"/>
      <c r="G31" s="14"/>
      <c r="H31" s="14"/>
      <c r="I31" s="12"/>
    </row>
    <row r="32" spans="1:9" ht="16.5" thickBot="1" thickTop="1">
      <c r="A32" s="195"/>
      <c r="B32" s="13"/>
      <c r="C32" s="14"/>
      <c r="D32" s="14"/>
      <c r="E32" s="14"/>
      <c r="F32" s="14"/>
      <c r="G32" s="14"/>
      <c r="H32" s="14"/>
      <c r="I32" s="12"/>
    </row>
    <row r="33" spans="1:9" ht="16.5" thickBot="1" thickTop="1">
      <c r="A33" s="195"/>
      <c r="B33" s="13"/>
      <c r="C33" s="14"/>
      <c r="D33" s="148">
        <f>+D8</f>
        <v>2017</v>
      </c>
      <c r="E33" s="141">
        <f>+E8</f>
        <v>2018</v>
      </c>
      <c r="F33" s="141">
        <f>+F8</f>
        <v>2019</v>
      </c>
      <c r="G33" s="141">
        <f>+G8</f>
        <v>2020</v>
      </c>
      <c r="H33" s="142">
        <f>+H8</f>
        <v>2021</v>
      </c>
      <c r="I33" s="12"/>
    </row>
    <row r="34" spans="1:9" ht="16.5" thickBot="1" thickTop="1">
      <c r="A34" s="195"/>
      <c r="B34" s="13"/>
      <c r="C34" s="147" t="s">
        <v>442</v>
      </c>
      <c r="D34" s="172">
        <v>40000</v>
      </c>
      <c r="E34" s="173"/>
      <c r="F34" s="173"/>
      <c r="G34" s="173"/>
      <c r="H34" s="174"/>
      <c r="I34" s="12"/>
    </row>
    <row r="35" spans="1:9" ht="16.5" thickBot="1" thickTop="1">
      <c r="A35" s="195"/>
      <c r="B35" s="13"/>
      <c r="C35" s="14"/>
      <c r="D35" s="14"/>
      <c r="E35" s="14"/>
      <c r="F35" s="14"/>
      <c r="G35" s="14"/>
      <c r="H35" s="14"/>
      <c r="I35" s="12"/>
    </row>
    <row r="36" spans="1:9" ht="16.5" thickBot="1" thickTop="1">
      <c r="A36" s="195"/>
      <c r="B36" s="13"/>
      <c r="D36" s="191">
        <f>+D8-1</f>
        <v>2016</v>
      </c>
      <c r="E36" s="191">
        <f>+D33</f>
        <v>2017</v>
      </c>
      <c r="F36" s="191">
        <f>+E33</f>
        <v>2018</v>
      </c>
      <c r="G36" s="191">
        <f>+F33</f>
        <v>2019</v>
      </c>
      <c r="H36" s="191">
        <f>+G33</f>
        <v>2020</v>
      </c>
      <c r="I36" s="210">
        <f>+H33</f>
        <v>2021</v>
      </c>
    </row>
    <row r="37" spans="1:9" ht="16.5" thickBot="1" thickTop="1">
      <c r="A37" s="195"/>
      <c r="B37" s="13"/>
      <c r="C37" s="147" t="s">
        <v>428</v>
      </c>
      <c r="D37" s="192">
        <v>250000</v>
      </c>
      <c r="E37" s="192">
        <v>250000</v>
      </c>
      <c r="F37" s="192">
        <v>50000</v>
      </c>
      <c r="G37" s="192">
        <v>50000</v>
      </c>
      <c r="H37" s="192">
        <v>0</v>
      </c>
      <c r="I37" s="192">
        <v>0</v>
      </c>
    </row>
    <row r="38" spans="1:9" ht="16.5" thickBot="1" thickTop="1">
      <c r="A38" s="195"/>
      <c r="B38" s="13"/>
      <c r="C38" s="14"/>
      <c r="D38" s="14"/>
      <c r="E38" s="14"/>
      <c r="F38" s="14"/>
      <c r="G38" s="14"/>
      <c r="H38" s="14"/>
      <c r="I38" s="12"/>
    </row>
    <row r="39" spans="1:9" ht="16.5" thickBot="1" thickTop="1">
      <c r="A39" s="195"/>
      <c r="B39" s="13"/>
      <c r="D39" s="191" t="str">
        <f>+"31/12"&amp;" "&amp;D36</f>
        <v>31/12 2016</v>
      </c>
      <c r="E39" s="14"/>
      <c r="F39" s="14"/>
      <c r="G39" s="14"/>
      <c r="H39" s="14"/>
      <c r="I39" s="12"/>
    </row>
    <row r="40" spans="1:9" ht="16.5" thickBot="1" thickTop="1">
      <c r="A40" s="195"/>
      <c r="B40" s="13"/>
      <c r="C40" s="147" t="s">
        <v>429</v>
      </c>
      <c r="D40" s="192"/>
      <c r="E40" s="14"/>
      <c r="F40" s="14"/>
      <c r="G40" s="14"/>
      <c r="H40" s="14"/>
      <c r="I40" s="12"/>
    </row>
    <row r="41" spans="1:9" ht="16.5" thickBot="1" thickTop="1">
      <c r="A41" s="195"/>
      <c r="B41" s="13"/>
      <c r="C41" s="147" t="s">
        <v>24</v>
      </c>
      <c r="D41" s="192"/>
      <c r="E41" s="14"/>
      <c r="F41" s="14"/>
      <c r="G41" s="14"/>
      <c r="H41" s="14"/>
      <c r="I41" s="12"/>
    </row>
    <row r="42" spans="1:9" ht="16.5" thickBot="1" thickTop="1">
      <c r="A42" s="195"/>
      <c r="B42" s="13"/>
      <c r="C42" s="14"/>
      <c r="D42" s="14"/>
      <c r="E42" s="14"/>
      <c r="F42" s="14"/>
      <c r="G42" s="14"/>
      <c r="H42" s="14"/>
      <c r="I42" s="12"/>
    </row>
    <row r="43" spans="1:9" ht="16.5" thickBot="1" thickTop="1">
      <c r="A43" s="195"/>
      <c r="B43" s="13"/>
      <c r="C43" s="14"/>
      <c r="D43" s="148">
        <f>+D8</f>
        <v>2017</v>
      </c>
      <c r="E43" s="141">
        <f>+E8</f>
        <v>2018</v>
      </c>
      <c r="F43" s="141">
        <f>+F8</f>
        <v>2019</v>
      </c>
      <c r="G43" s="141">
        <f>+G8</f>
        <v>2020</v>
      </c>
      <c r="H43" s="142">
        <f>+H8</f>
        <v>2021</v>
      </c>
      <c r="I43" s="12"/>
    </row>
    <row r="44" spans="1:9" ht="16.5" thickBot="1" thickTop="1">
      <c r="A44" s="195"/>
      <c r="B44" s="13"/>
      <c r="C44" s="147" t="s">
        <v>338</v>
      </c>
      <c r="D44" s="150">
        <v>50000</v>
      </c>
      <c r="E44" s="151"/>
      <c r="F44" s="151"/>
      <c r="G44" s="151"/>
      <c r="H44" s="152"/>
      <c r="I44" s="12"/>
    </row>
    <row r="45" spans="1:9" ht="16.5" thickBot="1" thickTop="1">
      <c r="A45" s="195"/>
      <c r="B45" s="13"/>
      <c r="C45" s="147" t="s">
        <v>320</v>
      </c>
      <c r="D45" s="153"/>
      <c r="E45" s="154"/>
      <c r="F45" s="154"/>
      <c r="G45" s="154"/>
      <c r="H45" s="155"/>
      <c r="I45" s="12"/>
    </row>
    <row r="46" spans="1:9" ht="16.5" thickBot="1" thickTop="1">
      <c r="A46" s="195"/>
      <c r="B46" s="15"/>
      <c r="C46" s="16"/>
      <c r="D46" s="84"/>
      <c r="E46" s="84"/>
      <c r="F46" s="84"/>
      <c r="G46" s="84"/>
      <c r="H46" s="84"/>
      <c r="I46" s="17"/>
    </row>
    <row r="47" ht="15.75" thickBot="1">
      <c r="A47" s="195"/>
    </row>
    <row r="48" spans="1:9" ht="15.75" thickBot="1">
      <c r="A48" s="195"/>
      <c r="B48" s="5"/>
      <c r="C48" s="18" t="s">
        <v>9</v>
      </c>
      <c r="D48" s="6"/>
      <c r="E48" s="6"/>
      <c r="F48" s="6"/>
      <c r="G48" s="6"/>
      <c r="H48" s="6"/>
      <c r="I48" s="7"/>
    </row>
    <row r="49" spans="1:31" ht="16.5" thickBot="1" thickTop="1">
      <c r="A49" s="196"/>
      <c r="B49" s="8"/>
      <c r="D49" s="156" t="s">
        <v>8</v>
      </c>
      <c r="G49" s="19"/>
      <c r="H49" s="11"/>
      <c r="I49" s="30"/>
      <c r="AD49" t="s">
        <v>7</v>
      </c>
      <c r="AE49" t="s">
        <v>11</v>
      </c>
    </row>
    <row r="50" spans="1:31" ht="16.5" thickBot="1" thickTop="1">
      <c r="A50" s="195"/>
      <c r="B50" s="13"/>
      <c r="C50" s="157" t="s">
        <v>447</v>
      </c>
      <c r="D50" s="169">
        <v>0.75</v>
      </c>
      <c r="G50" s="14"/>
      <c r="H50" s="14"/>
      <c r="I50" s="101"/>
      <c r="AD50" s="1">
        <v>0</v>
      </c>
      <c r="AE50" s="1">
        <v>0</v>
      </c>
    </row>
    <row r="51" spans="1:31" ht="16.5" thickBot="1" thickTop="1">
      <c r="A51" s="195"/>
      <c r="B51" s="13"/>
      <c r="C51" s="157" t="s">
        <v>1</v>
      </c>
      <c r="D51" s="203">
        <v>0.22</v>
      </c>
      <c r="G51" s="14"/>
      <c r="H51" s="14"/>
      <c r="I51" s="101"/>
      <c r="AD51" s="1"/>
      <c r="AE51" s="1"/>
    </row>
    <row r="52" spans="1:31" ht="16.5" thickBot="1" thickTop="1">
      <c r="A52" s="195"/>
      <c r="B52" s="13"/>
      <c r="C52" s="14"/>
      <c r="D52" s="14"/>
      <c r="E52" s="14"/>
      <c r="F52" s="14"/>
      <c r="G52" s="14"/>
      <c r="H52" s="14"/>
      <c r="I52" s="101"/>
      <c r="AD52" s="1"/>
      <c r="AE52" s="1"/>
    </row>
    <row r="53" spans="1:31" ht="16.5" thickBot="1" thickTop="1">
      <c r="A53" s="195"/>
      <c r="B53" s="13"/>
      <c r="C53" s="14"/>
      <c r="D53" s="148">
        <f>+D43</f>
        <v>2017</v>
      </c>
      <c r="E53" s="141">
        <f>+E43</f>
        <v>2018</v>
      </c>
      <c r="F53" s="141">
        <f>+F43</f>
        <v>2019</v>
      </c>
      <c r="G53" s="141">
        <f>+G43</f>
        <v>2020</v>
      </c>
      <c r="H53" s="142">
        <f>+H43</f>
        <v>2021</v>
      </c>
      <c r="I53" s="101"/>
      <c r="AD53" s="1"/>
      <c r="AE53" s="1"/>
    </row>
    <row r="54" spans="1:31" ht="16.5" thickBot="1" thickTop="1">
      <c r="A54" s="195"/>
      <c r="B54" s="13"/>
      <c r="C54" s="147" t="s">
        <v>0</v>
      </c>
      <c r="D54" s="204">
        <v>450000</v>
      </c>
      <c r="E54" s="205">
        <v>460000</v>
      </c>
      <c r="F54" s="205">
        <v>480000</v>
      </c>
      <c r="G54" s="205">
        <v>480000</v>
      </c>
      <c r="H54" s="206">
        <v>480000</v>
      </c>
      <c r="I54" s="101"/>
      <c r="AD54" s="1"/>
      <c r="AE54" s="1"/>
    </row>
    <row r="55" spans="1:31" ht="16.5" thickBot="1" thickTop="1">
      <c r="A55" s="195"/>
      <c r="B55" s="13"/>
      <c r="C55" s="14"/>
      <c r="D55" s="14"/>
      <c r="E55" s="14"/>
      <c r="F55" s="14"/>
      <c r="G55" s="14"/>
      <c r="H55" s="14"/>
      <c r="I55" s="101"/>
      <c r="AD55" s="1"/>
      <c r="AE55" s="1"/>
    </row>
    <row r="56" spans="1:31" ht="16.5" thickBot="1" thickTop="1">
      <c r="A56" s="195"/>
      <c r="B56" s="13"/>
      <c r="D56" s="148">
        <f>+D53</f>
        <v>2017</v>
      </c>
      <c r="E56" s="141">
        <f>+E53</f>
        <v>2018</v>
      </c>
      <c r="F56" s="141">
        <f>+F53</f>
        <v>2019</v>
      </c>
      <c r="G56" s="141">
        <f>+G53</f>
        <v>2020</v>
      </c>
      <c r="H56" s="142">
        <f>+H53</f>
        <v>2021</v>
      </c>
      <c r="I56" s="207"/>
      <c r="AD56" s="1"/>
      <c r="AE56" s="1"/>
    </row>
    <row r="57" spans="1:9" ht="16.5" thickBot="1" thickTop="1">
      <c r="A57" s="195"/>
      <c r="B57" s="13"/>
      <c r="C57" s="157" t="s">
        <v>345</v>
      </c>
      <c r="D57" s="161">
        <v>30</v>
      </c>
      <c r="E57" s="162">
        <v>90</v>
      </c>
      <c r="F57" s="162">
        <v>90</v>
      </c>
      <c r="G57" s="162">
        <v>90</v>
      </c>
      <c r="H57" s="163">
        <v>90</v>
      </c>
      <c r="I57" s="12"/>
    </row>
    <row r="58" spans="1:9" ht="16.5" thickBot="1" thickTop="1">
      <c r="A58" s="195"/>
      <c r="B58" s="13"/>
      <c r="C58" s="157" t="s">
        <v>346</v>
      </c>
      <c r="D58" s="164">
        <v>0</v>
      </c>
      <c r="E58" s="165">
        <v>0</v>
      </c>
      <c r="F58" s="165">
        <v>0</v>
      </c>
      <c r="G58" s="165">
        <v>0</v>
      </c>
      <c r="H58" s="166">
        <v>0</v>
      </c>
      <c r="I58" s="12"/>
    </row>
    <row r="59" spans="1:9" ht="16.5" thickBot="1" thickTop="1">
      <c r="A59" s="195"/>
      <c r="B59" s="15"/>
      <c r="C59" s="16"/>
      <c r="D59" s="16"/>
      <c r="E59" s="16"/>
      <c r="F59" s="16"/>
      <c r="G59" s="16"/>
      <c r="H59" s="16"/>
      <c r="I59" s="17"/>
    </row>
    <row r="60" ht="15.75" thickBot="1">
      <c r="A60" s="195"/>
    </row>
    <row r="61" spans="1:8" ht="15.75" thickBot="1">
      <c r="A61" s="195"/>
      <c r="B61" s="5"/>
      <c r="C61" s="18" t="s">
        <v>328</v>
      </c>
      <c r="D61" s="6"/>
      <c r="E61" s="22"/>
      <c r="F61" s="6"/>
      <c r="G61" s="6"/>
      <c r="H61" s="7"/>
    </row>
    <row r="62" spans="1:8" ht="31.5" thickBot="1" thickTop="1">
      <c r="A62" s="195"/>
      <c r="B62" s="13"/>
      <c r="C62" s="156" t="s">
        <v>427</v>
      </c>
      <c r="D62" s="14"/>
      <c r="E62" s="156" t="s">
        <v>10</v>
      </c>
      <c r="F62" s="12"/>
      <c r="G62" s="19"/>
      <c r="H62" s="12"/>
    </row>
    <row r="63" spans="1:8" ht="16.5" thickBot="1" thickTop="1">
      <c r="A63" s="195"/>
      <c r="B63" s="13"/>
      <c r="C63" s="208" t="str">
        <f>+"Mp x"&amp;C50</f>
        <v>Mp xProdotti</v>
      </c>
      <c r="D63" s="14"/>
      <c r="E63" s="209">
        <v>0.22</v>
      </c>
      <c r="F63" s="12"/>
      <c r="G63" s="14"/>
      <c r="H63" s="12"/>
    </row>
    <row r="64" spans="1:8" ht="16.5" thickBot="1" thickTop="1">
      <c r="A64" s="195"/>
      <c r="B64" s="15"/>
      <c r="C64" s="16"/>
      <c r="D64" s="16"/>
      <c r="E64" s="16"/>
      <c r="F64" s="16"/>
      <c r="G64" s="16"/>
      <c r="H64" s="17"/>
    </row>
    <row r="65" ht="15">
      <c r="A65" s="195"/>
    </row>
    <row r="66" ht="15.75" thickBot="1">
      <c r="A66" s="195"/>
    </row>
    <row r="67" spans="1:12" ht="15.75" thickBot="1">
      <c r="A67" s="195"/>
      <c r="B67" s="5"/>
      <c r="C67" s="18" t="s">
        <v>42</v>
      </c>
      <c r="D67" s="6"/>
      <c r="E67" s="6"/>
      <c r="F67" s="6"/>
      <c r="G67" s="6"/>
      <c r="H67" s="6"/>
      <c r="I67" s="6"/>
      <c r="J67" s="6"/>
      <c r="K67" s="6"/>
      <c r="L67" s="7"/>
    </row>
    <row r="68" spans="1:12" ht="16.5" thickBot="1" thickTop="1">
      <c r="A68" s="195"/>
      <c r="B68" s="13"/>
      <c r="C68" s="14"/>
      <c r="D68" s="14"/>
      <c r="E68" s="148">
        <f>+D8</f>
        <v>2017</v>
      </c>
      <c r="F68" s="148">
        <f>+E8</f>
        <v>2018</v>
      </c>
      <c r="G68" s="148">
        <f>+F8</f>
        <v>2019</v>
      </c>
      <c r="H68" s="148">
        <f>+G8</f>
        <v>2020</v>
      </c>
      <c r="I68" s="148">
        <f>+H8</f>
        <v>2021</v>
      </c>
      <c r="J68" s="14"/>
      <c r="K68" s="14"/>
      <c r="L68" s="12"/>
    </row>
    <row r="69" spans="1:12" ht="16.5" thickBot="1" thickTop="1">
      <c r="A69" s="195"/>
      <c r="B69" s="13"/>
      <c r="C69" s="157" t="s">
        <v>43</v>
      </c>
      <c r="D69" s="14"/>
      <c r="E69" s="150">
        <v>180000</v>
      </c>
      <c r="F69" s="151"/>
      <c r="G69" s="151"/>
      <c r="H69" s="151"/>
      <c r="I69" s="152"/>
      <c r="J69" s="14"/>
      <c r="K69" s="14"/>
      <c r="L69" s="12"/>
    </row>
    <row r="70" spans="1:12" ht="16.5" thickBot="1" thickTop="1">
      <c r="A70" s="195"/>
      <c r="B70" s="13"/>
      <c r="C70" s="157" t="s">
        <v>44</v>
      </c>
      <c r="D70" s="14"/>
      <c r="E70" s="153">
        <v>20000</v>
      </c>
      <c r="F70" s="154"/>
      <c r="G70" s="154"/>
      <c r="H70" s="154"/>
      <c r="I70" s="155"/>
      <c r="J70" s="14"/>
      <c r="K70" s="14"/>
      <c r="L70" s="12"/>
    </row>
    <row r="71" spans="1:12" ht="16.5" thickBot="1" thickTop="1">
      <c r="A71" s="195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2"/>
    </row>
    <row r="72" spans="1:12" ht="16.5" thickBot="1" thickTop="1">
      <c r="A72" s="195"/>
      <c r="B72" s="13"/>
      <c r="C72" s="157" t="s">
        <v>1</v>
      </c>
      <c r="D72" s="14"/>
      <c r="E72" s="169">
        <v>0.22</v>
      </c>
      <c r="F72" s="14"/>
      <c r="G72" s="14"/>
      <c r="H72" s="14"/>
      <c r="I72" s="14"/>
      <c r="J72" s="14"/>
      <c r="K72" s="9" t="s">
        <v>47</v>
      </c>
      <c r="L72" s="12"/>
    </row>
    <row r="73" spans="1:12" ht="16.5" thickBot="1" thickTop="1">
      <c r="A73" s="195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2"/>
    </row>
    <row r="74" spans="1:12" ht="16.5" thickBot="1" thickTop="1">
      <c r="A74" s="195"/>
      <c r="B74" s="13"/>
      <c r="C74" s="14"/>
      <c r="D74" s="14"/>
      <c r="E74" s="148">
        <f>+E68</f>
        <v>2017</v>
      </c>
      <c r="F74" s="141">
        <f>+F68</f>
        <v>2018</v>
      </c>
      <c r="G74" s="141">
        <f>+G68</f>
        <v>2019</v>
      </c>
      <c r="H74" s="141">
        <f>+H68</f>
        <v>2020</v>
      </c>
      <c r="I74" s="142">
        <f>+I68</f>
        <v>2021</v>
      </c>
      <c r="J74" s="14"/>
      <c r="K74" s="14"/>
      <c r="L74" s="12"/>
    </row>
    <row r="75" spans="1:12" ht="16.5" thickBot="1" thickTop="1">
      <c r="A75" s="195"/>
      <c r="B75" s="13"/>
      <c r="C75" s="157" t="s">
        <v>45</v>
      </c>
      <c r="D75" s="14"/>
      <c r="E75" s="150">
        <v>217800</v>
      </c>
      <c r="F75" s="151"/>
      <c r="G75" s="151"/>
      <c r="H75" s="151"/>
      <c r="I75" s="152"/>
      <c r="J75" s="14"/>
      <c r="K75" s="167">
        <f>+(SUM(E69:I69)+(SUM(E69:I69)*E72))-SUM(E75:I75)</f>
        <v>1800</v>
      </c>
      <c r="L75" s="12"/>
    </row>
    <row r="76" spans="1:12" ht="16.5" thickBot="1" thickTop="1">
      <c r="A76" s="195"/>
      <c r="B76" s="13"/>
      <c r="C76" s="157" t="s">
        <v>46</v>
      </c>
      <c r="D76" s="14"/>
      <c r="E76" s="153">
        <v>24200</v>
      </c>
      <c r="F76" s="154"/>
      <c r="G76" s="154"/>
      <c r="H76" s="154"/>
      <c r="I76" s="155"/>
      <c r="J76" s="14"/>
      <c r="K76" s="168">
        <f>+(SUM(E70:I70)+(SUM(E70:I70)*E72))-SUM(E76:I76)</f>
        <v>200</v>
      </c>
      <c r="L76" s="12"/>
    </row>
    <row r="77" spans="1:12" ht="16.5" thickBot="1" thickTop="1">
      <c r="A77" s="19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2"/>
    </row>
    <row r="78" spans="1:12" ht="16.5" thickBot="1" thickTop="1">
      <c r="A78" s="195"/>
      <c r="B78" s="13"/>
      <c r="C78" s="157" t="s">
        <v>48</v>
      </c>
      <c r="D78" s="14"/>
      <c r="E78" s="169">
        <v>0.1</v>
      </c>
      <c r="F78" s="14"/>
      <c r="G78" s="14"/>
      <c r="H78" s="14"/>
      <c r="I78" s="14"/>
      <c r="J78" s="14"/>
      <c r="K78" s="14"/>
      <c r="L78" s="12"/>
    </row>
    <row r="79" spans="1:12" ht="16.5" thickBot="1" thickTop="1">
      <c r="A79" s="195"/>
      <c r="B79" s="13"/>
      <c r="C79" s="157" t="s">
        <v>49</v>
      </c>
      <c r="D79" s="14"/>
      <c r="E79" s="169">
        <v>0.1</v>
      </c>
      <c r="F79" s="14"/>
      <c r="G79" s="14"/>
      <c r="H79" s="14"/>
      <c r="I79" s="14"/>
      <c r="J79" s="14"/>
      <c r="K79" s="14"/>
      <c r="L79" s="12"/>
    </row>
    <row r="80" spans="1:12" ht="16.5" thickBot="1" thickTop="1">
      <c r="A80" s="19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7"/>
    </row>
    <row r="81" ht="15.75" thickBot="1">
      <c r="A81" s="195"/>
    </row>
    <row r="82" spans="1:10" ht="15">
      <c r="A82" s="195"/>
      <c r="B82" s="5"/>
      <c r="C82" s="6"/>
      <c r="D82" s="6"/>
      <c r="E82" s="6"/>
      <c r="F82" s="6"/>
      <c r="G82" s="6"/>
      <c r="H82" s="6"/>
      <c r="I82" s="6"/>
      <c r="J82" s="7"/>
    </row>
    <row r="83" spans="1:10" ht="15.75" thickBot="1">
      <c r="A83" s="195"/>
      <c r="B83" s="13"/>
      <c r="C83" s="9" t="s">
        <v>65</v>
      </c>
      <c r="D83" s="14"/>
      <c r="E83" s="14"/>
      <c r="F83" s="14"/>
      <c r="G83" s="14"/>
      <c r="H83" s="14"/>
      <c r="I83" s="14"/>
      <c r="J83" s="12"/>
    </row>
    <row r="84" spans="1:10" ht="16.5" thickBot="1" thickTop="1">
      <c r="A84" s="195"/>
      <c r="B84" s="13"/>
      <c r="C84" s="14"/>
      <c r="D84" s="14"/>
      <c r="E84" s="148">
        <f>+E68</f>
        <v>2017</v>
      </c>
      <c r="F84" s="141">
        <f>+F68</f>
        <v>2018</v>
      </c>
      <c r="G84" s="141">
        <f>+G68</f>
        <v>2019</v>
      </c>
      <c r="H84" s="141">
        <f>+H68</f>
        <v>2020</v>
      </c>
      <c r="I84" s="142">
        <f>+I68</f>
        <v>2021</v>
      </c>
      <c r="J84" s="12"/>
    </row>
    <row r="85" spans="1:10" ht="16.5" thickBot="1" thickTop="1">
      <c r="A85" s="195"/>
      <c r="B85" s="13"/>
      <c r="C85" s="157" t="s">
        <v>66</v>
      </c>
      <c r="D85" s="14"/>
      <c r="E85" s="170">
        <v>2</v>
      </c>
      <c r="F85" s="171">
        <v>2</v>
      </c>
      <c r="G85" s="171">
        <v>2</v>
      </c>
      <c r="H85" s="171">
        <v>2</v>
      </c>
      <c r="I85" s="171">
        <v>2</v>
      </c>
      <c r="J85" s="12"/>
    </row>
    <row r="86" spans="1:10" ht="16.5" thickBot="1" thickTop="1">
      <c r="A86" s="195"/>
      <c r="B86" s="13"/>
      <c r="C86" s="14"/>
      <c r="D86" s="14"/>
      <c r="E86" s="14"/>
      <c r="F86" s="14"/>
      <c r="G86" s="14"/>
      <c r="H86" s="14"/>
      <c r="I86" s="14"/>
      <c r="J86" s="12"/>
    </row>
    <row r="87" spans="1:10" ht="16.5" thickBot="1" thickTop="1">
      <c r="A87" s="195"/>
      <c r="B87" s="13"/>
      <c r="C87" s="157" t="s">
        <v>75</v>
      </c>
      <c r="D87" s="14"/>
      <c r="E87" s="172">
        <f>1500*14</f>
        <v>21000</v>
      </c>
      <c r="F87" s="173">
        <f>1500*14</f>
        <v>21000</v>
      </c>
      <c r="G87" s="173">
        <f>1500*14</f>
        <v>21000</v>
      </c>
      <c r="H87" s="173">
        <f>1500*14</f>
        <v>21000</v>
      </c>
      <c r="I87" s="174">
        <f>1500*14</f>
        <v>21000</v>
      </c>
      <c r="J87" s="12"/>
    </row>
    <row r="88" spans="1:10" ht="16.5" thickBot="1" thickTop="1">
      <c r="A88" s="195"/>
      <c r="B88" s="13"/>
      <c r="C88" s="44"/>
      <c r="D88" s="14"/>
      <c r="E88" s="14"/>
      <c r="F88" s="14"/>
      <c r="G88" s="14"/>
      <c r="H88" s="14"/>
      <c r="I88" s="14"/>
      <c r="J88" s="12"/>
    </row>
    <row r="89" spans="1:10" ht="16.5" thickBot="1" thickTop="1">
      <c r="A89" s="195"/>
      <c r="B89" s="13"/>
      <c r="C89" s="157" t="s">
        <v>67</v>
      </c>
      <c r="D89" s="14"/>
      <c r="E89" s="175">
        <v>0.2975</v>
      </c>
      <c r="F89" s="14"/>
      <c r="G89" s="14"/>
      <c r="H89" s="14"/>
      <c r="I89" s="14"/>
      <c r="J89" s="12"/>
    </row>
    <row r="90" spans="1:10" ht="16.5" thickBot="1" thickTop="1">
      <c r="A90" s="195"/>
      <c r="B90" s="13"/>
      <c r="C90" s="157" t="s">
        <v>68</v>
      </c>
      <c r="D90" s="14"/>
      <c r="E90" s="176">
        <v>0.04</v>
      </c>
      <c r="F90" s="14"/>
      <c r="G90" s="14"/>
      <c r="H90" s="14"/>
      <c r="I90" s="14"/>
      <c r="J90" s="12"/>
    </row>
    <row r="91" spans="1:10" ht="16.5" thickBot="1" thickTop="1">
      <c r="A91" s="195"/>
      <c r="B91" s="13"/>
      <c r="C91" s="157" t="s">
        <v>69</v>
      </c>
      <c r="D91" s="14"/>
      <c r="E91" s="177">
        <v>0.074</v>
      </c>
      <c r="F91" s="14"/>
      <c r="G91" s="14"/>
      <c r="H91" s="14"/>
      <c r="I91" s="14"/>
      <c r="J91" s="12"/>
    </row>
    <row r="92" spans="1:10" ht="16.5" thickBot="1" thickTop="1">
      <c r="A92" s="195"/>
      <c r="B92" s="15"/>
      <c r="C92" s="16"/>
      <c r="D92" s="16"/>
      <c r="E92" s="16"/>
      <c r="F92" s="16"/>
      <c r="G92" s="16"/>
      <c r="H92" s="16"/>
      <c r="I92" s="16"/>
      <c r="J92" s="17"/>
    </row>
    <row r="93" ht="15">
      <c r="A93" s="195"/>
    </row>
    <row r="94" ht="15.75" thickBot="1">
      <c r="A94" s="195"/>
    </row>
    <row r="95" spans="1:6" ht="15">
      <c r="A95" s="195"/>
      <c r="B95" s="5"/>
      <c r="C95" s="18" t="s">
        <v>78</v>
      </c>
      <c r="D95" s="6"/>
      <c r="E95" s="6"/>
      <c r="F95" s="7"/>
    </row>
    <row r="96" spans="1:6" ht="15.75" thickBot="1">
      <c r="A96" s="195"/>
      <c r="B96" s="13"/>
      <c r="C96" s="14"/>
      <c r="D96" s="14"/>
      <c r="E96" s="14"/>
      <c r="F96" s="12"/>
    </row>
    <row r="97" spans="1:41" ht="16.5" thickBot="1" thickTop="1">
      <c r="A97" s="195"/>
      <c r="B97" s="13"/>
      <c r="C97" s="157" t="s">
        <v>330</v>
      </c>
      <c r="D97" s="14"/>
      <c r="E97" s="178" t="s">
        <v>93</v>
      </c>
      <c r="F97" s="12"/>
      <c r="AO97" t="s">
        <v>93</v>
      </c>
    </row>
    <row r="98" spans="1:41" ht="16.5" thickBot="1" thickTop="1">
      <c r="A98" s="195"/>
      <c r="B98" s="13"/>
      <c r="C98" s="157" t="s">
        <v>80</v>
      </c>
      <c r="D98" s="14"/>
      <c r="E98" s="179">
        <v>0.07</v>
      </c>
      <c r="F98" s="12"/>
      <c r="AO98" t="s">
        <v>94</v>
      </c>
    </row>
    <row r="99" spans="1:41" ht="16.5" thickBot="1" thickTop="1">
      <c r="A99" s="195"/>
      <c r="B99" s="13"/>
      <c r="C99" s="14"/>
      <c r="D99" s="14"/>
      <c r="E99" s="14"/>
      <c r="F99" s="12"/>
      <c r="AO99" t="s">
        <v>95</v>
      </c>
    </row>
    <row r="100" spans="1:41" ht="16.5" thickBot="1" thickTop="1">
      <c r="A100" s="195"/>
      <c r="B100" s="13"/>
      <c r="C100" s="157" t="s">
        <v>81</v>
      </c>
      <c r="D100" s="14"/>
      <c r="E100" s="180">
        <v>200000</v>
      </c>
      <c r="F100" s="12"/>
      <c r="AO100" t="s">
        <v>96</v>
      </c>
    </row>
    <row r="101" spans="1:41" ht="16.5" thickBot="1" thickTop="1">
      <c r="A101" s="195"/>
      <c r="B101" s="13"/>
      <c r="C101" s="157" t="s">
        <v>82</v>
      </c>
      <c r="D101" s="14"/>
      <c r="E101" s="181">
        <v>10</v>
      </c>
      <c r="F101" s="12"/>
      <c r="AO101" t="s">
        <v>97</v>
      </c>
    </row>
    <row r="102" spans="1:6" ht="16.5" thickBot="1" thickTop="1">
      <c r="A102" s="195"/>
      <c r="B102" s="15"/>
      <c r="C102" s="16"/>
      <c r="D102" s="16"/>
      <c r="E102" s="16"/>
      <c r="F102" s="17"/>
    </row>
    <row r="103" ht="15.75" thickBot="1">
      <c r="A103" s="195"/>
    </row>
    <row r="104" spans="1:11" ht="15.75" thickBot="1">
      <c r="A104" s="195"/>
      <c r="B104" s="5"/>
      <c r="C104" s="6"/>
      <c r="D104" s="6"/>
      <c r="E104" s="6"/>
      <c r="F104" s="6"/>
      <c r="G104" s="6"/>
      <c r="H104" s="6"/>
      <c r="I104" s="6"/>
      <c r="J104" s="6"/>
      <c r="K104" s="7"/>
    </row>
    <row r="105" spans="1:11" ht="16.5" thickBot="1" thickTop="1">
      <c r="A105" s="195"/>
      <c r="B105" s="13"/>
      <c r="C105" s="9" t="s">
        <v>227</v>
      </c>
      <c r="D105" s="157" t="s">
        <v>228</v>
      </c>
      <c r="E105" s="157" t="s">
        <v>229</v>
      </c>
      <c r="F105" s="148">
        <f>+E84</f>
        <v>2017</v>
      </c>
      <c r="G105" s="141">
        <f>+F84</f>
        <v>2018</v>
      </c>
      <c r="H105" s="141">
        <f>+G84</f>
        <v>2019</v>
      </c>
      <c r="I105" s="141">
        <f>+H84</f>
        <v>2020</v>
      </c>
      <c r="J105" s="142">
        <f>+I84</f>
        <v>2021</v>
      </c>
      <c r="K105" s="12"/>
    </row>
    <row r="106" spans="1:11" ht="16.5" thickBot="1" thickTop="1">
      <c r="A106" s="195"/>
      <c r="B106" s="13"/>
      <c r="C106" s="10"/>
      <c r="D106" s="14"/>
      <c r="E106" s="11"/>
      <c r="F106" s="11"/>
      <c r="G106" s="11"/>
      <c r="H106" s="11"/>
      <c r="I106" s="11"/>
      <c r="J106" s="11"/>
      <c r="K106" s="12"/>
    </row>
    <row r="107" spans="1:11" ht="15.75" thickTop="1">
      <c r="A107" s="195"/>
      <c r="B107" s="13"/>
      <c r="C107" s="182" t="s">
        <v>230</v>
      </c>
      <c r="D107" s="185">
        <v>0.22</v>
      </c>
      <c r="E107" s="14"/>
      <c r="F107" s="150">
        <v>12000</v>
      </c>
      <c r="G107" s="151">
        <v>12000</v>
      </c>
      <c r="H107" s="151">
        <v>12000</v>
      </c>
      <c r="I107" s="151">
        <v>12000</v>
      </c>
      <c r="J107" s="152">
        <v>12000</v>
      </c>
      <c r="K107" s="12"/>
    </row>
    <row r="108" spans="1:11" ht="15">
      <c r="A108" s="214">
        <v>0</v>
      </c>
      <c r="B108" s="13"/>
      <c r="C108" s="183" t="s">
        <v>231</v>
      </c>
      <c r="D108" s="186">
        <v>0.22</v>
      </c>
      <c r="E108" s="14"/>
      <c r="F108" s="158">
        <v>0</v>
      </c>
      <c r="G108" s="159">
        <v>0</v>
      </c>
      <c r="H108" s="159">
        <v>0</v>
      </c>
      <c r="I108" s="159">
        <v>0</v>
      </c>
      <c r="J108" s="160">
        <v>0</v>
      </c>
      <c r="K108" s="12"/>
    </row>
    <row r="109" spans="1:11" ht="15">
      <c r="A109" s="214">
        <v>30</v>
      </c>
      <c r="B109" s="13"/>
      <c r="C109" s="183" t="s">
        <v>232</v>
      </c>
      <c r="D109" s="186">
        <v>0.22</v>
      </c>
      <c r="E109" s="14"/>
      <c r="F109" s="158">
        <v>15000</v>
      </c>
      <c r="G109" s="159">
        <v>2000</v>
      </c>
      <c r="H109" s="159">
        <v>2000</v>
      </c>
      <c r="I109" s="159">
        <v>2000</v>
      </c>
      <c r="J109" s="160">
        <v>2000</v>
      </c>
      <c r="K109" s="12"/>
    </row>
    <row r="110" spans="1:11" ht="15">
      <c r="A110" s="214">
        <v>60</v>
      </c>
      <c r="B110" s="13"/>
      <c r="C110" s="183" t="s">
        <v>233</v>
      </c>
      <c r="D110" s="186">
        <v>0.22</v>
      </c>
      <c r="E110" s="14"/>
      <c r="F110" s="158">
        <v>0</v>
      </c>
      <c r="G110" s="159">
        <v>0</v>
      </c>
      <c r="H110" s="159">
        <v>0</v>
      </c>
      <c r="I110" s="159">
        <v>0</v>
      </c>
      <c r="J110" s="160">
        <v>0</v>
      </c>
      <c r="K110" s="12"/>
    </row>
    <row r="111" spans="1:11" ht="15">
      <c r="A111" s="214">
        <v>90</v>
      </c>
      <c r="B111" s="13"/>
      <c r="C111" s="183" t="s">
        <v>234</v>
      </c>
      <c r="D111" s="186">
        <v>0.22</v>
      </c>
      <c r="E111" s="14"/>
      <c r="F111" s="158">
        <v>0</v>
      </c>
      <c r="G111" s="159">
        <v>0</v>
      </c>
      <c r="H111" s="159">
        <v>0</v>
      </c>
      <c r="I111" s="159">
        <v>0</v>
      </c>
      <c r="J111" s="160">
        <v>0</v>
      </c>
      <c r="K111" s="12"/>
    </row>
    <row r="112" spans="1:11" ht="15">
      <c r="A112" s="214">
        <v>120</v>
      </c>
      <c r="B112" s="13"/>
      <c r="C112" s="183" t="s">
        <v>235</v>
      </c>
      <c r="D112" s="186">
        <v>0.22</v>
      </c>
      <c r="E112" s="14"/>
      <c r="F112" s="158">
        <v>0</v>
      </c>
      <c r="G112" s="159">
        <v>0</v>
      </c>
      <c r="H112" s="159">
        <v>0</v>
      </c>
      <c r="I112" s="159">
        <v>0</v>
      </c>
      <c r="J112" s="160">
        <v>0</v>
      </c>
      <c r="K112" s="12"/>
    </row>
    <row r="113" spans="1:11" ht="15">
      <c r="A113" s="214">
        <v>150</v>
      </c>
      <c r="B113" s="13"/>
      <c r="C113" s="183" t="s">
        <v>236</v>
      </c>
      <c r="D113" s="186">
        <v>0.22</v>
      </c>
      <c r="E113" s="14"/>
      <c r="F113" s="158">
        <v>600</v>
      </c>
      <c r="G113" s="159">
        <v>600</v>
      </c>
      <c r="H113" s="159">
        <v>600</v>
      </c>
      <c r="I113" s="159">
        <v>600</v>
      </c>
      <c r="J113" s="160">
        <v>600</v>
      </c>
      <c r="K113" s="12"/>
    </row>
    <row r="114" spans="1:11" ht="15">
      <c r="A114" s="214">
        <v>180</v>
      </c>
      <c r="B114" s="13"/>
      <c r="C114" s="183" t="s">
        <v>237</v>
      </c>
      <c r="D114" s="186">
        <v>0.22</v>
      </c>
      <c r="E114" s="14"/>
      <c r="F114" s="158">
        <v>0</v>
      </c>
      <c r="G114" s="159">
        <v>0</v>
      </c>
      <c r="H114" s="159">
        <v>0</v>
      </c>
      <c r="I114" s="159">
        <v>0</v>
      </c>
      <c r="J114" s="160">
        <v>0</v>
      </c>
      <c r="K114" s="12"/>
    </row>
    <row r="115" spans="1:11" ht="15">
      <c r="A115" s="195"/>
      <c r="B115" s="13"/>
      <c r="C115" s="183" t="s">
        <v>241</v>
      </c>
      <c r="D115" s="186">
        <v>0</v>
      </c>
      <c r="E115" s="14"/>
      <c r="F115" s="158">
        <v>24000</v>
      </c>
      <c r="G115" s="159">
        <v>24000</v>
      </c>
      <c r="H115" s="159">
        <v>24000</v>
      </c>
      <c r="I115" s="159">
        <v>24000</v>
      </c>
      <c r="J115" s="160">
        <v>24000</v>
      </c>
      <c r="K115" s="12"/>
    </row>
    <row r="116" spans="1:11" ht="15">
      <c r="A116" s="195"/>
      <c r="B116" s="13"/>
      <c r="C116" s="183" t="s">
        <v>238</v>
      </c>
      <c r="D116" s="186">
        <v>0.22</v>
      </c>
      <c r="E116" s="14"/>
      <c r="F116" s="158">
        <v>0</v>
      </c>
      <c r="G116" s="159">
        <v>0</v>
      </c>
      <c r="H116" s="159">
        <v>0</v>
      </c>
      <c r="I116" s="159">
        <v>0</v>
      </c>
      <c r="J116" s="160">
        <v>0</v>
      </c>
      <c r="K116" s="12"/>
    </row>
    <row r="117" spans="1:11" ht="15">
      <c r="A117" s="195"/>
      <c r="B117" s="13"/>
      <c r="C117" s="183" t="s">
        <v>239</v>
      </c>
      <c r="D117" s="186">
        <v>0.22</v>
      </c>
      <c r="E117" s="14"/>
      <c r="F117" s="158">
        <v>1000</v>
      </c>
      <c r="G117" s="159">
        <v>3000</v>
      </c>
      <c r="H117" s="159">
        <v>3000</v>
      </c>
      <c r="I117" s="159">
        <v>3000</v>
      </c>
      <c r="J117" s="160">
        <v>3000</v>
      </c>
      <c r="K117" s="12"/>
    </row>
    <row r="118" spans="1:11" ht="15">
      <c r="A118" s="195"/>
      <c r="B118" s="13"/>
      <c r="C118" s="183" t="s">
        <v>240</v>
      </c>
      <c r="D118" s="186">
        <v>0</v>
      </c>
      <c r="E118" s="14"/>
      <c r="F118" s="158">
        <v>2000</v>
      </c>
      <c r="G118" s="159">
        <v>2000</v>
      </c>
      <c r="H118" s="159">
        <v>2000</v>
      </c>
      <c r="I118" s="159">
        <v>2000</v>
      </c>
      <c r="J118" s="160">
        <v>2000</v>
      </c>
      <c r="K118" s="12"/>
    </row>
    <row r="119" spans="1:11" ht="15">
      <c r="A119" s="195"/>
      <c r="B119" s="13"/>
      <c r="C119" s="183" t="s">
        <v>242</v>
      </c>
      <c r="D119" s="186">
        <v>0</v>
      </c>
      <c r="E119" s="14"/>
      <c r="F119" s="158">
        <v>0</v>
      </c>
      <c r="G119" s="159">
        <v>0</v>
      </c>
      <c r="H119" s="159">
        <v>0</v>
      </c>
      <c r="I119" s="159">
        <v>0</v>
      </c>
      <c r="J119" s="160">
        <v>0</v>
      </c>
      <c r="K119" s="12"/>
    </row>
    <row r="120" spans="1:11" ht="15">
      <c r="A120" s="195"/>
      <c r="B120" s="13"/>
      <c r="C120" s="183" t="s">
        <v>243</v>
      </c>
      <c r="D120" s="186">
        <v>0</v>
      </c>
      <c r="E120" s="14"/>
      <c r="F120" s="158">
        <v>0</v>
      </c>
      <c r="G120" s="159">
        <v>0</v>
      </c>
      <c r="H120" s="159">
        <v>0</v>
      </c>
      <c r="I120" s="159">
        <v>0</v>
      </c>
      <c r="J120" s="160">
        <v>0</v>
      </c>
      <c r="K120" s="12"/>
    </row>
    <row r="121" spans="1:11" ht="15">
      <c r="A121" s="195"/>
      <c r="B121" s="13"/>
      <c r="C121" s="183" t="s">
        <v>244</v>
      </c>
      <c r="D121" s="186">
        <v>0</v>
      </c>
      <c r="E121" s="14"/>
      <c r="F121" s="158">
        <v>0</v>
      </c>
      <c r="G121" s="159">
        <v>0</v>
      </c>
      <c r="H121" s="159">
        <v>0</v>
      </c>
      <c r="I121" s="159">
        <v>0</v>
      </c>
      <c r="J121" s="160">
        <v>0</v>
      </c>
      <c r="K121" s="12"/>
    </row>
    <row r="122" spans="1:11" ht="15">
      <c r="A122" s="195"/>
      <c r="B122" s="13"/>
      <c r="C122" s="183" t="s">
        <v>245</v>
      </c>
      <c r="D122" s="186">
        <v>0</v>
      </c>
      <c r="E122" s="14"/>
      <c r="F122" s="158">
        <v>0</v>
      </c>
      <c r="G122" s="159">
        <v>0</v>
      </c>
      <c r="H122" s="159">
        <v>0</v>
      </c>
      <c r="I122" s="159">
        <v>0</v>
      </c>
      <c r="J122" s="160">
        <v>0</v>
      </c>
      <c r="K122" s="12"/>
    </row>
    <row r="123" spans="1:11" ht="15">
      <c r="A123" s="195"/>
      <c r="B123" s="13"/>
      <c r="C123" s="183" t="s">
        <v>246</v>
      </c>
      <c r="D123" s="186">
        <v>0</v>
      </c>
      <c r="E123" s="14"/>
      <c r="F123" s="158">
        <v>0</v>
      </c>
      <c r="G123" s="159">
        <v>0</v>
      </c>
      <c r="H123" s="159">
        <v>0</v>
      </c>
      <c r="I123" s="159">
        <v>0</v>
      </c>
      <c r="J123" s="160">
        <v>0</v>
      </c>
      <c r="K123" s="12"/>
    </row>
    <row r="124" spans="1:11" ht="15">
      <c r="A124" s="195"/>
      <c r="B124" s="13"/>
      <c r="C124" s="183" t="s">
        <v>247</v>
      </c>
      <c r="D124" s="186">
        <v>0</v>
      </c>
      <c r="E124" s="14"/>
      <c r="F124" s="158">
        <v>0</v>
      </c>
      <c r="G124" s="159">
        <v>0</v>
      </c>
      <c r="H124" s="159">
        <v>0</v>
      </c>
      <c r="I124" s="159">
        <v>0</v>
      </c>
      <c r="J124" s="160">
        <v>0</v>
      </c>
      <c r="K124" s="12"/>
    </row>
    <row r="125" spans="1:11" ht="15">
      <c r="A125" s="195"/>
      <c r="B125" s="13"/>
      <c r="C125" s="183" t="s">
        <v>248</v>
      </c>
      <c r="D125" s="186">
        <v>0</v>
      </c>
      <c r="E125" s="14"/>
      <c r="F125" s="158">
        <v>0</v>
      </c>
      <c r="G125" s="159">
        <v>0</v>
      </c>
      <c r="H125" s="159">
        <v>0</v>
      </c>
      <c r="I125" s="159">
        <v>0</v>
      </c>
      <c r="J125" s="160">
        <v>0</v>
      </c>
      <c r="K125" s="12"/>
    </row>
    <row r="126" spans="1:11" ht="15">
      <c r="A126" s="195"/>
      <c r="B126" s="13"/>
      <c r="C126" s="183" t="s">
        <v>249</v>
      </c>
      <c r="D126" s="186">
        <v>0</v>
      </c>
      <c r="E126" s="14"/>
      <c r="F126" s="158">
        <v>0</v>
      </c>
      <c r="G126" s="159">
        <v>0</v>
      </c>
      <c r="H126" s="159">
        <v>0</v>
      </c>
      <c r="I126" s="159">
        <v>0</v>
      </c>
      <c r="J126" s="160">
        <v>0</v>
      </c>
      <c r="K126" s="12"/>
    </row>
    <row r="127" spans="1:11" ht="15.75" thickBot="1">
      <c r="A127" s="195"/>
      <c r="B127" s="13"/>
      <c r="C127" s="184" t="s">
        <v>250</v>
      </c>
      <c r="D127" s="187">
        <v>0</v>
      </c>
      <c r="E127" s="14"/>
      <c r="F127" s="153">
        <v>0</v>
      </c>
      <c r="G127" s="154">
        <v>0</v>
      </c>
      <c r="H127" s="154">
        <v>0</v>
      </c>
      <c r="I127" s="154">
        <v>0</v>
      </c>
      <c r="J127" s="155">
        <v>0</v>
      </c>
      <c r="K127" s="12"/>
    </row>
    <row r="128" spans="1:11" ht="16.5" thickBot="1" thickTop="1">
      <c r="A128" s="195"/>
      <c r="B128" s="15"/>
      <c r="C128" s="16"/>
      <c r="D128" s="16"/>
      <c r="E128" s="16"/>
      <c r="F128" s="16"/>
      <c r="G128" s="16"/>
      <c r="H128" s="16"/>
      <c r="I128" s="16"/>
      <c r="J128" s="16"/>
      <c r="K128" s="17"/>
    </row>
    <row r="129" ht="15.75" thickBot="1">
      <c r="A129" s="195"/>
    </row>
    <row r="130" spans="1:5" ht="15">
      <c r="A130" s="195"/>
      <c r="B130" s="5"/>
      <c r="C130" s="6"/>
      <c r="D130" s="6"/>
      <c r="E130" s="7"/>
    </row>
    <row r="131" spans="1:5" ht="15">
      <c r="A131" s="195"/>
      <c r="B131" s="13"/>
      <c r="C131" s="9" t="s">
        <v>331</v>
      </c>
      <c r="D131" s="14"/>
      <c r="E131" s="12"/>
    </row>
    <row r="132" spans="1:5" ht="15.75" thickBot="1">
      <c r="A132" s="195"/>
      <c r="B132" s="13"/>
      <c r="C132" s="14"/>
      <c r="D132" s="14"/>
      <c r="E132" s="12"/>
    </row>
    <row r="133" spans="1:5" ht="16.5" thickBot="1" thickTop="1">
      <c r="A133" s="195"/>
      <c r="B133" s="13"/>
      <c r="C133" s="157" t="s">
        <v>253</v>
      </c>
      <c r="D133" s="188">
        <v>0.05</v>
      </c>
      <c r="E133" s="12"/>
    </row>
    <row r="134" spans="1:5" ht="16.5" thickBot="1" thickTop="1">
      <c r="A134" s="195"/>
      <c r="B134" s="13"/>
      <c r="C134" s="14"/>
      <c r="D134" s="14"/>
      <c r="E134" s="12"/>
    </row>
    <row r="135" spans="1:5" ht="16.5" thickBot="1" thickTop="1">
      <c r="A135" s="195"/>
      <c r="B135" s="13"/>
      <c r="C135" s="157" t="s">
        <v>318</v>
      </c>
      <c r="D135" s="188">
        <v>0.08</v>
      </c>
      <c r="E135" s="12"/>
    </row>
    <row r="136" spans="1:5" ht="16.5" thickBot="1" thickTop="1">
      <c r="A136" s="195"/>
      <c r="B136" s="15"/>
      <c r="C136" s="16"/>
      <c r="D136" s="16"/>
      <c r="E136" s="17"/>
    </row>
    <row r="137" ht="15">
      <c r="A137" s="195"/>
    </row>
    <row r="138" ht="15">
      <c r="A138" s="195"/>
    </row>
    <row r="139" spans="1:3" ht="15.75" thickBot="1">
      <c r="A139" s="195"/>
      <c r="C139" s="9" t="s">
        <v>347</v>
      </c>
    </row>
    <row r="140" spans="1:8" ht="16.5" thickBot="1" thickTop="1">
      <c r="A140" s="195"/>
      <c r="D140" s="148">
        <f>+D8</f>
        <v>2017</v>
      </c>
      <c r="E140" s="141">
        <f>+E8</f>
        <v>2018</v>
      </c>
      <c r="F140" s="141">
        <f>+F8</f>
        <v>2019</v>
      </c>
      <c r="G140" s="141">
        <f>+G8</f>
        <v>2020</v>
      </c>
      <c r="H140" s="142">
        <f>+H8</f>
        <v>2021</v>
      </c>
    </row>
    <row r="141" spans="1:8" ht="16.5" thickBot="1" thickTop="1">
      <c r="A141" s="195"/>
      <c r="C141" s="157" t="s">
        <v>350</v>
      </c>
      <c r="D141" s="150"/>
      <c r="E141" s="151"/>
      <c r="F141" s="151"/>
      <c r="G141" s="151"/>
      <c r="H141" s="152"/>
    </row>
    <row r="142" spans="1:8" ht="16.5" thickBot="1" thickTop="1">
      <c r="A142" s="195"/>
      <c r="C142" s="157" t="s">
        <v>351</v>
      </c>
      <c r="D142" s="153"/>
      <c r="E142" s="154"/>
      <c r="F142" s="154"/>
      <c r="G142" s="154"/>
      <c r="H142" s="155"/>
    </row>
    <row r="143" ht="16.5" thickBot="1" thickTop="1">
      <c r="A143" s="195"/>
    </row>
    <row r="144" spans="1:8" ht="16.5" thickBot="1" thickTop="1">
      <c r="A144" s="195"/>
      <c r="C144" s="157" t="s">
        <v>352</v>
      </c>
      <c r="D144" s="150"/>
      <c r="E144" s="151"/>
      <c r="F144" s="151"/>
      <c r="G144" s="151"/>
      <c r="H144" s="152"/>
    </row>
    <row r="145" spans="1:8" ht="16.5" thickBot="1" thickTop="1">
      <c r="A145" s="195"/>
      <c r="C145" s="157" t="s">
        <v>353</v>
      </c>
      <c r="D145" s="158"/>
      <c r="E145" s="159"/>
      <c r="F145" s="159"/>
      <c r="G145" s="159"/>
      <c r="H145" s="160"/>
    </row>
    <row r="146" spans="1:8" ht="16.5" thickBot="1" thickTop="1">
      <c r="A146" s="195"/>
      <c r="C146" s="157" t="s">
        <v>349</v>
      </c>
      <c r="D146" s="189"/>
      <c r="E146" s="190"/>
      <c r="F146" s="190"/>
      <c r="G146" s="190"/>
      <c r="H146" s="187"/>
    </row>
    <row r="147" ht="16.5" thickBot="1" thickTop="1">
      <c r="A147" s="195"/>
    </row>
    <row r="148" spans="1:8" ht="16.5" thickBot="1" thickTop="1">
      <c r="A148" s="195"/>
      <c r="C148" s="157" t="s">
        <v>348</v>
      </c>
      <c r="D148" s="150"/>
      <c r="E148" s="151"/>
      <c r="F148" s="151"/>
      <c r="G148" s="151"/>
      <c r="H148" s="152"/>
    </row>
    <row r="149" spans="1:8" ht="16.5" thickBot="1" thickTop="1">
      <c r="A149" s="195"/>
      <c r="C149" s="157" t="s">
        <v>349</v>
      </c>
      <c r="D149" s="189"/>
      <c r="E149" s="190"/>
      <c r="F149" s="190"/>
      <c r="G149" s="190"/>
      <c r="H149" s="187"/>
    </row>
    <row r="150" ht="15.75" thickTop="1">
      <c r="A150" s="195"/>
    </row>
    <row r="151" ht="15">
      <c r="A151" s="195"/>
    </row>
    <row r="152" ht="15">
      <c r="A152" s="195"/>
    </row>
    <row r="153" ht="15">
      <c r="A153" s="195"/>
    </row>
    <row r="154" ht="15">
      <c r="A154" s="195"/>
    </row>
    <row r="155" ht="15">
      <c r="A155" s="195"/>
    </row>
    <row r="156" ht="15">
      <c r="A156" s="195"/>
    </row>
    <row r="157" ht="15">
      <c r="A157" s="195"/>
    </row>
    <row r="158" ht="15">
      <c r="A158" s="195"/>
    </row>
    <row r="159" ht="15">
      <c r="A159" s="195"/>
    </row>
    <row r="160" ht="15">
      <c r="A160" s="195"/>
    </row>
    <row r="161" ht="15">
      <c r="A161" s="195"/>
    </row>
    <row r="162" ht="15">
      <c r="A162" s="195"/>
    </row>
    <row r="163" ht="15">
      <c r="A163" s="195"/>
    </row>
    <row r="164" ht="15">
      <c r="A164" s="195"/>
    </row>
    <row r="165" ht="15">
      <c r="A165" s="195"/>
    </row>
    <row r="166" ht="15">
      <c r="A166" s="195"/>
    </row>
    <row r="167" spans="1:3" ht="15">
      <c r="A167" s="195"/>
      <c r="C167" t="s">
        <v>438</v>
      </c>
    </row>
    <row r="168" spans="1:3" ht="15">
      <c r="A168" s="195"/>
      <c r="C168" t="s">
        <v>439</v>
      </c>
    </row>
    <row r="169" ht="15">
      <c r="A169" s="195"/>
    </row>
    <row r="170" ht="15">
      <c r="A170" s="195"/>
    </row>
    <row r="171" ht="15">
      <c r="A171" s="195"/>
    </row>
    <row r="172" ht="15">
      <c r="A172" s="195"/>
    </row>
    <row r="173" ht="15">
      <c r="A173" s="195"/>
    </row>
    <row r="174" ht="15">
      <c r="A174" s="195"/>
    </row>
    <row r="175" ht="15">
      <c r="A175" s="195"/>
    </row>
    <row r="176" ht="15">
      <c r="A176" s="195"/>
    </row>
    <row r="177" ht="15">
      <c r="A177" s="195"/>
    </row>
    <row r="178" ht="15">
      <c r="A178" s="195"/>
    </row>
    <row r="179" ht="15">
      <c r="A179" s="195"/>
    </row>
    <row r="180" ht="15">
      <c r="A180" s="195"/>
    </row>
    <row r="181" ht="15">
      <c r="A181" s="195"/>
    </row>
    <row r="182" ht="15">
      <c r="A182" s="195"/>
    </row>
    <row r="183" ht="15">
      <c r="A183" s="195"/>
    </row>
    <row r="184" ht="15">
      <c r="A184" s="195"/>
    </row>
    <row r="185" ht="15">
      <c r="A185" s="195"/>
    </row>
    <row r="186" ht="15">
      <c r="A186" s="195"/>
    </row>
    <row r="187" ht="15">
      <c r="A187" s="195"/>
    </row>
    <row r="188" ht="15">
      <c r="A188" s="195"/>
    </row>
    <row r="189" ht="15">
      <c r="A189" s="195"/>
    </row>
    <row r="190" ht="15">
      <c r="A190" s="195"/>
    </row>
    <row r="191" ht="15">
      <c r="A191" s="195"/>
    </row>
    <row r="192" ht="15">
      <c r="A192" s="195"/>
    </row>
    <row r="193" ht="15">
      <c r="A193" s="195"/>
    </row>
    <row r="194" ht="15">
      <c r="A194" s="195"/>
    </row>
    <row r="195" ht="15">
      <c r="A195" s="195"/>
    </row>
    <row r="196" ht="15">
      <c r="A196" s="195"/>
    </row>
    <row r="197" ht="15">
      <c r="A197" s="195"/>
    </row>
    <row r="198" ht="15">
      <c r="A198" s="195"/>
    </row>
    <row r="199" ht="15">
      <c r="A199" s="195"/>
    </row>
    <row r="200" ht="15">
      <c r="A200" s="195"/>
    </row>
    <row r="201" ht="15">
      <c r="A201" s="195"/>
    </row>
    <row r="202" ht="15">
      <c r="A202" s="195"/>
    </row>
    <row r="203" ht="15">
      <c r="A203" s="195"/>
    </row>
    <row r="204" ht="15">
      <c r="A204" s="195"/>
    </row>
    <row r="205" ht="15">
      <c r="A205" s="195"/>
    </row>
    <row r="206" ht="15">
      <c r="A206" s="195"/>
    </row>
    <row r="207" ht="15">
      <c r="A207" s="195"/>
    </row>
    <row r="208" ht="15">
      <c r="A208" s="195"/>
    </row>
    <row r="209" ht="15">
      <c r="A209" s="195"/>
    </row>
    <row r="210" ht="15">
      <c r="A210" s="195"/>
    </row>
    <row r="211" ht="15">
      <c r="A211" s="195"/>
    </row>
    <row r="212" ht="15">
      <c r="A212" s="195"/>
    </row>
    <row r="213" ht="15">
      <c r="A213" s="195"/>
    </row>
    <row r="214" ht="15">
      <c r="A214" s="195"/>
    </row>
    <row r="215" ht="15">
      <c r="A215" s="195"/>
    </row>
    <row r="216" ht="15">
      <c r="A216" s="195"/>
    </row>
    <row r="217" ht="15">
      <c r="A217" s="195"/>
    </row>
    <row r="218" ht="15">
      <c r="A218" s="195"/>
    </row>
    <row r="219" ht="15">
      <c r="A219" s="195"/>
    </row>
    <row r="220" ht="15">
      <c r="A220" s="195"/>
    </row>
    <row r="221" ht="15">
      <c r="A221" s="195"/>
    </row>
    <row r="222" ht="15">
      <c r="A222" s="195"/>
    </row>
    <row r="223" ht="15">
      <c r="A223" s="195"/>
    </row>
    <row r="224" ht="15">
      <c r="A224" s="195"/>
    </row>
    <row r="225" ht="15">
      <c r="A225" s="195"/>
    </row>
    <row r="226" ht="15">
      <c r="A226" s="195"/>
    </row>
    <row r="227" ht="15">
      <c r="A227" s="195"/>
    </row>
    <row r="228" ht="15">
      <c r="A228" s="195"/>
    </row>
    <row r="229" ht="15">
      <c r="A229" s="195"/>
    </row>
    <row r="230" ht="15">
      <c r="A230" s="195"/>
    </row>
    <row r="231" ht="15">
      <c r="A231" s="195"/>
    </row>
    <row r="232" ht="15">
      <c r="A232" s="195"/>
    </row>
    <row r="233" ht="15">
      <c r="A233" s="195"/>
    </row>
    <row r="234" ht="15">
      <c r="A234" s="195"/>
    </row>
    <row r="235" ht="15">
      <c r="A235" s="195"/>
    </row>
    <row r="236" ht="15">
      <c r="A236" s="195"/>
    </row>
    <row r="237" ht="15">
      <c r="A237" s="195"/>
    </row>
    <row r="238" ht="15">
      <c r="A238" s="195"/>
    </row>
    <row r="239" ht="15">
      <c r="A239" s="195"/>
    </row>
    <row r="240" ht="15">
      <c r="A240" s="195"/>
    </row>
    <row r="241" ht="15">
      <c r="A241" s="195"/>
    </row>
    <row r="242" ht="15">
      <c r="A242" s="195"/>
    </row>
    <row r="243" ht="15">
      <c r="A243" s="195"/>
    </row>
    <row r="244" ht="15">
      <c r="A244" s="195"/>
    </row>
    <row r="245" ht="15">
      <c r="A245" s="195"/>
    </row>
    <row r="246" ht="15">
      <c r="A246" s="195"/>
    </row>
    <row r="247" ht="15">
      <c r="A247" s="195"/>
    </row>
    <row r="248" ht="15">
      <c r="A248" s="195"/>
    </row>
    <row r="249" ht="15">
      <c r="A249" s="195"/>
    </row>
    <row r="250" ht="15">
      <c r="A250" s="195"/>
    </row>
    <row r="251" ht="15">
      <c r="A251" s="195"/>
    </row>
    <row r="252" ht="15">
      <c r="A252" s="195"/>
    </row>
    <row r="253" ht="15">
      <c r="A253" s="195"/>
    </row>
    <row r="254" ht="15">
      <c r="A254" s="195"/>
    </row>
    <row r="255" ht="15">
      <c r="A255" s="195"/>
    </row>
    <row r="256" ht="15">
      <c r="A256" s="195"/>
    </row>
    <row r="257" ht="15">
      <c r="A257" s="195"/>
    </row>
    <row r="258" ht="15">
      <c r="A258" s="195"/>
    </row>
    <row r="259" ht="15">
      <c r="A259" s="195"/>
    </row>
    <row r="260" ht="15">
      <c r="A260" s="195"/>
    </row>
    <row r="261" ht="15">
      <c r="A261" s="195"/>
    </row>
    <row r="262" ht="15">
      <c r="A262" s="195"/>
    </row>
    <row r="263" ht="15">
      <c r="A263" s="195"/>
    </row>
    <row r="264" ht="15">
      <c r="A264" s="195"/>
    </row>
    <row r="265" ht="15">
      <c r="A265" s="195"/>
    </row>
    <row r="266" ht="15">
      <c r="A266" s="195"/>
    </row>
    <row r="267" ht="15">
      <c r="A267" s="195"/>
    </row>
    <row r="268" ht="15">
      <c r="A268" s="195"/>
    </row>
    <row r="269" ht="15">
      <c r="A269" s="195"/>
    </row>
    <row r="270" ht="15">
      <c r="A270" s="195"/>
    </row>
    <row r="271" ht="15">
      <c r="A271" s="195"/>
    </row>
    <row r="272" ht="15">
      <c r="A272" s="195"/>
    </row>
    <row r="273" ht="15">
      <c r="A273" s="195"/>
    </row>
    <row r="274" ht="15">
      <c r="A274" s="195"/>
    </row>
    <row r="275" ht="15">
      <c r="A275" s="195"/>
    </row>
    <row r="276" ht="15">
      <c r="A276" s="195"/>
    </row>
    <row r="277" ht="15">
      <c r="A277" s="195"/>
    </row>
    <row r="278" ht="15">
      <c r="A278" s="195"/>
    </row>
    <row r="279" ht="15">
      <c r="A279" s="195"/>
    </row>
    <row r="280" ht="15">
      <c r="A280" s="195"/>
    </row>
    <row r="281" ht="15">
      <c r="A281" s="195"/>
    </row>
    <row r="282" ht="15">
      <c r="A282" s="195"/>
    </row>
    <row r="283" ht="15">
      <c r="A283" s="195"/>
    </row>
    <row r="284" ht="15">
      <c r="A284" s="195"/>
    </row>
    <row r="285" ht="15">
      <c r="A285" s="195"/>
    </row>
    <row r="286" ht="15">
      <c r="A286" s="195"/>
    </row>
    <row r="287" ht="15">
      <c r="A287" s="195"/>
    </row>
    <row r="288" ht="15">
      <c r="A288" s="195"/>
    </row>
    <row r="289" ht="15">
      <c r="A289" s="195"/>
    </row>
    <row r="290" ht="15">
      <c r="A290" s="195"/>
    </row>
    <row r="291" ht="15">
      <c r="A291" s="195"/>
    </row>
    <row r="292" ht="15">
      <c r="A292" s="195"/>
    </row>
    <row r="293" ht="15">
      <c r="A293" s="195"/>
    </row>
    <row r="294" ht="15">
      <c r="A294" s="195"/>
    </row>
    <row r="295" ht="15">
      <c r="A295" s="195"/>
    </row>
    <row r="296" ht="15">
      <c r="A296" s="195"/>
    </row>
    <row r="297" ht="15">
      <c r="A297" s="195"/>
    </row>
    <row r="298" ht="15">
      <c r="A298" s="195"/>
    </row>
    <row r="299" ht="15">
      <c r="A299" s="195"/>
    </row>
    <row r="300" ht="15">
      <c r="A300" s="195"/>
    </row>
    <row r="301" ht="15">
      <c r="A301" s="195"/>
    </row>
    <row r="302" ht="15">
      <c r="A302" s="195"/>
    </row>
    <row r="303" ht="15">
      <c r="A303" s="195"/>
    </row>
    <row r="304" ht="15">
      <c r="A304" s="195"/>
    </row>
    <row r="305" ht="15">
      <c r="A305" s="195"/>
    </row>
    <row r="306" ht="15">
      <c r="A306" s="195"/>
    </row>
    <row r="307" ht="15">
      <c r="A307" s="195"/>
    </row>
    <row r="308" ht="15">
      <c r="A308" s="195"/>
    </row>
    <row r="309" ht="15">
      <c r="A309" s="195"/>
    </row>
    <row r="310" ht="15">
      <c r="A310" s="195"/>
    </row>
    <row r="311" ht="15">
      <c r="A311" s="195"/>
    </row>
    <row r="312" ht="15">
      <c r="A312" s="195"/>
    </row>
    <row r="313" ht="15">
      <c r="A313" s="195"/>
    </row>
    <row r="314" ht="15">
      <c r="A314" s="195"/>
    </row>
    <row r="315" ht="15">
      <c r="A315" s="195"/>
    </row>
    <row r="316" ht="15">
      <c r="A316" s="195"/>
    </row>
    <row r="317" ht="15">
      <c r="A317" s="195"/>
    </row>
    <row r="318" ht="15">
      <c r="A318" s="195"/>
    </row>
    <row r="319" ht="15">
      <c r="A319" s="195"/>
    </row>
    <row r="320" ht="15">
      <c r="A320" s="195"/>
    </row>
    <row r="321" ht="15">
      <c r="A321" s="195"/>
    </row>
    <row r="322" ht="15">
      <c r="A322" s="195"/>
    </row>
    <row r="323" ht="15">
      <c r="A323" s="195"/>
    </row>
    <row r="324" ht="15">
      <c r="A324" s="195"/>
    </row>
    <row r="325" ht="15">
      <c r="A325" s="195"/>
    </row>
    <row r="326" ht="15">
      <c r="A326" s="195"/>
    </row>
    <row r="327" ht="15">
      <c r="A327" s="195"/>
    </row>
    <row r="328" ht="15">
      <c r="A328" s="195"/>
    </row>
    <row r="329" ht="15">
      <c r="A329" s="195"/>
    </row>
    <row r="330" ht="15">
      <c r="A330" s="195"/>
    </row>
    <row r="331" ht="15">
      <c r="A331" s="195"/>
    </row>
    <row r="332" ht="15">
      <c r="A332" s="195"/>
    </row>
    <row r="333" ht="15">
      <c r="A333" s="195"/>
    </row>
    <row r="334" ht="15">
      <c r="A334" s="195"/>
    </row>
    <row r="335" ht="15">
      <c r="A335" s="195"/>
    </row>
    <row r="336" ht="15">
      <c r="A336" s="195"/>
    </row>
    <row r="337" ht="15">
      <c r="A337" s="195"/>
    </row>
    <row r="338" ht="15">
      <c r="A338" s="195"/>
    </row>
    <row r="339" ht="15">
      <c r="A339" s="195"/>
    </row>
    <row r="340" ht="15">
      <c r="A340" s="195"/>
    </row>
    <row r="341" ht="15">
      <c r="A341" s="195"/>
    </row>
    <row r="342" ht="15">
      <c r="A342" s="195"/>
    </row>
    <row r="343" ht="15">
      <c r="A343" s="195"/>
    </row>
    <row r="344" ht="15">
      <c r="A344" s="195"/>
    </row>
    <row r="345" ht="15">
      <c r="A345" s="195"/>
    </row>
    <row r="346" ht="15">
      <c r="A346" s="195"/>
    </row>
    <row r="347" ht="15">
      <c r="A347" s="195"/>
    </row>
    <row r="348" ht="15">
      <c r="A348" s="195"/>
    </row>
    <row r="349" ht="15">
      <c r="A349" s="195"/>
    </row>
    <row r="350" ht="15">
      <c r="A350" s="195"/>
    </row>
    <row r="351" ht="15">
      <c r="A351" s="195"/>
    </row>
    <row r="352" ht="15">
      <c r="A352" s="195"/>
    </row>
    <row r="353" ht="15">
      <c r="A353" s="195"/>
    </row>
    <row r="354" ht="15">
      <c r="A354" s="195"/>
    </row>
    <row r="355" ht="15">
      <c r="A355" s="195"/>
    </row>
    <row r="356" ht="15">
      <c r="A356" s="195"/>
    </row>
    <row r="357" ht="15">
      <c r="A357" s="195"/>
    </row>
    <row r="358" ht="15">
      <c r="A358" s="195"/>
    </row>
    <row r="359" ht="15">
      <c r="A359" s="195"/>
    </row>
    <row r="360" ht="15">
      <c r="A360" s="195"/>
    </row>
    <row r="361" ht="15">
      <c r="A361" s="195"/>
    </row>
    <row r="362" ht="15">
      <c r="A362" s="195"/>
    </row>
    <row r="363" ht="15">
      <c r="A363" s="195"/>
    </row>
    <row r="364" ht="15">
      <c r="A364" s="195"/>
    </row>
    <row r="365" ht="15">
      <c r="A365" s="195"/>
    </row>
    <row r="366" ht="15">
      <c r="A366" s="195"/>
    </row>
    <row r="367" ht="15">
      <c r="A367" s="195"/>
    </row>
    <row r="368" ht="15">
      <c r="A368" s="195"/>
    </row>
    <row r="369" ht="15">
      <c r="A369" s="195"/>
    </row>
    <row r="370" ht="15">
      <c r="A370" s="195"/>
    </row>
    <row r="371" ht="15">
      <c r="A371" s="195"/>
    </row>
    <row r="372" ht="15">
      <c r="A372" s="195"/>
    </row>
    <row r="373" ht="15">
      <c r="A373" s="195"/>
    </row>
    <row r="374" ht="15">
      <c r="A374" s="195"/>
    </row>
    <row r="375" ht="15">
      <c r="A375" s="195"/>
    </row>
    <row r="376" ht="15">
      <c r="A376" s="195"/>
    </row>
    <row r="377" ht="15">
      <c r="A377" s="195"/>
    </row>
    <row r="378" ht="15">
      <c r="A378" s="195"/>
    </row>
    <row r="379" ht="15">
      <c r="A379" s="195"/>
    </row>
    <row r="380" ht="15">
      <c r="A380" s="195"/>
    </row>
    <row r="381" ht="15">
      <c r="A381" s="195"/>
    </row>
    <row r="382" ht="15">
      <c r="A382" s="195"/>
    </row>
    <row r="383" ht="15">
      <c r="A383" s="195"/>
    </row>
    <row r="384" ht="15">
      <c r="A384" s="195"/>
    </row>
    <row r="385" ht="15">
      <c r="A385" s="195"/>
    </row>
    <row r="386" ht="15">
      <c r="A386" s="195"/>
    </row>
    <row r="387" ht="15">
      <c r="A387" s="195"/>
    </row>
    <row r="388" ht="15">
      <c r="A388" s="195"/>
    </row>
    <row r="389" ht="15">
      <c r="A389" s="195"/>
    </row>
    <row r="390" ht="15">
      <c r="A390" s="195"/>
    </row>
    <row r="391" ht="15">
      <c r="A391" s="195"/>
    </row>
    <row r="392" ht="15">
      <c r="A392" s="195"/>
    </row>
    <row r="393" ht="15">
      <c r="A393" s="195"/>
    </row>
    <row r="394" ht="15">
      <c r="A394" s="195"/>
    </row>
    <row r="395" ht="15">
      <c r="A395" s="195"/>
    </row>
    <row r="396" ht="15">
      <c r="A396" s="195"/>
    </row>
    <row r="397" ht="15">
      <c r="A397" s="195"/>
    </row>
    <row r="398" ht="15">
      <c r="A398" s="195"/>
    </row>
    <row r="399" ht="15">
      <c r="A399" s="195"/>
    </row>
    <row r="400" ht="15">
      <c r="A400" s="195"/>
    </row>
    <row r="401" ht="15">
      <c r="A401" s="195"/>
    </row>
    <row r="402" ht="15">
      <c r="A402" s="195"/>
    </row>
    <row r="403" ht="15">
      <c r="A403" s="195"/>
    </row>
    <row r="404" ht="15">
      <c r="A404" s="195"/>
    </row>
    <row r="405" ht="15">
      <c r="A405" s="195"/>
    </row>
    <row r="406" ht="15">
      <c r="A406" s="195"/>
    </row>
    <row r="407" ht="15">
      <c r="A407" s="195"/>
    </row>
    <row r="408" ht="15">
      <c r="A408" s="195"/>
    </row>
    <row r="409" ht="15">
      <c r="A409" s="195"/>
    </row>
    <row r="410" ht="15">
      <c r="A410" s="195"/>
    </row>
    <row r="411" ht="15">
      <c r="A411" s="195"/>
    </row>
    <row r="412" ht="15">
      <c r="A412" s="195"/>
    </row>
    <row r="413" ht="15">
      <c r="A413" s="195"/>
    </row>
    <row r="414" ht="15">
      <c r="A414" s="195"/>
    </row>
    <row r="415" ht="15">
      <c r="A415" s="195"/>
    </row>
    <row r="416" ht="15">
      <c r="A416" s="195"/>
    </row>
    <row r="417" ht="15">
      <c r="A417" s="195"/>
    </row>
    <row r="418" ht="15">
      <c r="A418" s="195"/>
    </row>
    <row r="419" ht="15">
      <c r="A419" s="195"/>
    </row>
    <row r="420" ht="15">
      <c r="A420" s="195"/>
    </row>
    <row r="421" ht="15">
      <c r="A421" s="195"/>
    </row>
    <row r="422" ht="15">
      <c r="A422" s="195"/>
    </row>
    <row r="423" ht="15">
      <c r="A423" s="195"/>
    </row>
    <row r="424" ht="15">
      <c r="A424" s="195"/>
    </row>
    <row r="425" ht="15">
      <c r="A425" s="195"/>
    </row>
    <row r="426" ht="15">
      <c r="A426" s="195"/>
    </row>
    <row r="427" ht="15">
      <c r="A427" s="195"/>
    </row>
    <row r="428" ht="15">
      <c r="A428" s="195"/>
    </row>
    <row r="429" ht="15">
      <c r="A429" s="195"/>
    </row>
    <row r="430" ht="15">
      <c r="A430" s="195"/>
    </row>
    <row r="431" ht="15">
      <c r="A431" s="195"/>
    </row>
    <row r="432" ht="15">
      <c r="A432" s="195"/>
    </row>
    <row r="433" ht="15">
      <c r="A433" s="195"/>
    </row>
    <row r="434" ht="15">
      <c r="A434" s="195"/>
    </row>
    <row r="435" ht="15">
      <c r="A435" s="195"/>
    </row>
    <row r="436" ht="15">
      <c r="A436" s="195"/>
    </row>
    <row r="437" ht="15">
      <c r="A437" s="195"/>
    </row>
    <row r="438" ht="15">
      <c r="A438" s="195"/>
    </row>
    <row r="439" ht="15">
      <c r="A439" s="195"/>
    </row>
    <row r="440" ht="15">
      <c r="A440" s="195"/>
    </row>
    <row r="441" ht="15">
      <c r="A441" s="195"/>
    </row>
    <row r="442" ht="15">
      <c r="A442" s="195"/>
    </row>
    <row r="443" ht="15">
      <c r="A443" s="195"/>
    </row>
    <row r="444" ht="15">
      <c r="A444" s="195"/>
    </row>
    <row r="445" ht="15">
      <c r="A445" s="195"/>
    </row>
    <row r="446" ht="15">
      <c r="A446" s="195"/>
    </row>
    <row r="447" ht="15">
      <c r="A447" s="195"/>
    </row>
    <row r="448" ht="15">
      <c r="A448" s="195"/>
    </row>
    <row r="449" ht="15">
      <c r="A449" s="195"/>
    </row>
    <row r="450" ht="15">
      <c r="A450" s="195"/>
    </row>
    <row r="451" ht="15">
      <c r="A451" s="195"/>
    </row>
    <row r="452" ht="15">
      <c r="A452" s="195"/>
    </row>
    <row r="453" ht="15">
      <c r="A453" s="195"/>
    </row>
    <row r="454" ht="15">
      <c r="A454" s="195"/>
    </row>
    <row r="455" ht="15">
      <c r="A455" s="195"/>
    </row>
    <row r="456" ht="15">
      <c r="A456" s="195"/>
    </row>
    <row r="457" ht="15">
      <c r="A457" s="195"/>
    </row>
    <row r="458" ht="15">
      <c r="A458" s="195"/>
    </row>
    <row r="459" ht="15">
      <c r="A459" s="195"/>
    </row>
    <row r="460" ht="15">
      <c r="A460" s="195"/>
    </row>
    <row r="461" ht="15">
      <c r="A461" s="195"/>
    </row>
    <row r="462" ht="15">
      <c r="A462" s="195"/>
    </row>
    <row r="463" ht="15">
      <c r="A463" s="195"/>
    </row>
    <row r="464" ht="15">
      <c r="A464" s="195"/>
    </row>
    <row r="465" ht="15">
      <c r="A465" s="195"/>
    </row>
    <row r="466" ht="15">
      <c r="A466" s="195"/>
    </row>
    <row r="467" ht="15">
      <c r="A467" s="195"/>
    </row>
    <row r="468" ht="15">
      <c r="A468" s="195"/>
    </row>
    <row r="469" ht="15">
      <c r="A469" s="195"/>
    </row>
    <row r="470" ht="15">
      <c r="A470" s="195"/>
    </row>
    <row r="471" ht="15">
      <c r="A471" s="195"/>
    </row>
    <row r="472" ht="15">
      <c r="A472" s="195"/>
    </row>
    <row r="473" ht="15">
      <c r="A473" s="195"/>
    </row>
    <row r="474" ht="15">
      <c r="A474" s="195"/>
    </row>
    <row r="475" ht="15">
      <c r="A475" s="195"/>
    </row>
    <row r="476" ht="15">
      <c r="A476" s="195"/>
    </row>
    <row r="477" ht="15">
      <c r="A477" s="195"/>
    </row>
    <row r="478" ht="15">
      <c r="A478" s="195"/>
    </row>
    <row r="479" ht="15">
      <c r="A479" s="195"/>
    </row>
    <row r="480" ht="15">
      <c r="A480" s="195"/>
    </row>
    <row r="481" ht="15">
      <c r="A481" s="195"/>
    </row>
    <row r="482" ht="15">
      <c r="A482" s="195"/>
    </row>
  </sheetData>
  <sheetProtection/>
  <mergeCells count="1">
    <mergeCell ref="C1:D1"/>
  </mergeCells>
  <dataValidations count="5">
    <dataValidation type="list" allowBlank="1" showInputMessage="1" showErrorMessage="1" sqref="F63">
      <formula1>$AD$50:$AD$50</formula1>
    </dataValidation>
    <dataValidation type="list" allowBlank="1" showInputMessage="1" showErrorMessage="1" sqref="E97">
      <formula1>$AO$97:$AO$101</formula1>
    </dataValidation>
    <dataValidation type="list" allowBlank="1" showInputMessage="1" showErrorMessage="1" sqref="D27">
      <formula1>$AI$27:$AI$47</formula1>
    </dataValidation>
    <dataValidation type="list" allowBlank="1" showInputMessage="1" showErrorMessage="1" sqref="D25">
      <formula1>$C$167:$C$168</formula1>
    </dataValidation>
    <dataValidation type="list" allowBlank="1" showInputMessage="1" showErrorMessage="1" sqref="D57:H58">
      <formula1>$A$108:$A$114</formula1>
    </dataValidation>
  </dataValidations>
  <hyperlinks>
    <hyperlink ref="C2" location="SP!A1" display="Stato Patrimoniale"/>
    <hyperlink ref="C3" location="CE!A1" display="Conto Economico"/>
    <hyperlink ref="D2" location="'Cash Flow'!A1" display="Cash Flow"/>
    <hyperlink ref="D3" location="Indici!A1" display="Indici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C30" sqref="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49"/>
  <sheetViews>
    <sheetView showGridLines="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2" sqref="B42"/>
    </sheetView>
  </sheetViews>
  <sheetFormatPr defaultColWidth="9.140625" defaultRowHeight="15"/>
  <cols>
    <col min="2" max="2" width="34.421875" style="0" bestFit="1" customWidth="1"/>
    <col min="3" max="4" width="10.57421875" style="0" bestFit="1" customWidth="1"/>
    <col min="5" max="7" width="11.28125" style="0" bestFit="1" customWidth="1"/>
  </cols>
  <sheetData>
    <row r="1" ht="15">
      <c r="A1" s="85" t="s">
        <v>327</v>
      </c>
    </row>
    <row r="3" spans="3:7" ht="15">
      <c r="C3" s="4">
        <f>+Input!D8</f>
        <v>2017</v>
      </c>
      <c r="D3" s="4">
        <f>+Input!E8</f>
        <v>2018</v>
      </c>
      <c r="E3" s="4">
        <f>+Input!F8</f>
        <v>2019</v>
      </c>
      <c r="F3" s="4">
        <f>+Input!G8</f>
        <v>2020</v>
      </c>
      <c r="G3" s="4">
        <f>+Input!H8</f>
        <v>2021</v>
      </c>
    </row>
    <row r="4" spans="2:12" ht="15">
      <c r="B4" s="3" t="s">
        <v>34</v>
      </c>
      <c r="C4" s="29">
        <f>+Banca!C23</f>
        <v>64320.17083946068</v>
      </c>
      <c r="D4" s="29">
        <f>+Banca!D23</f>
        <v>289553.6159209979</v>
      </c>
      <c r="E4" s="29">
        <f>+Banca!E23</f>
        <v>374531.2896623267</v>
      </c>
      <c r="F4" s="29">
        <f>+Banca!F23</f>
        <v>532520.8613065444</v>
      </c>
      <c r="G4" s="29">
        <f>+Banca!G23</f>
        <v>641538.5450676573</v>
      </c>
      <c r="H4" s="20"/>
      <c r="I4" s="20"/>
      <c r="L4" s="20"/>
    </row>
    <row r="5" spans="2:12" ht="15">
      <c r="B5" s="3"/>
      <c r="C5" s="21"/>
      <c r="D5" s="21"/>
      <c r="E5" s="21"/>
      <c r="F5" s="21"/>
      <c r="G5" s="21"/>
      <c r="H5" s="20"/>
      <c r="I5" s="20"/>
      <c r="L5" s="20"/>
    </row>
    <row r="6" spans="2:13" ht="15">
      <c r="B6" s="3" t="s">
        <v>311</v>
      </c>
      <c r="C6" s="29">
        <f>SUM(C7:C12)</f>
        <v>46050.92857142858</v>
      </c>
      <c r="D6" s="29">
        <f>SUM(D7:D12)</f>
        <v>117108.33333333333</v>
      </c>
      <c r="E6" s="29">
        <f>SUM(E7:E12)</f>
        <v>122200</v>
      </c>
      <c r="F6" s="29">
        <f>SUM(F7:F12)</f>
        <v>122200</v>
      </c>
      <c r="G6" s="29">
        <f>SUM(G7:G12)</f>
        <v>122200</v>
      </c>
      <c r="H6" s="20"/>
      <c r="I6" s="29"/>
      <c r="J6" s="29"/>
      <c r="K6" s="29"/>
      <c r="L6" s="29"/>
      <c r="M6" s="29"/>
    </row>
    <row r="7" spans="2:13" ht="15">
      <c r="B7" t="s">
        <v>19</v>
      </c>
      <c r="C7" s="21">
        <f>+MCL!D17</f>
        <v>38187.5</v>
      </c>
      <c r="D7" s="21">
        <f>+MCL!E17</f>
        <v>117108.33333333333</v>
      </c>
      <c r="E7" s="21">
        <f>+MCL!F17</f>
        <v>122200</v>
      </c>
      <c r="F7" s="21">
        <f>+MCL!G17</f>
        <v>122200</v>
      </c>
      <c r="G7" s="21">
        <f>+MCL!H17</f>
        <v>122200</v>
      </c>
      <c r="I7" s="21"/>
      <c r="J7" s="21"/>
      <c r="K7" s="21"/>
      <c r="L7" s="21"/>
      <c r="M7" s="21"/>
    </row>
    <row r="8" spans="2:13" ht="15">
      <c r="B8" t="s">
        <v>25</v>
      </c>
      <c r="C8" s="21">
        <f>+Iva!C25</f>
        <v>7863.42857142858</v>
      </c>
      <c r="D8" s="21">
        <f>+Iva!D25</f>
        <v>0</v>
      </c>
      <c r="E8" s="21">
        <f>+Iva!E25</f>
        <v>0</v>
      </c>
      <c r="F8" s="21">
        <f>+Iva!F25</f>
        <v>0</v>
      </c>
      <c r="G8" s="21">
        <f>+Iva!G25</f>
        <v>0</v>
      </c>
      <c r="H8" s="20"/>
      <c r="I8" s="21"/>
      <c r="J8" s="21"/>
      <c r="K8" s="21"/>
      <c r="L8" s="21"/>
      <c r="M8" s="21"/>
    </row>
    <row r="9" spans="2:13" ht="15">
      <c r="B9" t="s">
        <v>282</v>
      </c>
      <c r="C9" s="21">
        <f>+Irap!E21</f>
        <v>0</v>
      </c>
      <c r="D9" s="21">
        <f>+Irap!F21</f>
        <v>0</v>
      </c>
      <c r="E9" s="21">
        <f>+Irap!G21</f>
        <v>0</v>
      </c>
      <c r="F9" s="21">
        <f>+Irap!H21</f>
        <v>0</v>
      </c>
      <c r="G9" s="21">
        <f>+Irap!I21</f>
        <v>0</v>
      </c>
      <c r="H9" s="20"/>
      <c r="I9" s="21"/>
      <c r="J9" s="21"/>
      <c r="K9" s="21"/>
      <c r="L9" s="21"/>
      <c r="M9" s="21"/>
    </row>
    <row r="10" spans="3:13" ht="15">
      <c r="C10" s="21"/>
      <c r="D10" s="21"/>
      <c r="E10" s="21"/>
      <c r="F10" s="21"/>
      <c r="G10" s="21"/>
      <c r="H10" s="20"/>
      <c r="I10" s="21"/>
      <c r="J10" s="21"/>
      <c r="K10" s="21"/>
      <c r="L10" s="21"/>
      <c r="M10" s="21"/>
    </row>
    <row r="11" spans="2:13" ht="15">
      <c r="B11" t="s">
        <v>359</v>
      </c>
      <c r="C11" s="21">
        <f>+CFP!D9</f>
        <v>0</v>
      </c>
      <c r="D11" s="21">
        <f>+CFP!E9</f>
        <v>0</v>
      </c>
      <c r="E11" s="21">
        <f>+CFP!F9</f>
        <v>0</v>
      </c>
      <c r="F11" s="21">
        <f>+CFP!G9</f>
        <v>0</v>
      </c>
      <c r="G11" s="21">
        <f>+CFP!H9</f>
        <v>0</v>
      </c>
      <c r="H11" s="20"/>
      <c r="I11" s="21"/>
      <c r="J11" s="21"/>
      <c r="K11" s="21"/>
      <c r="L11" s="21"/>
      <c r="M11" s="21"/>
    </row>
    <row r="12" spans="2:13" ht="15">
      <c r="B12" t="s">
        <v>370</v>
      </c>
      <c r="C12" s="21">
        <f>+CFP!D29</f>
        <v>0</v>
      </c>
      <c r="D12" s="21">
        <f>+CFP!E29</f>
        <v>0</v>
      </c>
      <c r="E12" s="21">
        <f>+CFP!F29</f>
        <v>0</v>
      </c>
      <c r="F12" s="21">
        <f>+CFP!G29</f>
        <v>0</v>
      </c>
      <c r="G12" s="21">
        <f>+CFP!H29</f>
        <v>0</v>
      </c>
      <c r="H12" s="20"/>
      <c r="I12" s="21"/>
      <c r="J12" s="21"/>
      <c r="K12" s="21"/>
      <c r="L12" s="21"/>
      <c r="M12" s="21"/>
    </row>
    <row r="13" spans="3:13" ht="15">
      <c r="C13" s="21"/>
      <c r="D13" s="21"/>
      <c r="E13" s="21"/>
      <c r="F13" s="21"/>
      <c r="G13" s="21"/>
      <c r="H13" s="20"/>
      <c r="I13" s="21"/>
      <c r="J13" s="21"/>
      <c r="K13" s="21"/>
      <c r="L13" s="21"/>
      <c r="M13" s="21"/>
    </row>
    <row r="14" spans="2:13" ht="15">
      <c r="B14" s="3" t="s">
        <v>40</v>
      </c>
      <c r="C14" s="29">
        <f>+MCL!M11</f>
        <v>250000</v>
      </c>
      <c r="D14" s="29">
        <f>+MCL!N11</f>
        <v>50000</v>
      </c>
      <c r="E14" s="29">
        <f>+MCL!O11</f>
        <v>50000</v>
      </c>
      <c r="F14" s="29">
        <f>+MCL!P11</f>
        <v>0</v>
      </c>
      <c r="G14" s="29">
        <f>+MCL!Q11</f>
        <v>0</v>
      </c>
      <c r="H14" s="20"/>
      <c r="I14" s="29"/>
      <c r="J14" s="29"/>
      <c r="K14" s="29"/>
      <c r="L14" s="29"/>
      <c r="M14" s="29"/>
    </row>
    <row r="16" spans="2:13" ht="15">
      <c r="B16" s="4" t="s">
        <v>41</v>
      </c>
      <c r="C16" s="29">
        <f>+C17+C18-C19-C20</f>
        <v>180000</v>
      </c>
      <c r="D16" s="29">
        <f>+D17+D18-D19-D20</f>
        <v>160000</v>
      </c>
      <c r="E16" s="29">
        <f>+E17+E18-E19-E20</f>
        <v>140000</v>
      </c>
      <c r="F16" s="29">
        <f>+F17+F18-F19-F20</f>
        <v>120000</v>
      </c>
      <c r="G16" s="29">
        <f>+G17+G18-G19-G20</f>
        <v>100000</v>
      </c>
      <c r="I16" s="29"/>
      <c r="J16" s="29"/>
      <c r="K16" s="29"/>
      <c r="L16" s="29"/>
      <c r="M16" s="29"/>
    </row>
    <row r="17" spans="2:13" ht="15">
      <c r="B17" t="s">
        <v>55</v>
      </c>
      <c r="C17" s="21">
        <f>+Input!E69</f>
        <v>180000</v>
      </c>
      <c r="D17" s="21">
        <f>+Input!F69+C17</f>
        <v>180000</v>
      </c>
      <c r="E17" s="21">
        <f>+Input!G69+D17</f>
        <v>180000</v>
      </c>
      <c r="F17" s="21">
        <f>+Input!H69+E17</f>
        <v>180000</v>
      </c>
      <c r="G17" s="21">
        <f>+Input!I69+F17</f>
        <v>180000</v>
      </c>
      <c r="I17" s="21"/>
      <c r="J17" s="21"/>
      <c r="K17" s="21"/>
      <c r="L17" s="21"/>
      <c r="M17" s="21"/>
    </row>
    <row r="18" spans="2:13" ht="15">
      <c r="B18" t="s">
        <v>56</v>
      </c>
      <c r="C18" s="21">
        <f>+Input!E70</f>
        <v>20000</v>
      </c>
      <c r="D18" s="21">
        <f>+Input!F70+C18</f>
        <v>20000</v>
      </c>
      <c r="E18" s="21">
        <f>+Input!G70+D18</f>
        <v>20000</v>
      </c>
      <c r="F18" s="21">
        <f>+Input!H70+E18</f>
        <v>20000</v>
      </c>
      <c r="G18" s="21">
        <f>+Input!I70+F18</f>
        <v>20000</v>
      </c>
      <c r="I18" s="21"/>
      <c r="J18" s="21"/>
      <c r="K18" s="21"/>
      <c r="L18" s="21"/>
      <c r="M18" s="21"/>
    </row>
    <row r="19" spans="2:13" ht="15">
      <c r="B19" t="s">
        <v>57</v>
      </c>
      <c r="C19" s="21">
        <f>+Inve!D59</f>
        <v>18000</v>
      </c>
      <c r="D19" s="21">
        <f>+Inve!E59</f>
        <v>36000</v>
      </c>
      <c r="E19" s="21">
        <f>+Inve!F59</f>
        <v>54000</v>
      </c>
      <c r="F19" s="21">
        <f>+Inve!G59</f>
        <v>72000</v>
      </c>
      <c r="G19" s="21">
        <f>+Inve!H59</f>
        <v>90000</v>
      </c>
      <c r="I19" s="21"/>
      <c r="J19" s="21"/>
      <c r="K19" s="21"/>
      <c r="L19" s="21"/>
      <c r="M19" s="21"/>
    </row>
    <row r="20" spans="2:13" ht="15">
      <c r="B20" t="s">
        <v>58</v>
      </c>
      <c r="C20" s="21">
        <f>+Inve!D60</f>
        <v>2000</v>
      </c>
      <c r="D20" s="21">
        <f>+Inve!E60</f>
        <v>4000</v>
      </c>
      <c r="E20" s="21">
        <f>+Inve!F60</f>
        <v>6000</v>
      </c>
      <c r="F20" s="21">
        <f>+Inve!G60</f>
        <v>8000</v>
      </c>
      <c r="G20" s="21">
        <f>+Inve!H60</f>
        <v>10000</v>
      </c>
      <c r="I20" s="21"/>
      <c r="J20" s="21"/>
      <c r="K20" s="21"/>
      <c r="L20" s="21"/>
      <c r="M20" s="21"/>
    </row>
    <row r="22" spans="2:13" ht="15">
      <c r="B22" s="3" t="s">
        <v>30</v>
      </c>
      <c r="C22" s="29">
        <f>+C16+C14+C6+C4</f>
        <v>540371.0994108892</v>
      </c>
      <c r="D22" s="29">
        <f>+D16+D14+D6+D4</f>
        <v>616661.9492543312</v>
      </c>
      <c r="E22" s="29">
        <f>+E16+E14+E6+E4</f>
        <v>686731.2896623267</v>
      </c>
      <c r="F22" s="29">
        <f>+F16+F14+F6+F4</f>
        <v>774720.8613065444</v>
      </c>
      <c r="G22" s="29">
        <f>+G16+G14+G6+G4</f>
        <v>863738.5450676573</v>
      </c>
      <c r="H22" s="29"/>
      <c r="I22" s="29"/>
      <c r="J22" s="29"/>
      <c r="K22" s="29"/>
      <c r="L22" s="29"/>
      <c r="M22" s="29"/>
    </row>
    <row r="24" ht="15">
      <c r="D24" s="20"/>
    </row>
    <row r="25" spans="4:12" ht="15">
      <c r="D25" s="20"/>
      <c r="L25" s="20"/>
    </row>
    <row r="26" spans="2:8" ht="15">
      <c r="B26" s="3" t="s">
        <v>35</v>
      </c>
      <c r="C26" s="29">
        <f>+Banca!C24</f>
        <v>0</v>
      </c>
      <c r="D26" s="29">
        <f>+Banca!D24</f>
        <v>0</v>
      </c>
      <c r="E26" s="29">
        <f>+Banca!E24</f>
        <v>0</v>
      </c>
      <c r="F26" s="29">
        <f>+Banca!F24</f>
        <v>0</v>
      </c>
      <c r="G26" s="29">
        <f>+Banca!G24</f>
        <v>0</v>
      </c>
      <c r="H26" s="20"/>
    </row>
    <row r="27" spans="2:8" ht="15">
      <c r="B27" s="3"/>
      <c r="C27" s="21"/>
      <c r="D27" s="21"/>
      <c r="E27" s="21"/>
      <c r="F27" s="21"/>
      <c r="G27" s="21"/>
      <c r="H27" s="20"/>
    </row>
    <row r="28" spans="2:8" ht="15">
      <c r="B28" s="3" t="s">
        <v>312</v>
      </c>
      <c r="C28" s="29">
        <f>SUM(C29:C32)</f>
        <v>2000</v>
      </c>
      <c r="D28" s="29">
        <f>SUM(D29:D32)</f>
        <v>18670.71328165682</v>
      </c>
      <c r="E28" s="29">
        <f>SUM(E29:E32)</f>
        <v>11456.931306778608</v>
      </c>
      <c r="F28" s="29">
        <f>SUM(F29:F32)</f>
        <v>14949.218786206093</v>
      </c>
      <c r="G28" s="29">
        <f>SUM(G29:G32)</f>
        <v>12343.009095774225</v>
      </c>
      <c r="H28" s="20"/>
    </row>
    <row r="29" spans="2:12" ht="15">
      <c r="B29" t="s">
        <v>24</v>
      </c>
      <c r="C29" s="21">
        <f>+MCL!D23</f>
        <v>0</v>
      </c>
      <c r="D29" s="21">
        <f>+MCL!E23</f>
        <v>0</v>
      </c>
      <c r="E29" s="21">
        <f>+MCL!F23</f>
        <v>0</v>
      </c>
      <c r="F29" s="21">
        <f>+MCL!G23</f>
        <v>0</v>
      </c>
      <c r="G29" s="21">
        <f>+MCL!H23</f>
        <v>0</v>
      </c>
      <c r="L29" s="20"/>
    </row>
    <row r="30" spans="2:12" ht="15">
      <c r="B30" t="s">
        <v>64</v>
      </c>
      <c r="C30" s="21">
        <f>+Inve!M13</f>
        <v>2000</v>
      </c>
      <c r="D30" s="21">
        <f>+Inve!N13+C30</f>
        <v>2000</v>
      </c>
      <c r="E30" s="21">
        <f>+Inve!O13+D30</f>
        <v>2000</v>
      </c>
      <c r="F30" s="21">
        <f>+Inve!P13+E30</f>
        <v>2000</v>
      </c>
      <c r="G30" s="21">
        <f>+Inve!Q13+F30</f>
        <v>2000</v>
      </c>
      <c r="L30" s="20"/>
    </row>
    <row r="31" spans="2:12" ht="15">
      <c r="B31" t="s">
        <v>283</v>
      </c>
      <c r="C31" s="21">
        <f>+Irap!E20</f>
        <v>0</v>
      </c>
      <c r="D31" s="21">
        <f>+Irap!F20</f>
        <v>10367.713281656821</v>
      </c>
      <c r="E31" s="21">
        <f>+Irap!G20</f>
        <v>6008.1694020167</v>
      </c>
      <c r="F31" s="21">
        <f>+Irap!H20</f>
        <v>8583.79021477752</v>
      </c>
      <c r="G31" s="21">
        <f>+Irap!I20</f>
        <v>6894.247191012317</v>
      </c>
      <c r="L31" s="20"/>
    </row>
    <row r="32" spans="2:8" ht="15">
      <c r="B32" t="s">
        <v>21</v>
      </c>
      <c r="C32" s="21">
        <f>+Iva!C26</f>
        <v>0</v>
      </c>
      <c r="D32" s="21">
        <f>+Iva!D26</f>
        <v>6303</v>
      </c>
      <c r="E32" s="21">
        <f>+Iva!E26</f>
        <v>3448.761904761908</v>
      </c>
      <c r="F32" s="21">
        <f>+Iva!F26</f>
        <v>4365.4285714285725</v>
      </c>
      <c r="G32" s="21">
        <f>+Iva!G26</f>
        <v>3448.761904761908</v>
      </c>
      <c r="H32" s="20"/>
    </row>
    <row r="33" spans="3:8" ht="15">
      <c r="C33" s="21"/>
      <c r="D33" s="21"/>
      <c r="E33" s="21"/>
      <c r="F33" s="21"/>
      <c r="G33" s="21"/>
      <c r="H33" s="20"/>
    </row>
    <row r="34" spans="2:8" ht="15">
      <c r="B34" s="3" t="s">
        <v>314</v>
      </c>
      <c r="C34" s="29">
        <f>SUM(C35:C38)</f>
        <v>188632.49945452705</v>
      </c>
      <c r="D34" s="29">
        <f>SUM(D35:D38)</f>
        <v>176251.713870871</v>
      </c>
      <c r="E34" s="29">
        <f>SUM(E35:E38)</f>
        <v>162786.713296359</v>
      </c>
      <c r="F34" s="29">
        <f>SUM(F35:F38)</f>
        <v>148161.60268163116</v>
      </c>
      <c r="G34" s="29">
        <f>SUM(G35:G38)</f>
        <v>132295.1743238724</v>
      </c>
      <c r="H34" s="20"/>
    </row>
    <row r="35" spans="2:8" ht="15">
      <c r="B35" t="s">
        <v>313</v>
      </c>
      <c r="C35" s="21">
        <f>+Personale!D22</f>
        <v>3108</v>
      </c>
      <c r="D35" s="21">
        <f>+Personale!E22</f>
        <v>6216</v>
      </c>
      <c r="E35" s="21">
        <f>+Personale!F22</f>
        <v>9324</v>
      </c>
      <c r="F35" s="21">
        <f>+Personale!G22</f>
        <v>12432</v>
      </c>
      <c r="G35" s="21">
        <f>+Personale!H22</f>
        <v>15540</v>
      </c>
      <c r="H35" s="20"/>
    </row>
    <row r="36" spans="2:8" ht="15">
      <c r="B36" t="s">
        <v>225</v>
      </c>
      <c r="C36" s="83">
        <f>+finanziamento!E22</f>
        <v>185524.49945452705</v>
      </c>
      <c r="D36" s="83">
        <f>+finanziamento!F22</f>
        <v>170035.713870871</v>
      </c>
      <c r="E36" s="83">
        <f>+finanziamento!G22</f>
        <v>153462.713296359</v>
      </c>
      <c r="F36" s="83">
        <f>+finanziamento!H22</f>
        <v>135729.60268163116</v>
      </c>
      <c r="G36" s="83">
        <f>+finanziamento!I22</f>
        <v>116755.1743238724</v>
      </c>
      <c r="H36" s="20"/>
    </row>
    <row r="37" spans="2:8" ht="15">
      <c r="B37" t="s">
        <v>368</v>
      </c>
      <c r="C37" s="83">
        <f>+CFP!D28</f>
        <v>0</v>
      </c>
      <c r="D37" s="83">
        <f>+CFP!E28</f>
        <v>0</v>
      </c>
      <c r="E37" s="83">
        <f>+CFP!F28</f>
        <v>0</v>
      </c>
      <c r="F37" s="83">
        <f>+CFP!G28</f>
        <v>0</v>
      </c>
      <c r="G37" s="83">
        <f>+CFP!H28</f>
        <v>0</v>
      </c>
      <c r="H37" s="20"/>
    </row>
    <row r="38" spans="2:8" ht="15">
      <c r="B38" t="s">
        <v>377</v>
      </c>
      <c r="C38" s="83">
        <f>+CFP!D37-CFP!D47</f>
        <v>0</v>
      </c>
      <c r="D38" s="83">
        <f>+CFP!E37-CFP!E47+C38</f>
        <v>0</v>
      </c>
      <c r="E38" s="83">
        <f>+CFP!F37-CFP!F47+D38</f>
        <v>0</v>
      </c>
      <c r="F38" s="83">
        <f>+CFP!G37-CFP!G47+E38</f>
        <v>0</v>
      </c>
      <c r="G38" s="83">
        <f>+CFP!H37-CFP!H47+F38</f>
        <v>0</v>
      </c>
      <c r="H38" s="20"/>
    </row>
    <row r="40" spans="2:7" ht="15">
      <c r="B40" s="3" t="s">
        <v>339</v>
      </c>
      <c r="C40" s="29">
        <f>SUM(C41:C44)</f>
        <v>349738.59995636216</v>
      </c>
      <c r="D40" s="29">
        <f>SUM(D41:D44)</f>
        <v>421739.5221018033</v>
      </c>
      <c r="E40" s="29">
        <f>SUM(E41:E44)</f>
        <v>512487.64505918906</v>
      </c>
      <c r="F40" s="29">
        <f>SUM(F41:F44)</f>
        <v>611610.039838707</v>
      </c>
      <c r="G40" s="29">
        <f>SUM(G41:G44)</f>
        <v>719100.3616480104</v>
      </c>
    </row>
    <row r="41" spans="2:7" ht="15">
      <c r="B41" t="s">
        <v>340</v>
      </c>
      <c r="C41" s="21">
        <f>+Input!D44</f>
        <v>50000</v>
      </c>
      <c r="D41" s="21">
        <f>+C41+Input!E44</f>
        <v>50000</v>
      </c>
      <c r="E41" s="21">
        <f>+D41+Input!F44</f>
        <v>50000</v>
      </c>
      <c r="F41" s="21">
        <f>+E41+Input!G44</f>
        <v>50000</v>
      </c>
      <c r="G41" s="21">
        <f>+F41+Input!H44</f>
        <v>50000</v>
      </c>
    </row>
    <row r="42" spans="2:7" ht="15">
      <c r="B42" t="s">
        <v>448</v>
      </c>
      <c r="C42" s="21">
        <f>+Input!$D$37</f>
        <v>250000</v>
      </c>
      <c r="D42" s="21">
        <f>+Input!$D$37</f>
        <v>250000</v>
      </c>
      <c r="E42" s="21">
        <f>+Input!$D$37</f>
        <v>250000</v>
      </c>
      <c r="F42" s="21">
        <f>+Input!$D$37</f>
        <v>250000</v>
      </c>
      <c r="G42" s="21">
        <f>+Input!$D$37</f>
        <v>250000</v>
      </c>
    </row>
    <row r="43" spans="2:8" ht="15">
      <c r="B43" t="s">
        <v>33</v>
      </c>
      <c r="D43" s="21">
        <f>+C43+(C44-Input!D45)</f>
        <v>49738.59995636214</v>
      </c>
      <c r="E43" s="21">
        <f>+D43+(D44-Input!E45)</f>
        <v>121739.52210180325</v>
      </c>
      <c r="F43" s="21">
        <f>+E43+(E44-Input!F45)</f>
        <v>212487.64505918906</v>
      </c>
      <c r="G43" s="21">
        <f>+F43+(F44-Input!G45)</f>
        <v>311610.03983870696</v>
      </c>
      <c r="H43" s="20"/>
    </row>
    <row r="44" spans="2:9" ht="15">
      <c r="B44" t="s">
        <v>32</v>
      </c>
      <c r="C44" s="21">
        <f>+'CE'!D57</f>
        <v>49738.59995636214</v>
      </c>
      <c r="D44" s="21">
        <f>+'CE'!E57</f>
        <v>72000.9221454411</v>
      </c>
      <c r="E44" s="21">
        <f>+'CE'!F57</f>
        <v>90748.12295738581</v>
      </c>
      <c r="F44" s="21">
        <f>+'CE'!G57</f>
        <v>99122.39477951787</v>
      </c>
      <c r="G44" s="21">
        <f>+'CE'!H57</f>
        <v>107490.32180930351</v>
      </c>
      <c r="H44" s="20"/>
      <c r="I44" s="20"/>
    </row>
    <row r="45" spans="2:8" ht="15">
      <c r="B45" s="3" t="s">
        <v>31</v>
      </c>
      <c r="C45" s="29">
        <f>+C26+C28+C34+C40</f>
        <v>540371.0994108892</v>
      </c>
      <c r="D45" s="29">
        <f>+D26+D28+D34+D40</f>
        <v>616661.9492543311</v>
      </c>
      <c r="E45" s="29">
        <f>+E26+E28+E34+E40</f>
        <v>686731.2896623267</v>
      </c>
      <c r="F45" s="29">
        <f>+F26+F28+F34+F40</f>
        <v>774720.8613065442</v>
      </c>
      <c r="G45" s="29">
        <f>+G26+G28+G34+G40</f>
        <v>863738.545067657</v>
      </c>
      <c r="H45" s="29"/>
    </row>
    <row r="47" spans="2:7" ht="15">
      <c r="B47" s="3" t="s">
        <v>307</v>
      </c>
      <c r="C47" s="20">
        <f>+C22-C45</f>
        <v>0</v>
      </c>
      <c r="D47" s="20">
        <f>+D22-D45</f>
        <v>0</v>
      </c>
      <c r="E47" s="20">
        <f>+E22-E45</f>
        <v>0</v>
      </c>
      <c r="F47" s="20">
        <f>+F22-F45</f>
        <v>0</v>
      </c>
      <c r="G47" s="20">
        <f>+G22-G45</f>
        <v>0</v>
      </c>
    </row>
    <row r="48" spans="3:7" ht="15">
      <c r="C48" s="20"/>
      <c r="D48" s="20"/>
      <c r="E48" s="20"/>
      <c r="F48" s="20"/>
      <c r="G48" s="20"/>
    </row>
    <row r="49" spans="5:7" ht="15">
      <c r="E49" s="20"/>
      <c r="F49" s="20"/>
      <c r="G49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39"/>
  <sheetViews>
    <sheetView showGridLines="0" zoomScalePageLayoutView="0" workbookViewId="0" topLeftCell="A19">
      <selection activeCell="C19" sqref="C19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85" t="s">
        <v>327</v>
      </c>
      <c r="C1" s="4">
        <f>+SP!C3</f>
        <v>2017</v>
      </c>
      <c r="D1" s="4">
        <f>+SP!D3</f>
        <v>2018</v>
      </c>
      <c r="E1" s="4">
        <f>+SP!E3</f>
        <v>2019</v>
      </c>
      <c r="F1" s="4">
        <f>+SP!F3</f>
        <v>2020</v>
      </c>
      <c r="G1" s="4">
        <f>+SP!G3</f>
        <v>2021</v>
      </c>
    </row>
    <row r="2" ht="15">
      <c r="B2" t="s">
        <v>284</v>
      </c>
    </row>
    <row r="3" spans="2:7" ht="15">
      <c r="B3" s="3" t="s">
        <v>285</v>
      </c>
      <c r="C3" s="82">
        <f>+'CE'!D41</f>
        <v>58974.14285714284</v>
      </c>
      <c r="D3" s="82">
        <f>+'CE'!E41</f>
        <v>74259.85714285716</v>
      </c>
      <c r="E3" s="82">
        <f>+'CE'!F41</f>
        <v>82831.28571428574</v>
      </c>
      <c r="F3" s="82">
        <f>+'CE'!G41</f>
        <v>82831.28571428574</v>
      </c>
      <c r="G3" s="82">
        <f>+'CE'!H41</f>
        <v>82831.28571428574</v>
      </c>
    </row>
    <row r="4" spans="2:7" ht="15">
      <c r="B4" t="s">
        <v>286</v>
      </c>
      <c r="C4" s="20">
        <f>+SP!C35</f>
        <v>3108</v>
      </c>
      <c r="D4" s="20">
        <f>+SP!D35-SP!C35</f>
        <v>3108</v>
      </c>
      <c r="E4" s="20">
        <f>+SP!E35-SP!D35</f>
        <v>3108</v>
      </c>
      <c r="F4" s="20">
        <f>+SP!F35-SP!E35</f>
        <v>3108</v>
      </c>
      <c r="G4" s="20">
        <f>+SP!G35-SP!F35</f>
        <v>3108</v>
      </c>
    </row>
    <row r="5" spans="2:7" ht="15">
      <c r="B5" t="s">
        <v>287</v>
      </c>
      <c r="C5" s="20">
        <f>+'CE'!D35</f>
        <v>20000</v>
      </c>
      <c r="D5" s="20">
        <f>+'CE'!E35</f>
        <v>20000</v>
      </c>
      <c r="E5" s="20">
        <f>+'CE'!F35</f>
        <v>20000</v>
      </c>
      <c r="F5" s="20">
        <f>+'CE'!G35</f>
        <v>20000</v>
      </c>
      <c r="G5" s="20">
        <f>+'CE'!H35</f>
        <v>20000</v>
      </c>
    </row>
    <row r="6" spans="2:7" ht="15">
      <c r="B6" t="s">
        <v>288</v>
      </c>
      <c r="C6" s="82">
        <f>+C3+C4+C5</f>
        <v>82082.14285714284</v>
      </c>
      <c r="D6" s="82">
        <f>+D3+D4+D5</f>
        <v>97367.85714285716</v>
      </c>
      <c r="E6" s="82">
        <f>+E3+E4+E5</f>
        <v>105939.28571428574</v>
      </c>
      <c r="F6" s="82">
        <f>+F3+F4+F5</f>
        <v>105939.28571428574</v>
      </c>
      <c r="G6" s="82">
        <f>+G3+G4+G5</f>
        <v>105939.28571428574</v>
      </c>
    </row>
    <row r="8" spans="2:7" ht="15">
      <c r="B8" s="3" t="s">
        <v>289</v>
      </c>
      <c r="C8" s="82">
        <f>SUM(C9:C14)</f>
        <v>-296050.9285714286</v>
      </c>
      <c r="D8" s="82">
        <f>SUM(D9:D14)</f>
        <v>145613.30851975208</v>
      </c>
      <c r="E8" s="82">
        <f>SUM(E9:E14)</f>
        <v>-12305.448641544885</v>
      </c>
      <c r="F8" s="82">
        <f>SUM(F9:F14)</f>
        <v>53492.28747942748</v>
      </c>
      <c r="G8" s="82">
        <f>SUM(G9:G14)</f>
        <v>-2606.209690431868</v>
      </c>
    </row>
    <row r="9" spans="2:7" ht="15">
      <c r="B9" t="s">
        <v>290</v>
      </c>
      <c r="C9" s="20">
        <f>-SP!C7</f>
        <v>-38187.5</v>
      </c>
      <c r="D9" s="20">
        <f>+SP!C7-SP!D7</f>
        <v>-78920.83333333333</v>
      </c>
      <c r="E9" s="20">
        <f>+SP!D7-SP!E7</f>
        <v>-5091.6666666666715</v>
      </c>
      <c r="F9" s="20">
        <f>+SP!E7-SP!F7</f>
        <v>0</v>
      </c>
      <c r="G9" s="20">
        <f>+SP!F7-SP!G7</f>
        <v>0</v>
      </c>
    </row>
    <row r="10" spans="2:7" ht="15">
      <c r="B10" t="s">
        <v>291</v>
      </c>
      <c r="C10" s="20">
        <f>-SP!C8+SP!C32</f>
        <v>-7863.42857142858</v>
      </c>
      <c r="D10" s="20">
        <f>+SP!C8-SP!D8+SP!D32-SP!C32</f>
        <v>14166.42857142858</v>
      </c>
      <c r="E10" s="20">
        <f>+SP!D8-SP!E8+SP!E32-SP!D32</f>
        <v>-2854.238095238092</v>
      </c>
      <c r="F10" s="20">
        <f>+SP!E8-SP!F8+SP!F32-SP!E32</f>
        <v>916.6666666666642</v>
      </c>
      <c r="G10" s="20">
        <f>+SP!F8-SP!G8+SP!G32-SP!F32</f>
        <v>-916.6666666666642</v>
      </c>
    </row>
    <row r="11" spans="2:7" ht="15">
      <c r="B11" t="s">
        <v>292</v>
      </c>
      <c r="C11" s="20">
        <f>-SP!C14</f>
        <v>-250000</v>
      </c>
      <c r="D11" s="20">
        <f>+SP!C14-SP!D14</f>
        <v>200000</v>
      </c>
      <c r="E11" s="20">
        <f>+SP!D14-SP!E14</f>
        <v>0</v>
      </c>
      <c r="F11" s="20">
        <f>+SP!E14-SP!F14</f>
        <v>50000</v>
      </c>
      <c r="G11" s="20">
        <f>+SP!F14-SP!G14</f>
        <v>0</v>
      </c>
    </row>
    <row r="12" spans="2:7" ht="15">
      <c r="B12" t="s">
        <v>293</v>
      </c>
      <c r="C12" s="20">
        <f>+SP!C29</f>
        <v>0</v>
      </c>
      <c r="D12" s="20">
        <f>+SP!D29-SP!C29</f>
        <v>0</v>
      </c>
      <c r="E12" s="20">
        <f>+SP!E29-SP!D29</f>
        <v>0</v>
      </c>
      <c r="F12" s="20">
        <f>+SP!F29-SP!E29</f>
        <v>0</v>
      </c>
      <c r="G12" s="20">
        <f>+SP!G29-SP!F29</f>
        <v>0</v>
      </c>
    </row>
    <row r="13" spans="2:7" ht="15">
      <c r="B13" t="s">
        <v>291</v>
      </c>
      <c r="C13" s="20">
        <f>+SP!C31-SP!C9</f>
        <v>0</v>
      </c>
      <c r="D13" s="20">
        <f>+SP!D31-SP!C31+SP!C9-SP!D9</f>
        <v>10367.713281656821</v>
      </c>
      <c r="E13" s="20">
        <f>+SP!E31-SP!D31+SP!D9-SP!E9</f>
        <v>-4359.543879640121</v>
      </c>
      <c r="F13" s="20">
        <f>+SP!F31-SP!E31+SP!E9-SP!F9</f>
        <v>2575.6208127608206</v>
      </c>
      <c r="G13" s="20">
        <f>+SP!G31-SP!F31+SP!F9-SP!G9</f>
        <v>-1689.5430237652035</v>
      </c>
    </row>
    <row r="14" spans="3:7" ht="15">
      <c r="C14" s="20"/>
      <c r="D14" s="20"/>
      <c r="E14" s="20"/>
      <c r="F14" s="20"/>
      <c r="G14" s="20"/>
    </row>
    <row r="15" ht="15">
      <c r="A15" s="85"/>
    </row>
    <row r="16" spans="2:7" ht="15">
      <c r="B16" s="3" t="s">
        <v>294</v>
      </c>
      <c r="C16" s="82">
        <f>+C6+C8</f>
        <v>-213968.78571428574</v>
      </c>
      <c r="D16" s="82">
        <f>+D6+D8</f>
        <v>242981.16566260924</v>
      </c>
      <c r="E16" s="82">
        <f>+E6+E8</f>
        <v>93633.83707274086</v>
      </c>
      <c r="F16" s="82">
        <f>+F6+F8</f>
        <v>159431.5731937132</v>
      </c>
      <c r="G16" s="82">
        <f>+G6+G8</f>
        <v>103333.07602385388</v>
      </c>
    </row>
    <row r="18" spans="2:7" ht="15">
      <c r="B18" s="3" t="s">
        <v>295</v>
      </c>
      <c r="C18" s="82">
        <f>SUM(C19:C20)</f>
        <v>-200000</v>
      </c>
      <c r="D18" s="82">
        <f>SUM(D19:D20)</f>
        <v>0</v>
      </c>
      <c r="E18" s="82">
        <f>SUM(E19:E20)</f>
        <v>0</v>
      </c>
      <c r="F18" s="82">
        <f>SUM(F19:F20)</f>
        <v>0</v>
      </c>
      <c r="G18" s="82">
        <f>SUM(G19:G20)</f>
        <v>0</v>
      </c>
    </row>
    <row r="19" spans="2:7" ht="15">
      <c r="B19" t="s">
        <v>296</v>
      </c>
      <c r="C19" s="20">
        <f>-SP!C17</f>
        <v>-180000</v>
      </c>
      <c r="D19" s="20">
        <f>+SP!C17-SP!D17</f>
        <v>0</v>
      </c>
      <c r="E19" s="20">
        <f>+SP!D17-SP!E17</f>
        <v>0</v>
      </c>
      <c r="F19" s="20">
        <f>+SP!E17-SP!F17</f>
        <v>0</v>
      </c>
      <c r="G19" s="20">
        <f>+SP!F17-SP!G17</f>
        <v>0</v>
      </c>
    </row>
    <row r="20" spans="2:7" ht="15">
      <c r="B20" t="s">
        <v>297</v>
      </c>
      <c r="C20" s="20">
        <f>-SP!C18</f>
        <v>-20000</v>
      </c>
      <c r="D20" s="20">
        <f>+SP!C18-SP!D18</f>
        <v>0</v>
      </c>
      <c r="E20" s="20">
        <f>+SP!D18-SP!E18</f>
        <v>0</v>
      </c>
      <c r="F20" s="20">
        <f>+SP!E18-SP!F18</f>
        <v>0</v>
      </c>
      <c r="G20" s="20">
        <f>+SP!F18-SP!G18</f>
        <v>0</v>
      </c>
    </row>
    <row r="22" spans="2:7" ht="15">
      <c r="B22" s="3" t="s">
        <v>298</v>
      </c>
      <c r="C22" s="82">
        <f>+C16+C18</f>
        <v>-413968.78571428574</v>
      </c>
      <c r="D22" s="82">
        <f>+D16+D18</f>
        <v>242981.16566260924</v>
      </c>
      <c r="E22" s="82">
        <f>+E16+E18</f>
        <v>93633.83707274086</v>
      </c>
      <c r="F22" s="82">
        <f>+F16+F18</f>
        <v>159431.5731937132</v>
      </c>
      <c r="G22" s="82">
        <f>+G16+G18</f>
        <v>103333.07602385388</v>
      </c>
    </row>
    <row r="24" spans="2:7" ht="15">
      <c r="B24" t="s">
        <v>299</v>
      </c>
      <c r="C24" s="82">
        <f>SUM(C25:C27)</f>
        <v>187524.49945452705</v>
      </c>
      <c r="D24" s="82">
        <f>SUM(D25:D27)</f>
        <v>-15488.785583656048</v>
      </c>
      <c r="E24" s="82">
        <f>SUM(E25:E27)</f>
        <v>-16573.000574512</v>
      </c>
      <c r="F24" s="82">
        <f>SUM(F25:F27)</f>
        <v>-17733.110614727833</v>
      </c>
      <c r="G24" s="82">
        <f>SUM(G25:G27)</f>
        <v>-18974.428357758763</v>
      </c>
    </row>
    <row r="25" spans="2:7" ht="15">
      <c r="B25" t="s">
        <v>300</v>
      </c>
      <c r="C25" s="20">
        <f>+SP!C36</f>
        <v>185524.49945452705</v>
      </c>
      <c r="D25" s="20">
        <f>+SP!D36-SP!C36</f>
        <v>-15488.785583656048</v>
      </c>
      <c r="E25" s="20">
        <f>+SP!E36-SP!D36</f>
        <v>-16573.000574512</v>
      </c>
      <c r="F25" s="20">
        <f>+SP!F36-SP!E36</f>
        <v>-17733.110614727833</v>
      </c>
      <c r="G25" s="20">
        <f>+SP!G36-SP!F36</f>
        <v>-18974.428357758763</v>
      </c>
    </row>
    <row r="26" spans="2:7" ht="15">
      <c r="B26" t="s">
        <v>301</v>
      </c>
      <c r="C26" s="20">
        <f>+SP!C37</f>
        <v>0</v>
      </c>
      <c r="D26" s="20">
        <f>+SP!D37-SP!C37</f>
        <v>0</v>
      </c>
      <c r="E26" s="20">
        <f>+SP!E37-SP!D37</f>
        <v>0</v>
      </c>
      <c r="F26" s="20">
        <f>+SP!F37-SP!E37</f>
        <v>0</v>
      </c>
      <c r="G26" s="20">
        <f>+SP!G37-SP!F37</f>
        <v>0</v>
      </c>
    </row>
    <row r="27" spans="2:7" ht="15">
      <c r="B27" t="s">
        <v>302</v>
      </c>
      <c r="C27" s="20">
        <f>+SP!C30</f>
        <v>2000</v>
      </c>
      <c r="D27" s="20">
        <f>+SP!D30-SP!C30</f>
        <v>0</v>
      </c>
      <c r="E27" s="20">
        <f>+SP!E30-SP!D30</f>
        <v>0</v>
      </c>
      <c r="F27" s="20">
        <f>+SP!F30-SP!E30</f>
        <v>0</v>
      </c>
      <c r="G27" s="20">
        <f>+SP!G30-SP!F30</f>
        <v>0</v>
      </c>
    </row>
    <row r="30" spans="2:7" ht="15">
      <c r="B30" t="s">
        <v>303</v>
      </c>
      <c r="C30" s="82">
        <f>+'CE'!D48</f>
        <v>-9235.542900780703</v>
      </c>
      <c r="D30" s="82">
        <f>+'CE'!E48</f>
        <v>8108.778284240763</v>
      </c>
      <c r="E30" s="82">
        <f>+'CE'!F48</f>
        <v>13925.00664511678</v>
      </c>
      <c r="F30" s="82">
        <f>+'CE'!G48</f>
        <v>24874.899280009642</v>
      </c>
      <c r="G30" s="82">
        <f>+'CE'!H48</f>
        <v>31553.283286030084</v>
      </c>
    </row>
    <row r="31" spans="2:7" ht="15">
      <c r="B31" t="s">
        <v>304</v>
      </c>
      <c r="C31" s="82">
        <f>-'CE'!D54</f>
        <v>0</v>
      </c>
      <c r="D31" s="82">
        <f>-'CE'!E54</f>
        <v>-10367.713281656821</v>
      </c>
      <c r="E31" s="82">
        <f>-'CE'!F54</f>
        <v>-6008.1694020167</v>
      </c>
      <c r="F31" s="82">
        <f>-'CE'!G54</f>
        <v>-8583.790214777518</v>
      </c>
      <c r="G31" s="82">
        <f>-'CE'!H54</f>
        <v>-6894.247191012317</v>
      </c>
    </row>
    <row r="32" spans="2:7" ht="15">
      <c r="B32" t="s">
        <v>360</v>
      </c>
      <c r="C32" s="82">
        <f>-SP!C11+'CE'!D44</f>
        <v>0</v>
      </c>
      <c r="D32" s="82">
        <f>+SP!C11-SP!D11+'CE'!E44</f>
        <v>0</v>
      </c>
      <c r="E32" s="82">
        <f>+SP!D11-SP!E11+'CE'!F44</f>
        <v>0</v>
      </c>
      <c r="F32" s="82">
        <f>+SP!E11-SP!F11+'CE'!G44</f>
        <v>0</v>
      </c>
      <c r="G32" s="82">
        <f>+SP!F11-SP!G11+'CE'!H44</f>
        <v>0</v>
      </c>
    </row>
    <row r="34" spans="2:7" ht="15">
      <c r="B34" s="97" t="s">
        <v>341</v>
      </c>
      <c r="C34" s="82">
        <f>+SP!C41</f>
        <v>50000</v>
      </c>
      <c r="D34" s="82">
        <f>+SP!D41-SP!C41</f>
        <v>0</v>
      </c>
      <c r="E34" s="82">
        <f>+SP!E41-SP!D41</f>
        <v>0</v>
      </c>
      <c r="F34" s="82">
        <f>+SP!F41-SP!E41</f>
        <v>0</v>
      </c>
      <c r="G34" s="82">
        <f>+SP!G41-SP!F41</f>
        <v>0</v>
      </c>
    </row>
    <row r="35" spans="2:7" ht="15">
      <c r="B35" t="s">
        <v>305</v>
      </c>
      <c r="C35" s="82">
        <f>+SP!C43</f>
        <v>0</v>
      </c>
      <c r="D35" s="82">
        <f>+SP!D43-SP!C43-SP!C44</f>
        <v>0</v>
      </c>
      <c r="E35" s="82">
        <f>+SP!E43-SP!D43-SP!D44</f>
        <v>0</v>
      </c>
      <c r="F35" s="82">
        <f>+SP!F43-SP!E43-SP!E44</f>
        <v>0</v>
      </c>
      <c r="G35" s="82">
        <f>+SP!G43-SP!F43-SP!F44</f>
        <v>0</v>
      </c>
    </row>
    <row r="37" spans="2:7" ht="15">
      <c r="B37" s="3" t="s">
        <v>306</v>
      </c>
      <c r="C37" s="82">
        <f>+C22+C24+C30+C31+C35+C32</f>
        <v>-235679.8291605394</v>
      </c>
      <c r="D37" s="82">
        <f>+D22+D24+D30+D31+D35+D32</f>
        <v>225233.44508153715</v>
      </c>
      <c r="E37" s="82">
        <f>+E22+E24+E30+E31+E35+E32</f>
        <v>84977.67374132894</v>
      </c>
      <c r="F37" s="82">
        <f>+F22+F24+F30+F31+F35+F32</f>
        <v>157989.5716442175</v>
      </c>
      <c r="G37" s="82">
        <f>+G22+G24+G30+G31+G35+G32</f>
        <v>109017.68376111289</v>
      </c>
    </row>
    <row r="39" spans="2:7" ht="15">
      <c r="B39" t="s">
        <v>307</v>
      </c>
      <c r="C39" s="20">
        <f>+SP!C4-SP!C26</f>
        <v>64320.17083946068</v>
      </c>
      <c r="D39" s="20">
        <f>+SP!D26-SP!C26+SP!C4-SP!D4</f>
        <v>-225233.44508153724</v>
      </c>
      <c r="E39" s="20">
        <f>+SP!E26-SP!D26+SP!D4-SP!E4</f>
        <v>-84977.67374132876</v>
      </c>
      <c r="F39" s="20">
        <f>+SP!F26-SP!E26+SP!E4-SP!F4</f>
        <v>-157989.5716442177</v>
      </c>
      <c r="G39" s="20">
        <f>+SP!G26-SP!F26+SP!F4-SP!G4</f>
        <v>-109017.68376111286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58"/>
  <sheetViews>
    <sheetView showGridLines="0" zoomScalePageLayoutView="0" workbookViewId="0" topLeftCell="A32">
      <selection activeCell="C56" sqref="C56"/>
    </sheetView>
  </sheetViews>
  <sheetFormatPr defaultColWidth="9.140625" defaultRowHeight="15"/>
  <cols>
    <col min="2" max="2" width="52.7109375" style="0" bestFit="1" customWidth="1"/>
    <col min="6" max="6" width="10.57421875" style="0" bestFit="1" customWidth="1"/>
    <col min="7" max="7" width="12.00390625" style="0" bestFit="1" customWidth="1"/>
  </cols>
  <sheetData>
    <row r="1" ht="15">
      <c r="A1" s="85" t="s">
        <v>327</v>
      </c>
    </row>
    <row r="2" spans="2:7" ht="15">
      <c r="B2" s="3" t="s">
        <v>379</v>
      </c>
      <c r="C2" s="4">
        <f>+Input!D8</f>
        <v>2017</v>
      </c>
      <c r="D2" s="4">
        <f>+Input!E8</f>
        <v>2018</v>
      </c>
      <c r="E2" s="4">
        <f>+Input!F8</f>
        <v>2019</v>
      </c>
      <c r="F2" s="4">
        <f>+Input!G8</f>
        <v>2020</v>
      </c>
      <c r="G2" s="4">
        <f>+Input!H8</f>
        <v>2021</v>
      </c>
    </row>
    <row r="3" ht="15">
      <c r="B3" t="s">
        <v>380</v>
      </c>
    </row>
    <row r="4" spans="2:7" ht="15">
      <c r="B4" t="s">
        <v>381</v>
      </c>
      <c r="C4" s="20">
        <f>+SP!C16</f>
        <v>180000</v>
      </c>
      <c r="D4" s="20">
        <f>+SP!D16</f>
        <v>160000</v>
      </c>
      <c r="E4" s="20">
        <f>+SP!E16</f>
        <v>140000</v>
      </c>
      <c r="F4" s="20">
        <f>+SP!F16</f>
        <v>120000</v>
      </c>
      <c r="G4" s="20">
        <f>+SP!G16</f>
        <v>100000</v>
      </c>
    </row>
    <row r="5" spans="2:7" ht="15">
      <c r="B5" t="s">
        <v>382</v>
      </c>
      <c r="C5" s="20">
        <f>+SP!C4+SP!C6+SP!C14</f>
        <v>360371.09941088926</v>
      </c>
      <c r="D5" s="20">
        <f>+SP!D4+SP!D6+SP!D14</f>
        <v>456661.94925433124</v>
      </c>
      <c r="E5" s="20">
        <f>+SP!E4+SP!E6+SP!E14</f>
        <v>546731.2896623267</v>
      </c>
      <c r="F5" s="20">
        <f>+SP!F4+SP!F6+SP!F14</f>
        <v>654720.8613065444</v>
      </c>
      <c r="G5" s="20">
        <f>+SP!G4+SP!G6+SP!G14</f>
        <v>763738.5450676573</v>
      </c>
    </row>
    <row r="6" spans="2:7" ht="15">
      <c r="B6" s="3" t="s">
        <v>16</v>
      </c>
      <c r="C6" s="82">
        <f>SUM(C3:C5)</f>
        <v>540371.0994108892</v>
      </c>
      <c r="D6" s="82">
        <f>SUM(D3:D5)</f>
        <v>616661.9492543312</v>
      </c>
      <c r="E6" s="82">
        <f>SUM(E3:E5)</f>
        <v>686731.2896623267</v>
      </c>
      <c r="F6" s="82">
        <f>SUM(F3:F5)</f>
        <v>774720.8613065444</v>
      </c>
      <c r="G6" s="82">
        <f>SUM(G3:G5)</f>
        <v>863738.5450676573</v>
      </c>
    </row>
    <row r="7" spans="2:7" ht="15">
      <c r="B7" t="s">
        <v>386</v>
      </c>
      <c r="C7" s="20"/>
      <c r="D7" s="20"/>
      <c r="E7" s="20"/>
      <c r="F7" s="20"/>
      <c r="G7" s="20"/>
    </row>
    <row r="8" spans="2:7" ht="15">
      <c r="B8" t="s">
        <v>383</v>
      </c>
      <c r="C8" s="20">
        <f>+SP!C40</f>
        <v>349738.59995636216</v>
      </c>
      <c r="D8" s="20">
        <f>+SP!D40</f>
        <v>421739.5221018033</v>
      </c>
      <c r="E8" s="20">
        <f>+SP!E40</f>
        <v>512487.64505918906</v>
      </c>
      <c r="F8" s="20">
        <f>+SP!F40</f>
        <v>611610.039838707</v>
      </c>
      <c r="G8" s="20">
        <f>+SP!G40</f>
        <v>719100.3616480104</v>
      </c>
    </row>
    <row r="9" spans="2:7" ht="15">
      <c r="B9" t="s">
        <v>384</v>
      </c>
      <c r="C9" s="20">
        <f>+SP!C34-finanziamento!F19</f>
        <v>173143.713870871</v>
      </c>
      <c r="D9" s="20">
        <f>+SP!D34-finanziamento!G19</f>
        <v>159678.713296359</v>
      </c>
      <c r="E9" s="20">
        <f>+SP!E34-finanziamento!H19</f>
        <v>145053.60268163116</v>
      </c>
      <c r="F9" s="20">
        <f>+SP!F34-finanziamento!I19</f>
        <v>129187.17432387239</v>
      </c>
      <c r="G9" s="20">
        <f>+SP!G34-finanziamento!J19</f>
        <v>111992.53598107051</v>
      </c>
    </row>
    <row r="10" spans="2:7" ht="15">
      <c r="B10" t="s">
        <v>385</v>
      </c>
      <c r="C10" s="20">
        <f>+SP!C28+SP!C26+finanziamento!F19</f>
        <v>17488.785583656063</v>
      </c>
      <c r="D10" s="20">
        <f>+SP!D28+SP!D26+finanziamento!G19</f>
        <v>35243.713856168804</v>
      </c>
      <c r="E10" s="20">
        <f>+SP!E28+SP!E26+finanziamento!H19</f>
        <v>29190.041921506432</v>
      </c>
      <c r="F10" s="20">
        <f>+SP!F28+SP!F26+finanziamento!I19</f>
        <v>33923.647143964874</v>
      </c>
      <c r="G10" s="20">
        <f>+SP!G28+SP!G26+finanziamento!J19</f>
        <v>32645.647438576114</v>
      </c>
    </row>
    <row r="11" spans="2:7" ht="15">
      <c r="B11" s="3" t="s">
        <v>16</v>
      </c>
      <c r="C11" s="82">
        <f>SUM(C8:C10)</f>
        <v>540371.0994108892</v>
      </c>
      <c r="D11" s="82">
        <f>SUM(D8:D10)</f>
        <v>616661.9492543311</v>
      </c>
      <c r="E11" s="82">
        <f>SUM(E8:E10)</f>
        <v>686731.2896623267</v>
      </c>
      <c r="F11" s="82">
        <f>SUM(F8:F10)</f>
        <v>774720.8613065443</v>
      </c>
      <c r="G11" s="82">
        <f>SUM(G8:G10)</f>
        <v>863738.545067657</v>
      </c>
    </row>
    <row r="15" spans="2:7" ht="15">
      <c r="B15" s="3" t="s">
        <v>387</v>
      </c>
      <c r="C15" s="3">
        <f>+C2</f>
        <v>2017</v>
      </c>
      <c r="D15" s="3">
        <f>+D2</f>
        <v>2018</v>
      </c>
      <c r="E15" s="3">
        <f>+E2</f>
        <v>2019</v>
      </c>
      <c r="F15" s="3">
        <f>+F2</f>
        <v>2020</v>
      </c>
      <c r="G15" s="3">
        <f>+G2</f>
        <v>2021</v>
      </c>
    </row>
    <row r="16" ht="15.75">
      <c r="B16" s="105"/>
    </row>
    <row r="17" spans="2:7" ht="15.75">
      <c r="B17" s="107" t="s">
        <v>389</v>
      </c>
      <c r="C17" s="20">
        <f>+'CE'!D3</f>
        <v>450000</v>
      </c>
      <c r="D17" s="20">
        <f>+'CE'!E3</f>
        <v>460000</v>
      </c>
      <c r="E17" s="20">
        <f>+'CE'!F3</f>
        <v>480000</v>
      </c>
      <c r="F17" s="20">
        <f>+'CE'!G3</f>
        <v>480000</v>
      </c>
      <c r="G17" s="20">
        <f>+'CE'!H3</f>
        <v>480000</v>
      </c>
    </row>
    <row r="18" spans="2:7" ht="15.75">
      <c r="B18" s="107" t="s">
        <v>390</v>
      </c>
      <c r="C18" s="20">
        <f>+'CE'!D5+'CE'!D18+'CE'!D13+'CE'!D14+'CE'!D15+'CE'!D17+'CE'!D19+'CE'!D21+'CE'!D22+'CE'!D23+'CE'!D24+'CE'!D25</f>
        <v>311742.85714285716</v>
      </c>
      <c r="D18" s="20">
        <f>+'CE'!E5+'CE'!E18+'CE'!E13+'CE'!E14+'CE'!E15+'CE'!E17+'CE'!E19+'CE'!E21+'CE'!E22+'CE'!E23+'CE'!E24+'CE'!E25</f>
        <v>306457.14285714284</v>
      </c>
      <c r="E18" s="20">
        <f>+'CE'!F5+'CE'!F18+'CE'!F13+'CE'!F14+'CE'!F15+'CE'!F17+'CE'!F19+'CE'!F21+'CE'!F22+'CE'!F23+'CE'!F24+'CE'!F25</f>
        <v>317885.71428571426</v>
      </c>
      <c r="F18" s="20">
        <f>+'CE'!G5+'CE'!G18+'CE'!G13+'CE'!G14+'CE'!G15+'CE'!G17+'CE'!G19+'CE'!G21+'CE'!G22+'CE'!G23+'CE'!G24+'CE'!G25</f>
        <v>317885.71428571426</v>
      </c>
      <c r="G18" s="20">
        <f>+'CE'!H5+'CE'!H18+'CE'!H13+'CE'!H14+'CE'!H15+'CE'!H17+'CE'!H19+'CE'!H21+'CE'!H22+'CE'!H23+'CE'!H24+'CE'!H25</f>
        <v>317885.71428571426</v>
      </c>
    </row>
    <row r="19" spans="2:7" ht="15.75">
      <c r="B19" s="106" t="s">
        <v>388</v>
      </c>
      <c r="C19" s="82">
        <f>+C17-C18</f>
        <v>138257.14285714284</v>
      </c>
      <c r="D19" s="82">
        <f>+D17-D18</f>
        <v>153542.85714285716</v>
      </c>
      <c r="E19" s="82">
        <f>+E17-E18</f>
        <v>162114.28571428574</v>
      </c>
      <c r="F19" s="82">
        <f>+F17-F18</f>
        <v>162114.28571428574</v>
      </c>
      <c r="G19" s="82">
        <f>+G17-G18</f>
        <v>162114.28571428574</v>
      </c>
    </row>
    <row r="21" spans="2:7" ht="15.75">
      <c r="B21" s="107" t="s">
        <v>391</v>
      </c>
      <c r="C21" s="20">
        <f>+'CE'!D39+'CE'!D20</f>
        <v>59283</v>
      </c>
      <c r="D21" s="20">
        <f>+'CE'!E39+'CE'!E20</f>
        <v>59283</v>
      </c>
      <c r="E21" s="20">
        <f>+'CE'!F39+'CE'!F20</f>
        <v>59283</v>
      </c>
      <c r="F21" s="20">
        <f>+'CE'!G39+'CE'!G20</f>
        <v>59283</v>
      </c>
      <c r="G21" s="20">
        <f>+'CE'!H39+'CE'!H20</f>
        <v>59283</v>
      </c>
    </row>
    <row r="22" spans="2:7" ht="15.75">
      <c r="B22" s="106" t="s">
        <v>392</v>
      </c>
      <c r="C22" s="82">
        <f>+C19-C21</f>
        <v>78974.14285714284</v>
      </c>
      <c r="D22" s="82">
        <f>+D19-D21</f>
        <v>94259.85714285716</v>
      </c>
      <c r="E22" s="82">
        <f>+E19-E21</f>
        <v>102831.28571428574</v>
      </c>
      <c r="F22" s="82">
        <f>+F19-F21</f>
        <v>102831.28571428574</v>
      </c>
      <c r="G22" s="82">
        <f>+G19-G21</f>
        <v>102831.28571428574</v>
      </c>
    </row>
    <row r="24" spans="2:7" ht="15.75">
      <c r="B24" s="107" t="s">
        <v>393</v>
      </c>
      <c r="C24" s="20">
        <f>+'CE'!D35</f>
        <v>20000</v>
      </c>
      <c r="D24" s="20">
        <f>+'CE'!E35</f>
        <v>20000</v>
      </c>
      <c r="E24" s="20">
        <f>+'CE'!F35</f>
        <v>20000</v>
      </c>
      <c r="F24" s="20">
        <f>+'CE'!G35</f>
        <v>20000</v>
      </c>
      <c r="G24" s="20">
        <f>+'CE'!H35</f>
        <v>20000</v>
      </c>
    </row>
    <row r="25" spans="2:7" ht="15.75">
      <c r="B25" s="106" t="s">
        <v>394</v>
      </c>
      <c r="C25" s="82">
        <f>+C22-C24</f>
        <v>58974.14285714284</v>
      </c>
      <c r="D25" s="82">
        <f>+D22-D24</f>
        <v>74259.85714285716</v>
      </c>
      <c r="E25" s="82">
        <f>+E22-E24</f>
        <v>82831.28571428574</v>
      </c>
      <c r="F25" s="82">
        <f>+F22-F24</f>
        <v>82831.28571428574</v>
      </c>
      <c r="G25" s="82">
        <f>+G22-G24</f>
        <v>82831.28571428574</v>
      </c>
    </row>
    <row r="27" spans="2:7" ht="15.75">
      <c r="B27" s="107" t="s">
        <v>395</v>
      </c>
      <c r="C27" s="20">
        <f>-'CE'!D48</f>
        <v>9235.542900780703</v>
      </c>
      <c r="D27" s="20">
        <f>-'CE'!E48</f>
        <v>-8108.778284240763</v>
      </c>
      <c r="E27" s="20">
        <f>-'CE'!F48</f>
        <v>-13925.00664511678</v>
      </c>
      <c r="F27" s="20">
        <f>-'CE'!G48</f>
        <v>-24874.899280009642</v>
      </c>
      <c r="G27" s="20">
        <f>-'CE'!H48</f>
        <v>-31553.283286030084</v>
      </c>
    </row>
    <row r="28" spans="2:7" ht="15.75">
      <c r="B28" s="106" t="s">
        <v>396</v>
      </c>
      <c r="C28" s="82">
        <f>+C25-C27</f>
        <v>49738.59995636214</v>
      </c>
      <c r="D28" s="82">
        <f>+D25-D27</f>
        <v>82368.63542709792</v>
      </c>
      <c r="E28" s="82">
        <f>+E25-E27</f>
        <v>96756.29235940252</v>
      </c>
      <c r="F28" s="82">
        <f>+F25-F27</f>
        <v>107706.18499429538</v>
      </c>
      <c r="G28" s="82">
        <f>+G25-G27</f>
        <v>114384.56900031582</v>
      </c>
    </row>
    <row r="29" ht="15">
      <c r="M29" s="112"/>
    </row>
    <row r="30" spans="2:7" ht="15.75">
      <c r="B30" s="107" t="s">
        <v>397</v>
      </c>
      <c r="C30" s="20">
        <f>-'CE'!D43</f>
        <v>0</v>
      </c>
      <c r="D30" s="20">
        <f>-'CE'!E43</f>
        <v>0</v>
      </c>
      <c r="E30" s="20">
        <f>-'CE'!F43</f>
        <v>0</v>
      </c>
      <c r="F30" s="20">
        <f>-'CE'!G43</f>
        <v>0</v>
      </c>
      <c r="G30" s="20">
        <f>-'CE'!H43</f>
        <v>0</v>
      </c>
    </row>
    <row r="31" spans="2:7" ht="15.75">
      <c r="B31" s="106" t="s">
        <v>398</v>
      </c>
      <c r="C31" s="82">
        <f>+C28-C30</f>
        <v>49738.59995636214</v>
      </c>
      <c r="D31" s="82">
        <f>+D28-D30</f>
        <v>82368.63542709792</v>
      </c>
      <c r="E31" s="82">
        <f>+E28-E30</f>
        <v>96756.29235940252</v>
      </c>
      <c r="F31" s="82">
        <f>+F28-F30</f>
        <v>107706.18499429538</v>
      </c>
      <c r="G31" s="82">
        <f>+G28-G30</f>
        <v>114384.56900031582</v>
      </c>
    </row>
    <row r="33" spans="2:7" ht="15.75">
      <c r="B33" s="107" t="s">
        <v>399</v>
      </c>
      <c r="C33" s="20">
        <f>+'CE'!D54+'CE'!D55-'CE'!D56</f>
        <v>0</v>
      </c>
      <c r="D33" s="20">
        <f>+'CE'!E54+'CE'!E55-'CE'!E56</f>
        <v>10367.713281656821</v>
      </c>
      <c r="E33" s="20">
        <f>+'CE'!F54+'CE'!F55-'CE'!F56</f>
        <v>6008.1694020167</v>
      </c>
      <c r="F33" s="20">
        <f>+'CE'!G54+'CE'!G55-'CE'!G56</f>
        <v>8583.790214777518</v>
      </c>
      <c r="G33" s="20">
        <f>+'CE'!H54+'CE'!H55-'CE'!H56</f>
        <v>6894.247191012317</v>
      </c>
    </row>
    <row r="34" spans="2:7" ht="15.75">
      <c r="B34" s="106" t="s">
        <v>400</v>
      </c>
      <c r="C34" s="82">
        <f>+C31-C33</f>
        <v>49738.59995636214</v>
      </c>
      <c r="D34" s="82">
        <f>+D31-D33</f>
        <v>72000.9221454411</v>
      </c>
      <c r="E34" s="82">
        <f>+E31-E33</f>
        <v>90748.12295738581</v>
      </c>
      <c r="F34" s="82">
        <f>+F31-F33</f>
        <v>99122.39477951787</v>
      </c>
      <c r="G34" s="82">
        <f>+G31-G33</f>
        <v>107490.32180930351</v>
      </c>
    </row>
    <row r="39" spans="2:7" ht="15">
      <c r="B39" s="3" t="s">
        <v>401</v>
      </c>
      <c r="C39" s="4">
        <f>+C15</f>
        <v>2017</v>
      </c>
      <c r="D39" s="4">
        <f>+D15</f>
        <v>2018</v>
      </c>
      <c r="E39" s="4">
        <f>+E15</f>
        <v>2019</v>
      </c>
      <c r="F39" s="4">
        <f>+F15</f>
        <v>2020</v>
      </c>
      <c r="G39" s="4">
        <f>+G15</f>
        <v>2021</v>
      </c>
    </row>
    <row r="40" spans="2:7" ht="15">
      <c r="B40" t="s">
        <v>402</v>
      </c>
      <c r="C40" s="108">
        <f>+C25/(C9+C8)</f>
        <v>0.11278664681825255</v>
      </c>
      <c r="D40" s="108">
        <f>+D25/(D9+D8)</f>
        <v>0.12772192652678516</v>
      </c>
      <c r="E40" s="108">
        <f>+E25/(E9+E8)</f>
        <v>0.12597123906504332</v>
      </c>
      <c r="F40" s="108">
        <f>+F25/(F9+F8)</f>
        <v>0.11181371113540275</v>
      </c>
      <c r="G40" s="108">
        <f>+G25/(G9+G8)</f>
        <v>0.09966549581952218</v>
      </c>
    </row>
    <row r="41" spans="2:7" ht="15">
      <c r="B41" t="s">
        <v>403</v>
      </c>
      <c r="C41" s="109">
        <f>+C34/C8</f>
        <v>0.14221650101695427</v>
      </c>
      <c r="D41" s="109">
        <f>+D34/D8</f>
        <v>0.17072367746473824</v>
      </c>
      <c r="E41" s="109">
        <f>+E34/E8</f>
        <v>0.1770737769627695</v>
      </c>
      <c r="F41" s="109">
        <f>+F34/F8</f>
        <v>0.16206796540759583</v>
      </c>
      <c r="G41" s="109">
        <f>+G34/G8</f>
        <v>0.14947888715138558</v>
      </c>
    </row>
    <row r="42" spans="2:7" ht="15">
      <c r="B42" t="s">
        <v>404</v>
      </c>
      <c r="C42" s="109">
        <f>+(C25+C30)/C6</f>
        <v>0.10913637483839579</v>
      </c>
      <c r="D42" s="109">
        <f>+(D25+D30)/D6</f>
        <v>0.1204223111749514</v>
      </c>
      <c r="E42" s="109">
        <f>+(E25+E30)/E6</f>
        <v>0.12061673461102201</v>
      </c>
      <c r="F42" s="109">
        <f>+(F25+F30)/F6</f>
        <v>0.10691758780652061</v>
      </c>
      <c r="G42" s="109">
        <f>+(G25+G30)/G6</f>
        <v>0.09589856350314609</v>
      </c>
    </row>
    <row r="44" spans="2:7" ht="15">
      <c r="B44" s="3" t="s">
        <v>405</v>
      </c>
      <c r="C44" s="4">
        <f>+C39</f>
        <v>2017</v>
      </c>
      <c r="D44" s="4">
        <f>+D39</f>
        <v>2018</v>
      </c>
      <c r="E44" s="4">
        <f>+E39</f>
        <v>2019</v>
      </c>
      <c r="F44" s="4">
        <f>+F39</f>
        <v>2020</v>
      </c>
      <c r="G44" s="4">
        <f>+G39</f>
        <v>2021</v>
      </c>
    </row>
    <row r="46" spans="2:7" ht="15">
      <c r="B46" t="s">
        <v>66</v>
      </c>
      <c r="C46" s="110">
        <f>+Input!E85</f>
        <v>2</v>
      </c>
      <c r="D46" s="110">
        <f>+Input!F85</f>
        <v>2</v>
      </c>
      <c r="E46" s="110">
        <f>+Input!G85</f>
        <v>2</v>
      </c>
      <c r="F46" s="110">
        <f>+Input!H85</f>
        <v>2</v>
      </c>
      <c r="G46" s="110">
        <f>+Input!I85</f>
        <v>2</v>
      </c>
    </row>
    <row r="48" spans="2:7" ht="15">
      <c r="B48" t="s">
        <v>406</v>
      </c>
      <c r="C48" s="111">
        <f>+C17/C46</f>
        <v>225000</v>
      </c>
      <c r="D48" s="111">
        <f>+D17/D46</f>
        <v>230000</v>
      </c>
      <c r="E48" s="111">
        <f>+E17/E46</f>
        <v>240000</v>
      </c>
      <c r="F48" s="111">
        <f>+F17/F46</f>
        <v>240000</v>
      </c>
      <c r="G48" s="111">
        <f>+G17/G46</f>
        <v>240000</v>
      </c>
    </row>
    <row r="49" spans="2:7" ht="15">
      <c r="B49" t="s">
        <v>408</v>
      </c>
      <c r="C49" s="111">
        <f>+C19/C46</f>
        <v>69128.57142857142</v>
      </c>
      <c r="D49" s="111">
        <f>+D19/D46</f>
        <v>76771.42857142858</v>
      </c>
      <c r="E49" s="111">
        <f>+E19/E46</f>
        <v>81057.14285714287</v>
      </c>
      <c r="F49" s="111">
        <f>+F19/F46</f>
        <v>81057.14285714287</v>
      </c>
      <c r="G49" s="111">
        <f>+G19/G46</f>
        <v>81057.14285714287</v>
      </c>
    </row>
    <row r="50" spans="2:7" ht="15">
      <c r="B50" t="s">
        <v>407</v>
      </c>
      <c r="C50" s="111">
        <f>++C21/C46</f>
        <v>29641.5</v>
      </c>
      <c r="D50" s="111">
        <f>++D21/D46</f>
        <v>29641.5</v>
      </c>
      <c r="E50" s="111">
        <f>++E21/E46</f>
        <v>29641.5</v>
      </c>
      <c r="F50" s="111">
        <f>++F21/F46</f>
        <v>29641.5</v>
      </c>
      <c r="G50" s="111">
        <f>++G21/G46</f>
        <v>29641.5</v>
      </c>
    </row>
    <row r="53" spans="2:7" ht="15">
      <c r="B53" s="3" t="s">
        <v>409</v>
      </c>
      <c r="C53" s="3">
        <f>+C44</f>
        <v>2017</v>
      </c>
      <c r="D53" s="3">
        <f>+D44</f>
        <v>2018</v>
      </c>
      <c r="E53" s="3">
        <f>+E44</f>
        <v>2019</v>
      </c>
      <c r="F53" s="3">
        <f>+F44</f>
        <v>2020</v>
      </c>
      <c r="G53" s="3">
        <f>+G44</f>
        <v>2021</v>
      </c>
    </row>
    <row r="55" spans="2:7" ht="15">
      <c r="B55" t="s">
        <v>410</v>
      </c>
      <c r="C55" s="20">
        <f>+C5-C10</f>
        <v>342882.3138272332</v>
      </c>
      <c r="D55" s="20">
        <f>+D5-D10</f>
        <v>421418.23539816245</v>
      </c>
      <c r="E55" s="20">
        <f>+E5-E10</f>
        <v>517541.2477408203</v>
      </c>
      <c r="F55" s="20">
        <f>+F5-F10</f>
        <v>620797.2141625795</v>
      </c>
      <c r="G55" s="20">
        <f>+G5-G10</f>
        <v>731092.8976290812</v>
      </c>
    </row>
    <row r="56" spans="2:7" ht="15">
      <c r="B56" t="s">
        <v>411</v>
      </c>
      <c r="C56" s="20">
        <f>+Indici!C5-SP!C14-C10</f>
        <v>92882.3138272332</v>
      </c>
      <c r="D56" s="20">
        <f>+Indici!D5-SP!D14-D10</f>
        <v>371418.23539816245</v>
      </c>
      <c r="E56" s="20">
        <f>+Indici!E5-SP!E14-E10</f>
        <v>467541.2477408203</v>
      </c>
      <c r="F56" s="20">
        <f>+Indici!F5-SP!F14-F10</f>
        <v>620797.2141625795</v>
      </c>
      <c r="G56" s="20">
        <f>+Indici!G5-SP!G14-G10</f>
        <v>731092.8976290812</v>
      </c>
    </row>
    <row r="57" spans="2:7" ht="15">
      <c r="B57" t="s">
        <v>412</v>
      </c>
      <c r="C57" s="113">
        <f>+C5/C10</f>
        <v>20.605838963894087</v>
      </c>
      <c r="D57" s="113">
        <f>+D5/D10</f>
        <v>12.957259587283831</v>
      </c>
      <c r="E57" s="113">
        <f>+E5/E10</f>
        <v>18.730061818085634</v>
      </c>
      <c r="F57" s="113">
        <f>+F5/F10</f>
        <v>19.299837028962298</v>
      </c>
      <c r="G57" s="113">
        <f>+G5/G10</f>
        <v>23.39480466744172</v>
      </c>
    </row>
    <row r="58" spans="2:7" ht="15">
      <c r="B58" t="s">
        <v>413</v>
      </c>
      <c r="C58" s="113">
        <f>+(C5-SP!C14)/Indici!C10</f>
        <v>6.310964182329233</v>
      </c>
      <c r="D58" s="113">
        <f>+(D5-SP!D14)/Indici!D10</f>
        <v>11.538566875044358</v>
      </c>
      <c r="E58" s="113">
        <f>+(E5-SP!E14)/Indici!E10</f>
        <v>17.017148896122293</v>
      </c>
      <c r="F58" s="113">
        <f>+(F5-SP!F14)/Indici!F10</f>
        <v>19.299837028962298</v>
      </c>
      <c r="G58" s="113">
        <f>+(G5-SP!G14)/Indici!G10</f>
        <v>23.39480466744172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A30"/>
  <sheetViews>
    <sheetView showGridLines="0" zoomScalePageLayoutView="0" workbookViewId="0" topLeftCell="A11">
      <selection activeCell="M29" sqref="M29"/>
    </sheetView>
  </sheetViews>
  <sheetFormatPr defaultColWidth="9.140625" defaultRowHeight="15"/>
  <cols>
    <col min="2" max="2" width="3.8515625" style="0" customWidth="1"/>
    <col min="3" max="3" width="20.7109375" style="0" customWidth="1"/>
    <col min="4" max="8" width="10.57421875" style="0" bestFit="1" customWidth="1"/>
    <col min="9" max="9" width="3.421875" style="0" customWidth="1"/>
    <col min="12" max="12" width="13.7109375" style="0" bestFit="1" customWidth="1"/>
    <col min="13" max="13" width="11.57421875" style="0" bestFit="1" customWidth="1"/>
    <col min="14" max="17" width="10.57421875" style="0" bestFit="1" customWidth="1"/>
    <col min="21" max="21" width="12.140625" style="0" bestFit="1" customWidth="1"/>
    <col min="22" max="23" width="11.57421875" style="0" bestFit="1" customWidth="1"/>
    <col min="24" max="26" width="10.57421875" style="0" bestFit="1" customWidth="1"/>
    <col min="27" max="27" width="4.00390625" style="0" customWidth="1"/>
  </cols>
  <sheetData>
    <row r="1" ht="15.75" thickBot="1"/>
    <row r="2" spans="2:9" ht="15">
      <c r="B2" s="5"/>
      <c r="C2" s="6"/>
      <c r="D2" s="87"/>
      <c r="E2" s="87"/>
      <c r="F2" s="87"/>
      <c r="G2" s="87"/>
      <c r="H2" s="87"/>
      <c r="I2" s="7"/>
    </row>
    <row r="3" spans="2:9" ht="15">
      <c r="B3" s="13"/>
      <c r="C3" s="9" t="s">
        <v>0</v>
      </c>
      <c r="D3" s="10">
        <f>+Input!D53</f>
        <v>2017</v>
      </c>
      <c r="E3" s="10">
        <f>+Input!E53</f>
        <v>2018</v>
      </c>
      <c r="F3" s="10">
        <f>+Input!F53</f>
        <v>2019</v>
      </c>
      <c r="G3" s="10">
        <f>+Input!G53</f>
        <v>2020</v>
      </c>
      <c r="H3" s="10">
        <f>+Input!H53</f>
        <v>2021</v>
      </c>
      <c r="I3" s="12"/>
    </row>
    <row r="4" spans="2:9" ht="15">
      <c r="B4" s="13"/>
      <c r="C4" s="14" t="str">
        <f>+Input!C50</f>
        <v>Prodotti</v>
      </c>
      <c r="D4" s="27">
        <f>+Input!D54</f>
        <v>450000</v>
      </c>
      <c r="E4" s="27">
        <f>+Input!E54</f>
        <v>460000</v>
      </c>
      <c r="F4" s="27">
        <f>+Input!F54</f>
        <v>480000</v>
      </c>
      <c r="G4" s="27">
        <f>+Input!G54</f>
        <v>480000</v>
      </c>
      <c r="H4" s="27">
        <f>+Input!H54</f>
        <v>480000</v>
      </c>
      <c r="I4" s="12"/>
    </row>
    <row r="5" spans="2:9" ht="15">
      <c r="B5" s="13"/>
      <c r="C5" s="9" t="s">
        <v>16</v>
      </c>
      <c r="D5" s="28">
        <f>SUM(D4:D4)</f>
        <v>450000</v>
      </c>
      <c r="E5" s="28">
        <f>SUM(E4:E4)</f>
        <v>460000</v>
      </c>
      <c r="F5" s="28">
        <f>SUM(F4:F4)</f>
        <v>480000</v>
      </c>
      <c r="G5" s="28">
        <f>SUM(G4:G4)</f>
        <v>480000</v>
      </c>
      <c r="H5" s="28">
        <f>SUM(H4:H4)</f>
        <v>480000</v>
      </c>
      <c r="I5" s="12"/>
    </row>
    <row r="6" spans="2:9" ht="15.75" thickBot="1">
      <c r="B6" s="15"/>
      <c r="C6" s="16"/>
      <c r="D6" s="16"/>
      <c r="E6" s="16"/>
      <c r="F6" s="16"/>
      <c r="G6" s="16"/>
      <c r="H6" s="16"/>
      <c r="I6" s="17"/>
    </row>
    <row r="7" ht="15.75" thickBot="1"/>
    <row r="8" spans="2:27" ht="15">
      <c r="B8" s="5"/>
      <c r="C8" s="6"/>
      <c r="D8" s="6"/>
      <c r="E8" s="6"/>
      <c r="F8" s="6"/>
      <c r="G8" s="6"/>
      <c r="H8" s="6"/>
      <c r="I8" s="7"/>
      <c r="K8" s="24"/>
      <c r="L8" s="6"/>
      <c r="M8" s="6"/>
      <c r="N8" s="6"/>
      <c r="O8" s="6"/>
      <c r="P8" s="6"/>
      <c r="Q8" s="6"/>
      <c r="R8" s="7"/>
      <c r="T8" s="24"/>
      <c r="U8" s="6"/>
      <c r="V8" s="6"/>
      <c r="W8" s="6"/>
      <c r="X8" s="6"/>
      <c r="Y8" s="6"/>
      <c r="Z8" s="6"/>
      <c r="AA8" s="7"/>
    </row>
    <row r="9" spans="2:27" ht="15">
      <c r="B9" s="13"/>
      <c r="C9" s="9" t="s">
        <v>18</v>
      </c>
      <c r="D9" s="10">
        <f>+D3</f>
        <v>2017</v>
      </c>
      <c r="E9" s="10">
        <f>+E3</f>
        <v>2018</v>
      </c>
      <c r="F9" s="10">
        <f>+F3</f>
        <v>2019</v>
      </c>
      <c r="G9" s="10">
        <f>+G3</f>
        <v>2020</v>
      </c>
      <c r="H9" s="10">
        <f>+H3</f>
        <v>2021</v>
      </c>
      <c r="I9" s="12"/>
      <c r="K9" s="25"/>
      <c r="L9" s="9" t="s">
        <v>12</v>
      </c>
      <c r="M9" s="10">
        <f>+D9</f>
        <v>2017</v>
      </c>
      <c r="N9" s="10">
        <f>+E9</f>
        <v>2018</v>
      </c>
      <c r="O9" s="10">
        <f>+F9</f>
        <v>2019</v>
      </c>
      <c r="P9" s="10">
        <f>+G9</f>
        <v>2020</v>
      </c>
      <c r="Q9" s="10">
        <f>+H9</f>
        <v>2021</v>
      </c>
      <c r="R9" s="12"/>
      <c r="T9" s="25"/>
      <c r="U9" s="9" t="s">
        <v>23</v>
      </c>
      <c r="V9" s="10">
        <f>+M9</f>
        <v>2017</v>
      </c>
      <c r="W9" s="10">
        <f>+N9</f>
        <v>2018</v>
      </c>
      <c r="X9" s="10">
        <f>+O9</f>
        <v>2019</v>
      </c>
      <c r="Y9" s="10">
        <f>+P9</f>
        <v>2020</v>
      </c>
      <c r="Z9" s="10">
        <f>+Q9</f>
        <v>2021</v>
      </c>
      <c r="AA9" s="12"/>
    </row>
    <row r="10" spans="2:27" ht="15">
      <c r="B10" s="13"/>
      <c r="C10" s="14" t="str">
        <f>+Input!C63</f>
        <v>Mp xProdotti</v>
      </c>
      <c r="D10" s="27">
        <f>+D4/(1+(Input!$D50))</f>
        <v>257142.85714285713</v>
      </c>
      <c r="E10" s="27">
        <f>+E4/(1+(Input!$D50))</f>
        <v>262857.14285714284</v>
      </c>
      <c r="F10" s="27">
        <f>+F4/(1+(Input!$D50))</f>
        <v>274285.71428571426</v>
      </c>
      <c r="G10" s="27">
        <f>+G4/(1+(Input!$D50))</f>
        <v>274285.71428571426</v>
      </c>
      <c r="H10" s="27">
        <f>+H4/(1+(Input!$D50))</f>
        <v>274285.71428571426</v>
      </c>
      <c r="I10" s="12"/>
      <c r="K10" s="25"/>
      <c r="L10" s="14" t="str">
        <f>+C10</f>
        <v>Mp xProdotti</v>
      </c>
      <c r="M10" s="23">
        <f>+Input!E37</f>
        <v>250000</v>
      </c>
      <c r="N10" s="23">
        <f>+Input!F37</f>
        <v>50000</v>
      </c>
      <c r="O10" s="23">
        <f>+Input!G37</f>
        <v>50000</v>
      </c>
      <c r="P10" s="23">
        <f>+Input!H37</f>
        <v>0</v>
      </c>
      <c r="Q10" s="23">
        <f>+Input!I37</f>
        <v>0</v>
      </c>
      <c r="R10" s="26"/>
      <c r="T10" s="25"/>
      <c r="U10" s="14" t="str">
        <f>+L10</f>
        <v>Mp xProdotti</v>
      </c>
      <c r="V10" s="23">
        <f>+D10+M10-Input!D37</f>
        <v>257142.85714285716</v>
      </c>
      <c r="W10" s="23">
        <f>+E10+N10-M10</f>
        <v>62857.14285714284</v>
      </c>
      <c r="X10" s="23">
        <f>+F10+O10-N10</f>
        <v>274285.71428571426</v>
      </c>
      <c r="Y10" s="23">
        <f>+G10+P10-O10</f>
        <v>224285.71428571426</v>
      </c>
      <c r="Z10" s="23">
        <f>+H10+Q10-P10</f>
        <v>274285.71428571426</v>
      </c>
      <c r="AA10" s="26"/>
    </row>
    <row r="11" spans="2:27" ht="15">
      <c r="B11" s="13"/>
      <c r="C11" s="9" t="s">
        <v>16</v>
      </c>
      <c r="D11" s="28">
        <f>SUM(D10:D10)</f>
        <v>257142.85714285713</v>
      </c>
      <c r="E11" s="28">
        <f>SUM(E10:E10)</f>
        <v>262857.14285714284</v>
      </c>
      <c r="F11" s="28">
        <f>SUM(F10:F10)</f>
        <v>274285.71428571426</v>
      </c>
      <c r="G11" s="28">
        <f>SUM(G10:G10)</f>
        <v>274285.71428571426</v>
      </c>
      <c r="H11" s="28">
        <f>SUM(H10:H10)</f>
        <v>274285.71428571426</v>
      </c>
      <c r="I11" s="12"/>
      <c r="K11" s="13"/>
      <c r="L11" s="9" t="s">
        <v>16</v>
      </c>
      <c r="M11" s="28">
        <f>SUM(M10:M10)</f>
        <v>250000</v>
      </c>
      <c r="N11" s="28">
        <f>SUM(N10:N10)</f>
        <v>50000</v>
      </c>
      <c r="O11" s="28">
        <f>SUM(O10:O10)</f>
        <v>50000</v>
      </c>
      <c r="P11" s="28">
        <f>SUM(P10:P10)</f>
        <v>0</v>
      </c>
      <c r="Q11" s="28">
        <f>SUM(Q10:Q10)</f>
        <v>0</v>
      </c>
      <c r="R11" s="26"/>
      <c r="T11" s="13"/>
      <c r="U11" s="9" t="s">
        <v>16</v>
      </c>
      <c r="V11" s="28">
        <f>SUM(V10:V10)</f>
        <v>257142.85714285716</v>
      </c>
      <c r="W11" s="28">
        <f>SUM(W10:W10)</f>
        <v>62857.14285714284</v>
      </c>
      <c r="X11" s="28">
        <f>SUM(X10:X10)</f>
        <v>274285.71428571426</v>
      </c>
      <c r="Y11" s="28">
        <f>SUM(Y10:Y10)</f>
        <v>224285.71428571426</v>
      </c>
      <c r="Z11" s="28">
        <f>SUM(Z10:Z10)</f>
        <v>274285.71428571426</v>
      </c>
      <c r="AA11" s="26"/>
    </row>
    <row r="12" spans="2:27" ht="15.75" thickBot="1">
      <c r="B12" s="15"/>
      <c r="C12" s="16"/>
      <c r="D12" s="16"/>
      <c r="E12" s="16"/>
      <c r="F12" s="16"/>
      <c r="G12" s="16"/>
      <c r="H12" s="16"/>
      <c r="I12" s="17"/>
      <c r="K12" s="15"/>
      <c r="L12" s="16"/>
      <c r="M12" s="16"/>
      <c r="N12" s="16"/>
      <c r="O12" s="16"/>
      <c r="P12" s="16"/>
      <c r="Q12" s="16"/>
      <c r="R12" s="17"/>
      <c r="T12" s="15"/>
      <c r="U12" s="16"/>
      <c r="V12" s="16"/>
      <c r="W12" s="16"/>
      <c r="X12" s="16"/>
      <c r="Y12" s="16"/>
      <c r="Z12" s="16"/>
      <c r="AA12" s="17"/>
    </row>
    <row r="13" ht="15.75" thickBot="1"/>
    <row r="14" spans="2:27" ht="15">
      <c r="B14" s="5"/>
      <c r="C14" s="6"/>
      <c r="D14" s="6"/>
      <c r="E14" s="98"/>
      <c r="F14" s="98"/>
      <c r="G14" s="98"/>
      <c r="H14" s="98"/>
      <c r="I14" s="7"/>
      <c r="K14" s="5"/>
      <c r="L14" s="6"/>
      <c r="M14" s="6"/>
      <c r="N14" s="6"/>
      <c r="O14" s="6"/>
      <c r="P14" s="6"/>
      <c r="Q14" s="6"/>
      <c r="R14" s="7"/>
      <c r="T14" s="5"/>
      <c r="U14" s="6"/>
      <c r="V14" s="6"/>
      <c r="W14" s="6"/>
      <c r="X14" s="6"/>
      <c r="Y14" s="6"/>
      <c r="Z14" s="6"/>
      <c r="AA14" s="7"/>
    </row>
    <row r="15" spans="2:27" ht="15">
      <c r="B15" s="13"/>
      <c r="C15" s="9" t="s">
        <v>19</v>
      </c>
      <c r="D15" s="10">
        <f>+D9</f>
        <v>2017</v>
      </c>
      <c r="E15" s="10">
        <f>+E9</f>
        <v>2018</v>
      </c>
      <c r="F15" s="10">
        <f>+F9</f>
        <v>2019</v>
      </c>
      <c r="G15" s="10">
        <f>+G9</f>
        <v>2020</v>
      </c>
      <c r="H15" s="10">
        <f>+H9</f>
        <v>2021</v>
      </c>
      <c r="I15" s="30"/>
      <c r="K15" s="13"/>
      <c r="L15" s="9" t="s">
        <v>20</v>
      </c>
      <c r="M15" s="10">
        <f>+M9</f>
        <v>2017</v>
      </c>
      <c r="N15" s="10">
        <f>+N9</f>
        <v>2018</v>
      </c>
      <c r="O15" s="10">
        <f>+O9</f>
        <v>2019</v>
      </c>
      <c r="P15" s="10">
        <f>+P9</f>
        <v>2020</v>
      </c>
      <c r="Q15" s="10">
        <f>+Q9</f>
        <v>2021</v>
      </c>
      <c r="R15" s="30"/>
      <c r="T15" s="13"/>
      <c r="U15" s="9" t="s">
        <v>332</v>
      </c>
      <c r="V15" s="10">
        <f>+V9</f>
        <v>2017</v>
      </c>
      <c r="W15" s="10">
        <f>+W9</f>
        <v>2018</v>
      </c>
      <c r="X15" s="10">
        <f>+X9</f>
        <v>2019</v>
      </c>
      <c r="Y15" s="10">
        <f>+Y9</f>
        <v>2020</v>
      </c>
      <c r="Z15" s="10">
        <f>+Z9</f>
        <v>2021</v>
      </c>
      <c r="AA15" s="30"/>
    </row>
    <row r="16" spans="2:27" ht="15">
      <c r="B16" s="13"/>
      <c r="C16" s="14" t="str">
        <f>+C10</f>
        <v>Mp xProdotti</v>
      </c>
      <c r="D16" s="27">
        <f>+IF(Input!$D$57=0,0,IF(Input!$D$57=30,((D4+V16)/12),IF(Input!$D$57=60,(D4+V16)/6,IF(Input!$D$57=90,(D4+V16)/4,IF(Input!$D$57=120,(D4+V16)/3,IF(Input!$D$57=150,(D4+V16)*0.416667,(D4+V16)/2))))))</f>
        <v>38187.5</v>
      </c>
      <c r="E16" s="27">
        <f>+IF(Input!$E$57=0,0,IF(Input!$E$57=30,((E4+W16)/12),IF(Input!$E$57=60,(E4+W16)/6,IF(Input!$E$57=90,(E4+W16)/4,IF(Input!$E$57=120,(E4+W16)/3,IF(Input!$E$57=150,(E4+W16)*0.416667,(E4+W16)/2))))))</f>
        <v>117108.33333333333</v>
      </c>
      <c r="F16" s="27">
        <f>+IF(Input!$F$57=0,0,IF(Input!$F$57=30,((F4+X16)/12),IF(Input!$F$57=60,(F4+X16)/6,IF(Input!$F$57=90,(F4+X16)/4,IF(Input!$F$57=120,(F4+X16)/3,IF(Input!$F$57=150,(F4+X16)*0.416667,(F4+X16)/2))))))</f>
        <v>122200</v>
      </c>
      <c r="G16" s="27">
        <f>+IF(Input!$G$57=0,0,IF(Input!$G$57=30,((G4+Y16)/12),IF(Input!$G$57=60,(G4+Y16)/6,IF(Input!$G$57=90,(G4+Y16)/4,IF(Input!$G$57=120,(G4+Y16)/3,IF(Input!$G$57=150,(G4+Y16)*0.416667,(G4+Y16)/2))))))</f>
        <v>122200</v>
      </c>
      <c r="H16" s="27">
        <f>+IF(Input!$H$57=0,0,IF(Input!$H$57=30,((H4+Z16)/12),IF(Input!$H$57=60,(H4+Z16)/6,IF(Input!$H$57=90,(H4+Z16)/4,IF(Input!$H$57=120,(H4+Z16)/3,IF(Input!$H$57=150,(H4+Z16)*0.416667,(H4+Z16)/2))))))</f>
        <v>122200</v>
      </c>
      <c r="I16" s="12"/>
      <c r="K16" s="13"/>
      <c r="L16" s="14" t="str">
        <f>+L10</f>
        <v>Mp xProdotti</v>
      </c>
      <c r="M16" s="27">
        <f>+Input!$D51*D4</f>
        <v>99000</v>
      </c>
      <c r="N16" s="27">
        <f>+Input!$D51*E4</f>
        <v>101200</v>
      </c>
      <c r="O16" s="27">
        <f>+Input!$D51*F4</f>
        <v>105600</v>
      </c>
      <c r="P16" s="27">
        <f>+Input!$D51*G4</f>
        <v>105600</v>
      </c>
      <c r="Q16" s="27">
        <f>+Input!$D51*H4</f>
        <v>105600</v>
      </c>
      <c r="R16" s="12"/>
      <c r="T16" s="13"/>
      <c r="U16" s="14" t="str">
        <f>+U10</f>
        <v>Mp xProdotti</v>
      </c>
      <c r="V16" s="27">
        <f>+M16/12</f>
        <v>8250</v>
      </c>
      <c r="W16" s="27">
        <f>+N16/12</f>
        <v>8433.333333333334</v>
      </c>
      <c r="X16" s="27">
        <f>+O16/12</f>
        <v>8800</v>
      </c>
      <c r="Y16" s="27">
        <f>+P16/12</f>
        <v>8800</v>
      </c>
      <c r="Z16" s="27">
        <f>+Q16/12</f>
        <v>8800</v>
      </c>
      <c r="AA16" s="12"/>
    </row>
    <row r="17" spans="2:27" ht="15">
      <c r="B17" s="13"/>
      <c r="C17" s="9" t="s">
        <v>29</v>
      </c>
      <c r="D17" s="28">
        <f>SUM(D16:D16)</f>
        <v>38187.5</v>
      </c>
      <c r="E17" s="28">
        <f>SUM(E16:E16)</f>
        <v>117108.33333333333</v>
      </c>
      <c r="F17" s="28">
        <f>SUM(F16:F16)</f>
        <v>122200</v>
      </c>
      <c r="G17" s="28">
        <f>SUM(G16:G16)</f>
        <v>122200</v>
      </c>
      <c r="H17" s="28">
        <f>SUM(H16:H16)</f>
        <v>122200</v>
      </c>
      <c r="I17" s="12"/>
      <c r="K17" s="13"/>
      <c r="L17" s="9" t="s">
        <v>26</v>
      </c>
      <c r="M17" s="28">
        <f>SUM(M16:M16)</f>
        <v>99000</v>
      </c>
      <c r="N17" s="28">
        <f>SUM(N16:N16)</f>
        <v>101200</v>
      </c>
      <c r="O17" s="28">
        <f>SUM(O16:O16)</f>
        <v>105600</v>
      </c>
      <c r="P17" s="28">
        <f>SUM(P16:P16)</f>
        <v>105600</v>
      </c>
      <c r="Q17" s="28">
        <f>SUM(Q16:Q16)</f>
        <v>105600</v>
      </c>
      <c r="R17" s="12"/>
      <c r="T17" s="13"/>
      <c r="U17" s="9" t="s">
        <v>26</v>
      </c>
      <c r="V17" s="28">
        <f>SUM(V16:V16)</f>
        <v>8250</v>
      </c>
      <c r="W17" s="28">
        <f>SUM(W16:W16)</f>
        <v>8433.333333333334</v>
      </c>
      <c r="X17" s="28">
        <f>SUM(X16:X16)</f>
        <v>8800</v>
      </c>
      <c r="Y17" s="28">
        <f>SUM(Y16:Y16)</f>
        <v>8800</v>
      </c>
      <c r="Z17" s="28">
        <f>SUM(Z16:Z16)</f>
        <v>8800</v>
      </c>
      <c r="AA17" s="12"/>
    </row>
    <row r="18" spans="2:27" ht="15.75" thickBot="1">
      <c r="B18" s="15"/>
      <c r="C18" s="16"/>
      <c r="D18" s="16"/>
      <c r="E18" s="16"/>
      <c r="F18" s="16"/>
      <c r="G18" s="16"/>
      <c r="H18" s="16"/>
      <c r="I18" s="17"/>
      <c r="K18" s="15"/>
      <c r="L18" s="16"/>
      <c r="M18" s="16"/>
      <c r="N18" s="16"/>
      <c r="O18" s="16"/>
      <c r="P18" s="16"/>
      <c r="Q18" s="16"/>
      <c r="R18" s="17"/>
      <c r="T18" s="15"/>
      <c r="U18" s="16"/>
      <c r="V18" s="16"/>
      <c r="W18" s="16"/>
      <c r="X18" s="16"/>
      <c r="Y18" s="16"/>
      <c r="Z18" s="16"/>
      <c r="AA18" s="17"/>
    </row>
    <row r="19" ht="15.75" thickBot="1"/>
    <row r="20" spans="2:27" ht="15">
      <c r="B20" s="5"/>
      <c r="C20" s="6"/>
      <c r="D20" s="6"/>
      <c r="E20" s="6"/>
      <c r="F20" s="6"/>
      <c r="G20" s="6"/>
      <c r="H20" s="6"/>
      <c r="I20" s="7"/>
      <c r="K20" s="5"/>
      <c r="L20" s="6"/>
      <c r="M20" s="6"/>
      <c r="N20" s="6"/>
      <c r="O20" s="6"/>
      <c r="P20" s="6"/>
      <c r="Q20" s="6"/>
      <c r="R20" s="7"/>
      <c r="T20" s="5"/>
      <c r="U20" s="6"/>
      <c r="V20" s="6"/>
      <c r="W20" s="6"/>
      <c r="X20" s="6"/>
      <c r="Y20" s="6"/>
      <c r="Z20" s="6"/>
      <c r="AA20" s="7"/>
    </row>
    <row r="21" spans="2:27" ht="15">
      <c r="B21" s="13"/>
      <c r="C21" s="9" t="s">
        <v>22</v>
      </c>
      <c r="D21" s="10">
        <f>+D15</f>
        <v>2017</v>
      </c>
      <c r="E21" s="10">
        <f>+E15</f>
        <v>2018</v>
      </c>
      <c r="F21" s="10">
        <f>+F15</f>
        <v>2019</v>
      </c>
      <c r="G21" s="10">
        <f>+G15</f>
        <v>2020</v>
      </c>
      <c r="H21" s="10">
        <f>+H15</f>
        <v>2021</v>
      </c>
      <c r="I21" s="30"/>
      <c r="K21" s="13"/>
      <c r="L21" s="9" t="s">
        <v>25</v>
      </c>
      <c r="M21" s="10">
        <f>+M15</f>
        <v>2017</v>
      </c>
      <c r="N21" s="10">
        <f>+N15</f>
        <v>2018</v>
      </c>
      <c r="O21" s="10">
        <f>+O15</f>
        <v>2019</v>
      </c>
      <c r="P21" s="10">
        <f>+P15</f>
        <v>2020</v>
      </c>
      <c r="Q21" s="10">
        <f>+Q15</f>
        <v>2021</v>
      </c>
      <c r="R21" s="30"/>
      <c r="T21" s="13"/>
      <c r="U21" s="9" t="s">
        <v>333</v>
      </c>
      <c r="V21" s="10">
        <f>+V15</f>
        <v>2017</v>
      </c>
      <c r="W21" s="10">
        <f>+W15</f>
        <v>2018</v>
      </c>
      <c r="X21" s="10">
        <f>+X15</f>
        <v>2019</v>
      </c>
      <c r="Y21" s="10">
        <f>+Y15</f>
        <v>2020</v>
      </c>
      <c r="Z21" s="10">
        <f>+Z15</f>
        <v>2021</v>
      </c>
      <c r="AA21" s="30"/>
    </row>
    <row r="22" spans="2:27" ht="15">
      <c r="B22" s="13"/>
      <c r="C22" s="14" t="str">
        <f>+C16</f>
        <v>Mp xProdotti</v>
      </c>
      <c r="D22" s="27">
        <f>+IF(Input!$D$58=0,0,IF(Input!$D$58=30,(V10+V22)/12,IF(Input!$D$58=60,(V10+V22)/6,IF(Input!$D$58=90,(V10+V22)/4,IF(Input!$D$58=120,(V10+V22)/3,IF(Input!$D$58=150,(V10+V22)*0.416667,(V10+V22)/2))))))</f>
        <v>0</v>
      </c>
      <c r="E22" s="27">
        <f>+IF(Input!$E$58=0,0,IF(Input!$E$58=30,(W10+W22)/12,IF(Input!$E$58=60,(W10+W22)/6,IF(Input!$E$58=90,(W10+W22)/4,IF(Input!$E$58=120,(W10+W22)/3,IF(Input!$E$58=150,(W10+W22)*0.416667,(W10+W22)/2))))))</f>
        <v>0</v>
      </c>
      <c r="F22" s="27">
        <f>+IF(Input!$F$58=0,0,IF(Input!$F$58=30,(X10+X22)/12,IF(Input!$F$58=60,(X10+X22)/6,IF(Input!$F$58=90,(X10+X22)/4,IF(Input!$F$58=120,(X10+X22)/3,IF(Input!$F$58=150,(X10+X22)*0.416667,(X10+X22)/2))))))</f>
        <v>0</v>
      </c>
      <c r="G22" s="27">
        <f>+IF(Input!$G$58=0,0,IF(Input!$G$58=30,(Y10+Y22)/12,IF(Input!$G$58=60,(Y10+Y22)/6,IF(Input!$G$58=90,(Y10+Y22)/4,IF(Input!$G$58=120,(Y10+Y22)/3,IF(Input!$G$58=150,(Y10+Y22)*0.416667,(Y10+Y22)/2))))))</f>
        <v>0</v>
      </c>
      <c r="H22" s="27">
        <f>+IF(Input!$H$58=0,0,IF(Input!$H$58=30,(Z10+Z22)/12,IF(Input!$H$58=60,(Z10+Z22)/6,IF(Input!$H$58=90,(Z10+Z22)/4,IF(Input!$H$58=120,(Z10+Z22)/3,IF(Input!$H$58=150,(Z10+Z22)*0.416667,(Z10+Z22)/2))))))</f>
        <v>0</v>
      </c>
      <c r="I22" s="12"/>
      <c r="K22" s="13"/>
      <c r="L22" s="14" t="str">
        <f>+L16</f>
        <v>Mp xProdotti</v>
      </c>
      <c r="M22" s="27">
        <f>+MCL!V10*Input!$E63</f>
        <v>56571.42857142857</v>
      </c>
      <c r="N22" s="27">
        <f>+MCL!W10*Input!$E63</f>
        <v>13828.571428571426</v>
      </c>
      <c r="O22" s="27">
        <f>+MCL!X10*Input!$E63</f>
        <v>60342.85714285714</v>
      </c>
      <c r="P22" s="27">
        <f>+MCL!Y10*Input!$E63</f>
        <v>49342.85714285714</v>
      </c>
      <c r="Q22" s="27">
        <f>+MCL!Z10*Input!$E63</f>
        <v>60342.85714285714</v>
      </c>
      <c r="R22" s="12"/>
      <c r="T22" s="13"/>
      <c r="U22" s="14" t="str">
        <f>+U16</f>
        <v>Mp xProdotti</v>
      </c>
      <c r="V22" s="27">
        <f>+M22/12</f>
        <v>4714.285714285715</v>
      </c>
      <c r="W22" s="27">
        <f>+N22/12</f>
        <v>1152.380952380952</v>
      </c>
      <c r="X22" s="27">
        <f>+O22/12</f>
        <v>5028.571428571428</v>
      </c>
      <c r="Y22" s="27">
        <f>+P22/12</f>
        <v>4111.9047619047615</v>
      </c>
      <c r="Z22" s="27">
        <f>+Q22/12</f>
        <v>5028.571428571428</v>
      </c>
      <c r="AA22" s="12"/>
    </row>
    <row r="23" spans="2:27" ht="15">
      <c r="B23" s="13"/>
      <c r="C23" s="9" t="s">
        <v>28</v>
      </c>
      <c r="D23" s="28">
        <f>SUM(D22:D22)</f>
        <v>0</v>
      </c>
      <c r="E23" s="28">
        <f>SUM(E22:E22)</f>
        <v>0</v>
      </c>
      <c r="F23" s="28">
        <f>SUM(F22:F22)</f>
        <v>0</v>
      </c>
      <c r="G23" s="28">
        <f>SUM(G22:G22)</f>
        <v>0</v>
      </c>
      <c r="H23" s="28">
        <f>SUM(H22:H22)</f>
        <v>0</v>
      </c>
      <c r="I23" s="12"/>
      <c r="K23" s="13"/>
      <c r="L23" s="9" t="s">
        <v>27</v>
      </c>
      <c r="M23" s="28">
        <f>SUM(M22:M22)</f>
        <v>56571.42857142857</v>
      </c>
      <c r="N23" s="28">
        <f>SUM(N22:N22)</f>
        <v>13828.571428571426</v>
      </c>
      <c r="O23" s="28">
        <f>SUM(O22:O22)</f>
        <v>60342.85714285714</v>
      </c>
      <c r="P23" s="28">
        <f>SUM(P22:P22)</f>
        <v>49342.85714285714</v>
      </c>
      <c r="Q23" s="28">
        <f>SUM(Q22:Q22)</f>
        <v>60342.85714285714</v>
      </c>
      <c r="R23" s="12"/>
      <c r="T23" s="13"/>
      <c r="U23" s="9" t="s">
        <v>26</v>
      </c>
      <c r="V23" s="28">
        <f>SUM(V22:V22)</f>
        <v>4714.285714285715</v>
      </c>
      <c r="W23" s="28">
        <f>SUM(W22:W22)</f>
        <v>1152.380952380952</v>
      </c>
      <c r="X23" s="28">
        <f>SUM(X22:X22)</f>
        <v>5028.571428571428</v>
      </c>
      <c r="Y23" s="28">
        <f>SUM(Y22:Y22)</f>
        <v>4111.9047619047615</v>
      </c>
      <c r="Z23" s="28">
        <f>SUM(Z22:Z22)</f>
        <v>5028.571428571428</v>
      </c>
      <c r="AA23" s="12"/>
    </row>
    <row r="24" spans="2:27" ht="15.75" thickBot="1">
      <c r="B24" s="15"/>
      <c r="C24" s="16"/>
      <c r="D24" s="16"/>
      <c r="E24" s="16"/>
      <c r="F24" s="16"/>
      <c r="G24" s="16"/>
      <c r="H24" s="16"/>
      <c r="I24" s="17"/>
      <c r="K24" s="15"/>
      <c r="L24" s="16"/>
      <c r="M24" s="16"/>
      <c r="N24" s="16"/>
      <c r="O24" s="16"/>
      <c r="P24" s="16"/>
      <c r="Q24" s="16"/>
      <c r="R24" s="17"/>
      <c r="T24" s="15"/>
      <c r="U24" s="16"/>
      <c r="V24" s="16"/>
      <c r="W24" s="16"/>
      <c r="X24" s="16"/>
      <c r="Y24" s="16"/>
      <c r="Z24" s="16"/>
      <c r="AA24" s="17"/>
    </row>
    <row r="25" ht="15.75" thickBot="1"/>
    <row r="26" spans="2:18" ht="15">
      <c r="B26" s="5"/>
      <c r="C26" s="6"/>
      <c r="D26" s="6"/>
      <c r="E26" s="6"/>
      <c r="F26" s="6"/>
      <c r="G26" s="6"/>
      <c r="H26" s="6"/>
      <c r="I26" s="7"/>
      <c r="K26" s="5"/>
      <c r="L26" s="6"/>
      <c r="M26" s="6"/>
      <c r="N26" s="6"/>
      <c r="O26" s="6"/>
      <c r="P26" s="6"/>
      <c r="Q26" s="6"/>
      <c r="R26" s="7"/>
    </row>
    <row r="27" spans="2:18" ht="15">
      <c r="B27" s="13"/>
      <c r="C27" s="31" t="s">
        <v>37</v>
      </c>
      <c r="D27" s="10">
        <f>+D21</f>
        <v>2017</v>
      </c>
      <c r="E27" s="10">
        <f>+E21</f>
        <v>2018</v>
      </c>
      <c r="F27" s="10">
        <f>+F21</f>
        <v>2019</v>
      </c>
      <c r="G27" s="10">
        <f>+G21</f>
        <v>2020</v>
      </c>
      <c r="H27" s="10">
        <f>+H21</f>
        <v>2021</v>
      </c>
      <c r="I27" s="12"/>
      <c r="K27" s="13"/>
      <c r="L27" s="31" t="s">
        <v>39</v>
      </c>
      <c r="M27" s="10">
        <f>+M21</f>
        <v>2017</v>
      </c>
      <c r="N27" s="10">
        <f>+N21</f>
        <v>2018</v>
      </c>
      <c r="O27" s="10">
        <f>+O21</f>
        <v>2019</v>
      </c>
      <c r="P27" s="10">
        <f>+P21</f>
        <v>2020</v>
      </c>
      <c r="Q27" s="10">
        <f>+Q21</f>
        <v>2021</v>
      </c>
      <c r="R27" s="12"/>
    </row>
    <row r="28" spans="2:18" ht="15">
      <c r="B28" s="13"/>
      <c r="C28" s="14" t="str">
        <f>+C22</f>
        <v>Mp xProdotti</v>
      </c>
      <c r="D28" s="27">
        <f>+D4+MCL!M16-MCL!D16</f>
        <v>510812.5</v>
      </c>
      <c r="E28" s="27">
        <f>+E4+MCL!N16-MCL!E16+D16</f>
        <v>482279.1666666667</v>
      </c>
      <c r="F28" s="27">
        <f>+F4+MCL!O16-MCL!F16+E16</f>
        <v>580508.3333333334</v>
      </c>
      <c r="G28" s="27">
        <f>+G4+MCL!P16-MCL!G16+F16</f>
        <v>585600</v>
      </c>
      <c r="H28" s="27">
        <f>+H4+MCL!Q16-MCL!H16+G16</f>
        <v>585600</v>
      </c>
      <c r="I28" s="12"/>
      <c r="K28" s="13"/>
      <c r="L28" s="14" t="str">
        <f>+L22</f>
        <v>Mp xProdotti</v>
      </c>
      <c r="M28" s="27">
        <f>+V10+M22-D22</f>
        <v>313714.28571428574</v>
      </c>
      <c r="N28" s="27">
        <f>+W10+N22-E22+D22</f>
        <v>76685.71428571426</v>
      </c>
      <c r="O28" s="27">
        <f>+X10+O22-F22+E22</f>
        <v>334628.5714285714</v>
      </c>
      <c r="P28" s="27">
        <f>+Y10+P22-G22+F22</f>
        <v>273628.5714285714</v>
      </c>
      <c r="Q28" s="27">
        <f>+Z10+Q22-H22+G22</f>
        <v>334628.5714285714</v>
      </c>
      <c r="R28" s="12"/>
    </row>
    <row r="29" spans="2:18" ht="15">
      <c r="B29" s="13"/>
      <c r="C29" s="9" t="s">
        <v>38</v>
      </c>
      <c r="D29" s="28">
        <f>SUM(D28:D28)</f>
        <v>510812.5</v>
      </c>
      <c r="E29" s="28">
        <f>SUM(E28:E28)</f>
        <v>482279.1666666667</v>
      </c>
      <c r="F29" s="28">
        <f>SUM(F28:F28)</f>
        <v>580508.3333333334</v>
      </c>
      <c r="G29" s="28">
        <f>SUM(G28:G28)</f>
        <v>585600</v>
      </c>
      <c r="H29" s="28">
        <f>SUM(H28:H28)</f>
        <v>585600</v>
      </c>
      <c r="I29" s="12"/>
      <c r="K29" s="13"/>
      <c r="L29" s="9" t="s">
        <v>38</v>
      </c>
      <c r="M29" s="28">
        <f>SUM(M28:M28)</f>
        <v>313714.28571428574</v>
      </c>
      <c r="N29" s="28">
        <f>SUM(N28:N28)</f>
        <v>76685.71428571426</v>
      </c>
      <c r="O29" s="28">
        <f>SUM(O28:O28)</f>
        <v>334628.5714285714</v>
      </c>
      <c r="P29" s="28">
        <f>SUM(P28:P28)</f>
        <v>273628.5714285714</v>
      </c>
      <c r="Q29" s="28">
        <f>SUM(Q28:Q28)</f>
        <v>334628.5714285714</v>
      </c>
      <c r="R29" s="12"/>
    </row>
    <row r="30" spans="2:18" ht="15.75" thickBot="1">
      <c r="B30" s="15"/>
      <c r="C30" s="16"/>
      <c r="D30" s="16"/>
      <c r="E30" s="16"/>
      <c r="F30" s="16"/>
      <c r="G30" s="16"/>
      <c r="H30" s="16"/>
      <c r="I30" s="17"/>
      <c r="K30" s="15"/>
      <c r="L30" s="16"/>
      <c r="M30" s="16"/>
      <c r="N30" s="16"/>
      <c r="O30" s="16"/>
      <c r="P30" s="16"/>
      <c r="Q30" s="16"/>
      <c r="R30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R61"/>
  <sheetViews>
    <sheetView showGridLines="0" zoomScalePageLayoutView="0" workbookViewId="0" topLeftCell="A1">
      <selection activeCell="D44" sqref="D44:H44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32"/>
      <c r="C2" s="33"/>
      <c r="D2" s="33"/>
      <c r="E2" s="33"/>
      <c r="F2" s="33"/>
      <c r="G2" s="33"/>
      <c r="H2" s="33"/>
      <c r="I2" s="34"/>
      <c r="K2" s="5"/>
      <c r="L2" s="6"/>
      <c r="M2" s="6"/>
      <c r="N2" s="6"/>
      <c r="O2" s="6"/>
      <c r="P2" s="6"/>
      <c r="Q2" s="6"/>
      <c r="R2" s="7"/>
    </row>
    <row r="3" spans="2:18" ht="15">
      <c r="B3" s="35"/>
      <c r="C3" s="9" t="s">
        <v>41</v>
      </c>
      <c r="D3" s="10">
        <f>+'CE'!D2</f>
        <v>2017</v>
      </c>
      <c r="E3" s="10">
        <f>+'CE'!E2</f>
        <v>2018</v>
      </c>
      <c r="F3" s="10">
        <f>+'CE'!F2</f>
        <v>2019</v>
      </c>
      <c r="G3" s="10">
        <f>+'CE'!G2</f>
        <v>2020</v>
      </c>
      <c r="H3" s="10">
        <f>+'CE'!H2</f>
        <v>2021</v>
      </c>
      <c r="I3" s="36"/>
      <c r="K3" s="13"/>
      <c r="L3" s="9" t="s">
        <v>59</v>
      </c>
      <c r="M3" s="9">
        <f>+D3</f>
        <v>2017</v>
      </c>
      <c r="N3" s="9">
        <f>+E3</f>
        <v>2018</v>
      </c>
      <c r="O3" s="9">
        <f>+F3</f>
        <v>2019</v>
      </c>
      <c r="P3" s="9">
        <f>+G3</f>
        <v>2020</v>
      </c>
      <c r="Q3" s="9">
        <f>+H3</f>
        <v>2021</v>
      </c>
      <c r="R3" s="12"/>
    </row>
    <row r="4" spans="2:18" ht="15">
      <c r="B4" s="35"/>
      <c r="C4" s="14" t="str">
        <f>+Input!C69</f>
        <v>Investimenti Materiali</v>
      </c>
      <c r="D4" s="27">
        <f>+Input!E69</f>
        <v>180000</v>
      </c>
      <c r="E4" s="27">
        <f>+Input!F69</f>
        <v>0</v>
      </c>
      <c r="F4" s="27">
        <f>+Input!G69</f>
        <v>0</v>
      </c>
      <c r="G4" s="27">
        <f>+Input!H69</f>
        <v>0</v>
      </c>
      <c r="H4" s="27">
        <f>+Input!I69</f>
        <v>0</v>
      </c>
      <c r="I4" s="36"/>
      <c r="K4" s="13"/>
      <c r="L4" s="14" t="str">
        <f>+C4</f>
        <v>Investimenti Materiali</v>
      </c>
      <c r="M4" s="27">
        <f>+Input!E69*Input!$E$72</f>
        <v>39600</v>
      </c>
      <c r="N4" s="27">
        <f>+Input!F69*Input!$E$72</f>
        <v>0</v>
      </c>
      <c r="O4" s="27">
        <f>+Input!G69*Input!$E$72</f>
        <v>0</v>
      </c>
      <c r="P4" s="27">
        <f>+Input!H69*Input!$E$72</f>
        <v>0</v>
      </c>
      <c r="Q4" s="27">
        <f>+Input!I69*Input!$E$72</f>
        <v>0</v>
      </c>
      <c r="R4" s="12"/>
    </row>
    <row r="5" spans="2:18" ht="15">
      <c r="B5" s="35"/>
      <c r="C5" s="14" t="str">
        <f>+Input!C70</f>
        <v>Investimenti Immateriali</v>
      </c>
      <c r="D5" s="27">
        <f>+Input!E70</f>
        <v>20000</v>
      </c>
      <c r="E5" s="27">
        <f>+Input!F70</f>
        <v>0</v>
      </c>
      <c r="F5" s="27">
        <f>+Input!G70</f>
        <v>0</v>
      </c>
      <c r="G5" s="27">
        <f>+Input!H70</f>
        <v>0</v>
      </c>
      <c r="H5" s="27">
        <f>+Input!I70</f>
        <v>0</v>
      </c>
      <c r="I5" s="36"/>
      <c r="K5" s="13"/>
      <c r="L5" s="14" t="str">
        <f>+C5</f>
        <v>Investimenti Immateriali</v>
      </c>
      <c r="M5" s="27">
        <f>+Input!E70*Input!$E$72</f>
        <v>4400</v>
      </c>
      <c r="N5" s="27">
        <f>+Input!F70*Input!$E$72</f>
        <v>0</v>
      </c>
      <c r="O5" s="27">
        <f>+Input!G70*Input!$E$72</f>
        <v>0</v>
      </c>
      <c r="P5" s="27">
        <f>+Input!H70*Input!$E$72</f>
        <v>0</v>
      </c>
      <c r="Q5" s="27">
        <f>+Input!I70*Input!$E$72</f>
        <v>0</v>
      </c>
      <c r="R5" s="12"/>
    </row>
    <row r="6" spans="2:18" ht="15">
      <c r="B6" s="35"/>
      <c r="C6" s="14"/>
      <c r="D6" s="14"/>
      <c r="E6" s="14"/>
      <c r="F6" s="14"/>
      <c r="G6" s="14"/>
      <c r="H6" s="14"/>
      <c r="I6" s="36"/>
      <c r="K6" s="13"/>
      <c r="L6" s="9" t="s">
        <v>60</v>
      </c>
      <c r="M6" s="28">
        <f>SUM(M4:M5)</f>
        <v>44000</v>
      </c>
      <c r="N6" s="28">
        <f>SUM(N4:N5)</f>
        <v>0</v>
      </c>
      <c r="O6" s="28">
        <f>SUM(O4:O5)</f>
        <v>0</v>
      </c>
      <c r="P6" s="28">
        <f>SUM(P4:P5)</f>
        <v>0</v>
      </c>
      <c r="Q6" s="28">
        <f>SUM(Q4:Q5)</f>
        <v>0</v>
      </c>
      <c r="R6" s="12"/>
    </row>
    <row r="7" spans="2:18" ht="15.75" thickBot="1">
      <c r="B7" s="35"/>
      <c r="C7" s="14"/>
      <c r="D7" s="14"/>
      <c r="E7" s="14"/>
      <c r="F7" s="14"/>
      <c r="G7" s="14"/>
      <c r="H7" s="14"/>
      <c r="I7" s="36"/>
      <c r="K7" s="15"/>
      <c r="L7" s="16"/>
      <c r="M7" s="16"/>
      <c r="N7" s="16"/>
      <c r="O7" s="16"/>
      <c r="P7" s="16"/>
      <c r="Q7" s="16"/>
      <c r="R7" s="17"/>
    </row>
    <row r="8" spans="2:9" ht="15.75" thickBot="1">
      <c r="B8" s="41" t="s">
        <v>2</v>
      </c>
      <c r="C8" s="9" t="s">
        <v>50</v>
      </c>
      <c r="D8" s="10">
        <f>+D3</f>
        <v>2017</v>
      </c>
      <c r="E8" s="10">
        <f>+E3</f>
        <v>2018</v>
      </c>
      <c r="F8" s="10">
        <f>+F3</f>
        <v>2019</v>
      </c>
      <c r="G8" s="10">
        <f>+G3</f>
        <v>2020</v>
      </c>
      <c r="H8" s="10">
        <f>+H3</f>
        <v>2021</v>
      </c>
      <c r="I8" s="36"/>
    </row>
    <row r="9" spans="2:18" ht="15">
      <c r="B9" s="35"/>
      <c r="C9" s="14" t="str">
        <f>+C4</f>
        <v>Investimenti Materiali</v>
      </c>
      <c r="D9" s="27">
        <f>+Input!E69*Input!$E$78</f>
        <v>18000</v>
      </c>
      <c r="E9" s="27">
        <f>+IF(D14&gt;=$D$4,0,$D4*Input!$E$78)</f>
        <v>18000</v>
      </c>
      <c r="F9" s="27">
        <f>+IF(E14&gt;=$D$4,0,$D4*Input!$E$78)</f>
        <v>18000</v>
      </c>
      <c r="G9" s="27">
        <f>+IF(F14&gt;=$D$4,0,$D4*Input!$E$78)</f>
        <v>18000</v>
      </c>
      <c r="H9" s="27">
        <f>+IF(G14&gt;=$D$4,0,$D4*Input!$E$78)</f>
        <v>18000</v>
      </c>
      <c r="I9" s="36"/>
      <c r="K9" s="5"/>
      <c r="L9" s="6"/>
      <c r="M9" s="6"/>
      <c r="N9" s="6"/>
      <c r="O9" s="6"/>
      <c r="P9" s="6"/>
      <c r="Q9" s="6"/>
      <c r="R9" s="7"/>
    </row>
    <row r="10" spans="2:18" ht="15">
      <c r="B10" s="35"/>
      <c r="C10" s="14" t="str">
        <f>+C5</f>
        <v>Investimenti Immateriali</v>
      </c>
      <c r="D10" s="27">
        <f>+Input!E70*Input!$E$79</f>
        <v>2000</v>
      </c>
      <c r="E10" s="27">
        <f>+IF(D15&gt;=$D$5,0,$D5*Input!$E$79)</f>
        <v>2000</v>
      </c>
      <c r="F10" s="27">
        <f>+IF(E15&gt;=$D$5,0,$D5*Input!$E$79)</f>
        <v>2000</v>
      </c>
      <c r="G10" s="27">
        <f>+IF(F15&gt;=$D$5,0,$D5*Input!$E$79)</f>
        <v>2000</v>
      </c>
      <c r="H10" s="27">
        <f>+IF(G15&gt;=$D$5,0,$D5*Input!$E$79)</f>
        <v>2000</v>
      </c>
      <c r="I10" s="36"/>
      <c r="K10" s="13"/>
      <c r="L10" s="9" t="s">
        <v>61</v>
      </c>
      <c r="M10" s="9">
        <f>+M3</f>
        <v>2017</v>
      </c>
      <c r="N10" s="9">
        <f>+N3</f>
        <v>2018</v>
      </c>
      <c r="O10" s="9">
        <f>+O3</f>
        <v>2019</v>
      </c>
      <c r="P10" s="9">
        <f>+P3</f>
        <v>2020</v>
      </c>
      <c r="Q10" s="9">
        <f>+Q3</f>
        <v>2021</v>
      </c>
      <c r="R10" s="12"/>
    </row>
    <row r="11" spans="2:18" ht="15">
      <c r="B11" s="35"/>
      <c r="C11" s="14"/>
      <c r="D11" s="14"/>
      <c r="E11" s="14"/>
      <c r="F11" s="14"/>
      <c r="G11" s="14"/>
      <c r="H11" s="14"/>
      <c r="I11" s="36"/>
      <c r="K11" s="13"/>
      <c r="L11" s="14" t="str">
        <f>+L4</f>
        <v>Investimenti Materiali</v>
      </c>
      <c r="M11" s="27">
        <f>+Input!E69+(Input!E69*Input!$E$72)-Input!E75</f>
        <v>1800</v>
      </c>
      <c r="N11" s="27">
        <f>+Input!F69+(Input!F69*Input!$E$72)-Input!F75</f>
        <v>0</v>
      </c>
      <c r="O11" s="27">
        <f>+Input!G69+(Input!G69*Input!$E$72)-Input!G75</f>
        <v>0</v>
      </c>
      <c r="P11" s="27">
        <f>+Input!H69+(Input!H69*Input!$E$72)-Input!H75</f>
        <v>0</v>
      </c>
      <c r="Q11" s="27">
        <f>+Input!I69+(Input!I69*Input!$E$72)-Input!I75</f>
        <v>0</v>
      </c>
      <c r="R11" s="12"/>
    </row>
    <row r="12" spans="2:18" ht="15">
      <c r="B12" s="35"/>
      <c r="C12" s="14"/>
      <c r="D12" s="14"/>
      <c r="E12" s="14"/>
      <c r="F12" s="14"/>
      <c r="G12" s="14"/>
      <c r="H12" s="14"/>
      <c r="I12" s="36"/>
      <c r="K12" s="13"/>
      <c r="L12" s="14" t="str">
        <f>+L5</f>
        <v>Investimenti Immateriali</v>
      </c>
      <c r="M12" s="27">
        <f>+Input!E70+(Input!E70*Input!$E$72)-Input!E76</f>
        <v>200</v>
      </c>
      <c r="N12" s="27">
        <f>+Input!F70+(Input!F70*Input!$E$72)-Input!F76</f>
        <v>0</v>
      </c>
      <c r="O12" s="27">
        <f>+Input!G70+(Input!G70*Input!$E$72)-Input!G76</f>
        <v>0</v>
      </c>
      <c r="P12" s="27">
        <f>+Input!H70+(Input!H70*Input!$E$72)-Input!H76</f>
        <v>0</v>
      </c>
      <c r="Q12" s="27">
        <f>+Input!I70+(Input!I70*Input!$E$72)-Input!I76</f>
        <v>0</v>
      </c>
      <c r="R12" s="12"/>
    </row>
    <row r="13" spans="2:18" ht="15">
      <c r="B13" s="35"/>
      <c r="C13" s="9" t="s">
        <v>51</v>
      </c>
      <c r="D13" s="10">
        <f>+D8</f>
        <v>2017</v>
      </c>
      <c r="E13" s="10">
        <f>+E8</f>
        <v>2018</v>
      </c>
      <c r="F13" s="10">
        <f>+F8</f>
        <v>2019</v>
      </c>
      <c r="G13" s="10">
        <f>+G8</f>
        <v>2020</v>
      </c>
      <c r="H13" s="10">
        <f>+H8</f>
        <v>2021</v>
      </c>
      <c r="I13" s="36"/>
      <c r="K13" s="13"/>
      <c r="L13" s="9" t="s">
        <v>62</v>
      </c>
      <c r="M13" s="28">
        <f>SUM(M11:M12)</f>
        <v>2000</v>
      </c>
      <c r="N13" s="28">
        <f>SUM(N11:N12)</f>
        <v>0</v>
      </c>
      <c r="O13" s="28">
        <f>SUM(O11:O12)</f>
        <v>0</v>
      </c>
      <c r="P13" s="28">
        <f>SUM(P11:P12)</f>
        <v>0</v>
      </c>
      <c r="Q13" s="28">
        <f>SUM(Q11:Q12)</f>
        <v>0</v>
      </c>
      <c r="R13" s="12"/>
    </row>
    <row r="14" spans="2:18" ht="15.75" thickBot="1">
      <c r="B14" s="35"/>
      <c r="C14" s="14" t="str">
        <f>+C9</f>
        <v>Investimenti Materiali</v>
      </c>
      <c r="D14" s="27">
        <f>+D9</f>
        <v>18000</v>
      </c>
      <c r="E14" s="27">
        <f aca="true" t="shared" si="0" ref="E14:H15">+D14+E9</f>
        <v>36000</v>
      </c>
      <c r="F14" s="27">
        <f t="shared" si="0"/>
        <v>54000</v>
      </c>
      <c r="G14" s="27">
        <f t="shared" si="0"/>
        <v>72000</v>
      </c>
      <c r="H14" s="27">
        <f t="shared" si="0"/>
        <v>90000</v>
      </c>
      <c r="I14" s="36"/>
      <c r="K14" s="15"/>
      <c r="L14" s="16"/>
      <c r="M14" s="16"/>
      <c r="N14" s="16"/>
      <c r="O14" s="16"/>
      <c r="P14" s="16"/>
      <c r="Q14" s="16"/>
      <c r="R14" s="17"/>
    </row>
    <row r="15" spans="2:9" ht="15.75" thickBot="1">
      <c r="B15" s="35"/>
      <c r="C15" s="14" t="str">
        <f>+C10</f>
        <v>Investimenti Immateriali</v>
      </c>
      <c r="D15" s="27">
        <f>+D10</f>
        <v>2000</v>
      </c>
      <c r="E15" s="27">
        <f t="shared" si="0"/>
        <v>4000</v>
      </c>
      <c r="F15" s="27">
        <f t="shared" si="0"/>
        <v>6000</v>
      </c>
      <c r="G15" s="27">
        <f t="shared" si="0"/>
        <v>8000</v>
      </c>
      <c r="H15" s="27">
        <f t="shared" si="0"/>
        <v>10000</v>
      </c>
      <c r="I15" s="36"/>
    </row>
    <row r="16" spans="2:18" ht="15">
      <c r="B16" s="35"/>
      <c r="C16" s="14"/>
      <c r="D16" s="14"/>
      <c r="E16" s="14"/>
      <c r="F16" s="14"/>
      <c r="G16" s="14"/>
      <c r="H16" s="14"/>
      <c r="I16" s="36"/>
      <c r="K16" s="5"/>
      <c r="L16" s="6"/>
      <c r="M16" s="6"/>
      <c r="N16" s="6"/>
      <c r="O16" s="6"/>
      <c r="P16" s="6"/>
      <c r="Q16" s="6"/>
      <c r="R16" s="7"/>
    </row>
    <row r="17" spans="2:18" ht="15">
      <c r="B17" s="41" t="s">
        <v>3</v>
      </c>
      <c r="C17" s="9" t="s">
        <v>50</v>
      </c>
      <c r="D17" s="10">
        <f>+D13</f>
        <v>2017</v>
      </c>
      <c r="E17" s="10">
        <f>+E13</f>
        <v>2018</v>
      </c>
      <c r="F17" s="10">
        <f>+F13</f>
        <v>2019</v>
      </c>
      <c r="G17" s="10">
        <f>+G13</f>
        <v>2020</v>
      </c>
      <c r="H17" s="10">
        <f>+H13</f>
        <v>2021</v>
      </c>
      <c r="I17" s="36"/>
      <c r="K17" s="13"/>
      <c r="L17" s="9" t="s">
        <v>39</v>
      </c>
      <c r="M17" s="10">
        <f>+M10</f>
        <v>2017</v>
      </c>
      <c r="N17" s="10">
        <f>+N10</f>
        <v>2018</v>
      </c>
      <c r="O17" s="10">
        <f>+O10</f>
        <v>2019</v>
      </c>
      <c r="P17" s="10">
        <f>+P10</f>
        <v>2020</v>
      </c>
      <c r="Q17" s="10">
        <f>+Q10</f>
        <v>2021</v>
      </c>
      <c r="R17" s="12"/>
    </row>
    <row r="18" spans="2:18" ht="15">
      <c r="B18" s="35"/>
      <c r="C18" s="14" t="str">
        <f>+C9</f>
        <v>Investimenti Materiali</v>
      </c>
      <c r="D18" s="27"/>
      <c r="E18" s="27">
        <f>+E4*Input!E78</f>
        <v>0</v>
      </c>
      <c r="F18" s="27">
        <f>+IF(E23&gt;=$E$4,0,$E4*Input!$E$78)</f>
        <v>0</v>
      </c>
      <c r="G18" s="27">
        <f>+IF(F23&gt;=$E$4,0,$E4*Input!$E$78)</f>
        <v>0</v>
      </c>
      <c r="H18" s="27">
        <f>+IF(G23&gt;=$E$4,0,$E4*Input!$E$78)</f>
        <v>0</v>
      </c>
      <c r="I18" s="36"/>
      <c r="K18" s="13"/>
      <c r="L18" s="14" t="str">
        <f>+L11</f>
        <v>Investimenti Materiali</v>
      </c>
      <c r="M18" s="27">
        <f>+Input!E75</f>
        <v>217800</v>
      </c>
      <c r="N18" s="27">
        <f>+Input!F75</f>
        <v>0</v>
      </c>
      <c r="O18" s="27">
        <f>+Input!G75</f>
        <v>0</v>
      </c>
      <c r="P18" s="27">
        <f>+Input!H75</f>
        <v>0</v>
      </c>
      <c r="Q18" s="27">
        <f>+Input!I75</f>
        <v>0</v>
      </c>
      <c r="R18" s="12"/>
    </row>
    <row r="19" spans="2:18" ht="15">
      <c r="B19" s="35"/>
      <c r="C19" s="14" t="str">
        <f>+C10</f>
        <v>Investimenti Immateriali</v>
      </c>
      <c r="D19" s="27"/>
      <c r="E19" s="27">
        <f>+E5*Input!E79</f>
        <v>0</v>
      </c>
      <c r="F19" s="27">
        <f>+IF(E24&gt;=$E$5,0,$E5*Input!$E$79)</f>
        <v>0</v>
      </c>
      <c r="G19" s="27">
        <f>+IF(F24&gt;=$E$5,0,$E5*Input!$E$79)</f>
        <v>0</v>
      </c>
      <c r="H19" s="27">
        <f>+IF(G24&gt;=$E$5,0,$E5*Input!$E$79)</f>
        <v>0</v>
      </c>
      <c r="I19" s="36"/>
      <c r="K19" s="13"/>
      <c r="L19" s="14" t="str">
        <f>+L12</f>
        <v>Investimenti Immateriali</v>
      </c>
      <c r="M19" s="27">
        <f>+Input!E76</f>
        <v>24200</v>
      </c>
      <c r="N19" s="27">
        <f>+Input!F76</f>
        <v>0</v>
      </c>
      <c r="O19" s="27">
        <f>+Input!G76</f>
        <v>0</v>
      </c>
      <c r="P19" s="27">
        <f>+Input!H76</f>
        <v>0</v>
      </c>
      <c r="Q19" s="27">
        <f>+Input!I76</f>
        <v>0</v>
      </c>
      <c r="R19" s="12"/>
    </row>
    <row r="20" spans="2:18" ht="15">
      <c r="B20" s="35"/>
      <c r="C20" s="14"/>
      <c r="D20" s="14"/>
      <c r="E20" s="14"/>
      <c r="F20" s="14"/>
      <c r="G20" s="14"/>
      <c r="H20" s="14"/>
      <c r="I20" s="36"/>
      <c r="K20" s="13"/>
      <c r="L20" s="9" t="s">
        <v>63</v>
      </c>
      <c r="M20" s="28">
        <f>SUM(M18:M19)</f>
        <v>242000</v>
      </c>
      <c r="N20" s="28">
        <f>SUM(N18:N19)</f>
        <v>0</v>
      </c>
      <c r="O20" s="28">
        <f>SUM(O18:O19)</f>
        <v>0</v>
      </c>
      <c r="P20" s="28">
        <f>SUM(P18:P19)</f>
        <v>0</v>
      </c>
      <c r="Q20" s="28">
        <f>SUM(Q18:Q19)</f>
        <v>0</v>
      </c>
      <c r="R20" s="12"/>
    </row>
    <row r="21" spans="2:18" ht="15.75" thickBot="1">
      <c r="B21" s="35"/>
      <c r="C21" s="14"/>
      <c r="D21" s="14"/>
      <c r="E21" s="14"/>
      <c r="F21" s="14"/>
      <c r="G21" s="14"/>
      <c r="H21" s="14"/>
      <c r="I21" s="36"/>
      <c r="K21" s="15"/>
      <c r="L21" s="16"/>
      <c r="M21" s="16"/>
      <c r="N21" s="16"/>
      <c r="O21" s="16"/>
      <c r="P21" s="16"/>
      <c r="Q21" s="16"/>
      <c r="R21" s="17"/>
    </row>
    <row r="22" spans="2:9" ht="15">
      <c r="B22" s="35"/>
      <c r="C22" s="9" t="s">
        <v>51</v>
      </c>
      <c r="D22" s="10">
        <f>+D17</f>
        <v>2017</v>
      </c>
      <c r="E22" s="10">
        <f>+E17</f>
        <v>2018</v>
      </c>
      <c r="F22" s="10">
        <f>+F17</f>
        <v>2019</v>
      </c>
      <c r="G22" s="10">
        <f>+G17</f>
        <v>2020</v>
      </c>
      <c r="H22" s="10">
        <f>+H17</f>
        <v>2021</v>
      </c>
      <c r="I22" s="36"/>
    </row>
    <row r="23" spans="2:9" ht="15">
      <c r="B23" s="35"/>
      <c r="C23" s="14" t="str">
        <f>+C18</f>
        <v>Investimenti Materiali</v>
      </c>
      <c r="D23" s="27"/>
      <c r="E23" s="27">
        <f aca="true" t="shared" si="1" ref="E23:H24">+D23+E18</f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36"/>
    </row>
    <row r="24" spans="2:9" ht="15">
      <c r="B24" s="35"/>
      <c r="C24" s="14" t="str">
        <f>+C19</f>
        <v>Investimenti Immateriali</v>
      </c>
      <c r="D24" s="27"/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36"/>
    </row>
    <row r="25" spans="2:9" ht="15">
      <c r="B25" s="35"/>
      <c r="C25" s="14"/>
      <c r="D25" s="14"/>
      <c r="E25" s="14"/>
      <c r="F25" s="14"/>
      <c r="G25" s="14"/>
      <c r="H25" s="14"/>
      <c r="I25" s="36"/>
    </row>
    <row r="26" spans="2:9" ht="15">
      <c r="B26" s="41" t="s">
        <v>4</v>
      </c>
      <c r="C26" s="9" t="s">
        <v>50</v>
      </c>
      <c r="D26" s="10">
        <f>+D22</f>
        <v>2017</v>
      </c>
      <c r="E26" s="10">
        <f>+E22</f>
        <v>2018</v>
      </c>
      <c r="F26" s="10">
        <f>+F22</f>
        <v>2019</v>
      </c>
      <c r="G26" s="10">
        <f>+G22</f>
        <v>2020</v>
      </c>
      <c r="H26" s="10">
        <f>+H22</f>
        <v>2021</v>
      </c>
      <c r="I26" s="36"/>
    </row>
    <row r="27" spans="2:9" ht="15">
      <c r="B27" s="35"/>
      <c r="C27" s="14" t="str">
        <f>+C18</f>
        <v>Investimenti Materiali</v>
      </c>
      <c r="D27" s="27"/>
      <c r="E27" s="27"/>
      <c r="F27" s="27">
        <f>+F4*Input!$E$78</f>
        <v>0</v>
      </c>
      <c r="G27" s="27">
        <f>+IF(F32&gt;=$F$4,0,$F4*Input!$E$78)</f>
        <v>0</v>
      </c>
      <c r="H27" s="27">
        <f>+IF(G32&gt;=$F$4,0,$F4*Input!$E$78)</f>
        <v>0</v>
      </c>
      <c r="I27" s="36"/>
    </row>
    <row r="28" spans="2:9" ht="15">
      <c r="B28" s="35"/>
      <c r="C28" s="14" t="str">
        <f>+C19</f>
        <v>Investimenti Immateriali</v>
      </c>
      <c r="D28" s="27"/>
      <c r="E28" s="27"/>
      <c r="F28" s="27">
        <f>+F5*Input!E79</f>
        <v>0</v>
      </c>
      <c r="G28" s="27">
        <f>+IF(F33&gt;=$F$4,0,$F5*Input!$E$78)</f>
        <v>0</v>
      </c>
      <c r="H28" s="27">
        <f>+IF(G33&gt;=$F$4,0,$F5*Input!$E$78)</f>
        <v>0</v>
      </c>
      <c r="I28" s="36"/>
    </row>
    <row r="29" spans="2:9" ht="15">
      <c r="B29" s="35"/>
      <c r="C29" s="14"/>
      <c r="D29" s="14"/>
      <c r="E29" s="14"/>
      <c r="F29" s="14"/>
      <c r="G29" s="14"/>
      <c r="H29" s="14"/>
      <c r="I29" s="36"/>
    </row>
    <row r="30" spans="2:9" ht="15">
      <c r="B30" s="35"/>
      <c r="C30" s="14"/>
      <c r="D30" s="14"/>
      <c r="E30" s="14"/>
      <c r="F30" s="14"/>
      <c r="G30" s="14"/>
      <c r="H30" s="14"/>
      <c r="I30" s="36"/>
    </row>
    <row r="31" spans="2:9" ht="15">
      <c r="B31" s="35"/>
      <c r="C31" s="9" t="s">
        <v>51</v>
      </c>
      <c r="D31" s="10">
        <f>+D26</f>
        <v>2017</v>
      </c>
      <c r="E31" s="10">
        <f>+E26</f>
        <v>2018</v>
      </c>
      <c r="F31" s="10">
        <f>+F26</f>
        <v>2019</v>
      </c>
      <c r="G31" s="10">
        <f>+G26</f>
        <v>2020</v>
      </c>
      <c r="H31" s="10">
        <f>+H26</f>
        <v>2021</v>
      </c>
      <c r="I31" s="36"/>
    </row>
    <row r="32" spans="2:9" ht="15">
      <c r="B32" s="35"/>
      <c r="C32" s="14" t="str">
        <f>+C27</f>
        <v>Investimenti Materiali</v>
      </c>
      <c r="D32" s="27"/>
      <c r="E32" s="27"/>
      <c r="F32" s="27">
        <f aca="true" t="shared" si="2" ref="F32:H33">+E32+F27</f>
        <v>0</v>
      </c>
      <c r="G32" s="27">
        <f t="shared" si="2"/>
        <v>0</v>
      </c>
      <c r="H32" s="27">
        <f t="shared" si="2"/>
        <v>0</v>
      </c>
      <c r="I32" s="36"/>
    </row>
    <row r="33" spans="2:9" ht="15">
      <c r="B33" s="35"/>
      <c r="C33" s="14" t="str">
        <f>+C28</f>
        <v>Investimenti Immateriali</v>
      </c>
      <c r="D33" s="27"/>
      <c r="E33" s="27"/>
      <c r="F33" s="27">
        <f t="shared" si="2"/>
        <v>0</v>
      </c>
      <c r="G33" s="27">
        <f t="shared" si="2"/>
        <v>0</v>
      </c>
      <c r="H33" s="27">
        <f t="shared" si="2"/>
        <v>0</v>
      </c>
      <c r="I33" s="36"/>
    </row>
    <row r="34" spans="2:9" ht="15">
      <c r="B34" s="35"/>
      <c r="C34" s="9"/>
      <c r="D34" s="14"/>
      <c r="E34" s="14"/>
      <c r="F34" s="14"/>
      <c r="G34" s="14"/>
      <c r="H34" s="14"/>
      <c r="I34" s="36"/>
    </row>
    <row r="35" spans="2:9" ht="15">
      <c r="B35" s="41" t="s">
        <v>5</v>
      </c>
      <c r="C35" s="9" t="s">
        <v>50</v>
      </c>
      <c r="D35" s="10">
        <f>+D26</f>
        <v>2017</v>
      </c>
      <c r="E35" s="10">
        <f>+E26</f>
        <v>2018</v>
      </c>
      <c r="F35" s="10">
        <f>+F26</f>
        <v>2019</v>
      </c>
      <c r="G35" s="10">
        <f>+G26</f>
        <v>2020</v>
      </c>
      <c r="H35" s="10">
        <f>+H26</f>
        <v>2021</v>
      </c>
      <c r="I35" s="36"/>
    </row>
    <row r="36" spans="2:9" ht="15">
      <c r="B36" s="35"/>
      <c r="C36" s="14" t="str">
        <f>+C27</f>
        <v>Investimenti Materiali</v>
      </c>
      <c r="D36" s="27"/>
      <c r="E36" s="27"/>
      <c r="F36" s="27"/>
      <c r="G36" s="27">
        <f>+G4*Input!E78</f>
        <v>0</v>
      </c>
      <c r="H36" s="27">
        <f>+IF(G41&gt;=$G$4,0,$G4*Input!$E$78)</f>
        <v>0</v>
      </c>
      <c r="I36" s="36"/>
    </row>
    <row r="37" spans="2:9" ht="15">
      <c r="B37" s="35"/>
      <c r="C37" s="14" t="str">
        <f>+C28</f>
        <v>Investimenti Immateriali</v>
      </c>
      <c r="D37" s="27"/>
      <c r="E37" s="27"/>
      <c r="F37" s="27"/>
      <c r="G37" s="27">
        <f>+G5*Input!E79</f>
        <v>0</v>
      </c>
      <c r="H37" s="27">
        <f>+IF(G42&gt;=$G$4,0,$G5*Input!$E$78)</f>
        <v>0</v>
      </c>
      <c r="I37" s="36"/>
    </row>
    <row r="38" spans="2:9" ht="15">
      <c r="B38" s="35"/>
      <c r="C38" s="14"/>
      <c r="D38" s="14"/>
      <c r="E38" s="14"/>
      <c r="F38" s="14"/>
      <c r="G38" s="14"/>
      <c r="H38" s="14"/>
      <c r="I38" s="36"/>
    </row>
    <row r="39" spans="2:9" ht="15">
      <c r="B39" s="35"/>
      <c r="C39" s="14"/>
      <c r="D39" s="14"/>
      <c r="E39" s="14"/>
      <c r="F39" s="14"/>
      <c r="G39" s="14"/>
      <c r="H39" s="14"/>
      <c r="I39" s="36"/>
    </row>
    <row r="40" spans="2:9" ht="15">
      <c r="B40" s="35"/>
      <c r="C40" s="9" t="s">
        <v>51</v>
      </c>
      <c r="D40" s="10">
        <f>+D35</f>
        <v>2017</v>
      </c>
      <c r="E40" s="10">
        <f>+E35</f>
        <v>2018</v>
      </c>
      <c r="F40" s="10">
        <f>+F35</f>
        <v>2019</v>
      </c>
      <c r="G40" s="10">
        <f>+G35</f>
        <v>2020</v>
      </c>
      <c r="H40" s="10">
        <f>+H35</f>
        <v>2021</v>
      </c>
      <c r="I40" s="36"/>
    </row>
    <row r="41" spans="2:9" ht="15">
      <c r="B41" s="35"/>
      <c r="C41" s="14" t="str">
        <f>+C36</f>
        <v>Investimenti Materiali</v>
      </c>
      <c r="D41" s="27"/>
      <c r="E41" s="27"/>
      <c r="F41" s="27">
        <f aca="true" t="shared" si="3" ref="F41:H42">+E41+F36</f>
        <v>0</v>
      </c>
      <c r="G41" s="27">
        <f t="shared" si="3"/>
        <v>0</v>
      </c>
      <c r="H41" s="27">
        <f t="shared" si="3"/>
        <v>0</v>
      </c>
      <c r="I41" s="36"/>
    </row>
    <row r="42" spans="2:9" ht="15">
      <c r="B42" s="35"/>
      <c r="C42" s="14" t="str">
        <f>+C37</f>
        <v>Investimenti Immateriali</v>
      </c>
      <c r="D42" s="27"/>
      <c r="E42" s="27"/>
      <c r="F42" s="27">
        <f t="shared" si="3"/>
        <v>0</v>
      </c>
      <c r="G42" s="27">
        <f t="shared" si="3"/>
        <v>0</v>
      </c>
      <c r="H42" s="27">
        <f t="shared" si="3"/>
        <v>0</v>
      </c>
      <c r="I42" s="36"/>
    </row>
    <row r="43" spans="2:9" ht="15">
      <c r="B43" s="35"/>
      <c r="C43" s="14"/>
      <c r="D43" s="14"/>
      <c r="E43" s="14"/>
      <c r="F43" s="14"/>
      <c r="G43" s="14"/>
      <c r="H43" s="14"/>
      <c r="I43" s="36"/>
    </row>
    <row r="44" spans="2:9" ht="15">
      <c r="B44" s="41" t="s">
        <v>6</v>
      </c>
      <c r="C44" s="9" t="s">
        <v>50</v>
      </c>
      <c r="D44" s="10">
        <f>+D35</f>
        <v>2017</v>
      </c>
      <c r="E44" s="10">
        <f>+E35</f>
        <v>2018</v>
      </c>
      <c r="F44" s="10">
        <f>+F35</f>
        <v>2019</v>
      </c>
      <c r="G44" s="10">
        <f>+G35</f>
        <v>2020</v>
      </c>
      <c r="H44" s="10">
        <f>+H35</f>
        <v>2021</v>
      </c>
      <c r="I44" s="36"/>
    </row>
    <row r="45" spans="2:9" ht="15">
      <c r="B45" s="35"/>
      <c r="C45" s="14" t="str">
        <f>+C36</f>
        <v>Investimenti Materiali</v>
      </c>
      <c r="D45" s="27"/>
      <c r="E45" s="27"/>
      <c r="F45" s="27"/>
      <c r="G45" s="27"/>
      <c r="H45" s="27">
        <f>+H4*Input!E78</f>
        <v>0</v>
      </c>
      <c r="I45" s="36"/>
    </row>
    <row r="46" spans="2:9" ht="15">
      <c r="B46" s="35"/>
      <c r="C46" s="14" t="str">
        <f>+C37</f>
        <v>Investimenti Immateriali</v>
      </c>
      <c r="D46" s="27"/>
      <c r="E46" s="27"/>
      <c r="F46" s="27"/>
      <c r="G46" s="27"/>
      <c r="H46" s="27">
        <f>+H5*Input!E79</f>
        <v>0</v>
      </c>
      <c r="I46" s="36"/>
    </row>
    <row r="47" spans="2:9" ht="15">
      <c r="B47" s="35"/>
      <c r="C47" s="14"/>
      <c r="D47" s="14"/>
      <c r="E47" s="14"/>
      <c r="F47" s="14"/>
      <c r="G47" s="14"/>
      <c r="H47" s="14"/>
      <c r="I47" s="36"/>
    </row>
    <row r="48" spans="2:9" ht="15">
      <c r="B48" s="35"/>
      <c r="C48" s="14"/>
      <c r="D48" s="14"/>
      <c r="E48" s="14"/>
      <c r="F48" s="14"/>
      <c r="G48" s="14"/>
      <c r="H48" s="14"/>
      <c r="I48" s="36"/>
    </row>
    <row r="49" spans="2:9" ht="15">
      <c r="B49" s="35"/>
      <c r="C49" s="9" t="s">
        <v>51</v>
      </c>
      <c r="D49" s="10">
        <f>+D44</f>
        <v>2017</v>
      </c>
      <c r="E49" s="10">
        <f>+E44</f>
        <v>2018</v>
      </c>
      <c r="F49" s="10">
        <f>+F44</f>
        <v>2019</v>
      </c>
      <c r="G49" s="10">
        <f>+G44</f>
        <v>2020</v>
      </c>
      <c r="H49" s="10">
        <f>+H44</f>
        <v>2021</v>
      </c>
      <c r="I49" s="36"/>
    </row>
    <row r="50" spans="2:9" ht="15">
      <c r="B50" s="35"/>
      <c r="C50" s="14" t="str">
        <f>+C45</f>
        <v>Investimenti Materiali</v>
      </c>
      <c r="D50" s="27"/>
      <c r="E50" s="27"/>
      <c r="F50" s="27"/>
      <c r="G50" s="27"/>
      <c r="H50" s="27">
        <f>+G50+H45</f>
        <v>0</v>
      </c>
      <c r="I50" s="36"/>
    </row>
    <row r="51" spans="2:9" ht="15">
      <c r="B51" s="35"/>
      <c r="C51" s="14" t="str">
        <f>+C46</f>
        <v>Investimenti Immateriali</v>
      </c>
      <c r="D51" s="27"/>
      <c r="E51" s="27"/>
      <c r="F51" s="27"/>
      <c r="G51" s="27"/>
      <c r="H51" s="27">
        <f>+G51+H46</f>
        <v>0</v>
      </c>
      <c r="I51" s="36"/>
    </row>
    <row r="52" spans="2:9" ht="15">
      <c r="B52" s="35"/>
      <c r="C52" s="14"/>
      <c r="D52" s="14"/>
      <c r="E52" s="14"/>
      <c r="F52" s="14"/>
      <c r="G52" s="14"/>
      <c r="H52" s="14"/>
      <c r="I52" s="36"/>
    </row>
    <row r="53" spans="2:9" ht="15">
      <c r="B53" s="41" t="s">
        <v>52</v>
      </c>
      <c r="C53" s="9" t="str">
        <f>+C44</f>
        <v>Ammortamenti</v>
      </c>
      <c r="D53" s="10">
        <f>+D49</f>
        <v>2017</v>
      </c>
      <c r="E53" s="10">
        <f>+E49</f>
        <v>2018</v>
      </c>
      <c r="F53" s="10">
        <f>+F49</f>
        <v>2019</v>
      </c>
      <c r="G53" s="10">
        <f>+G49</f>
        <v>2020</v>
      </c>
      <c r="H53" s="10">
        <f>+H49</f>
        <v>2021</v>
      </c>
      <c r="I53" s="36"/>
    </row>
    <row r="54" spans="2:9" ht="15">
      <c r="B54" s="35"/>
      <c r="C54" s="14" t="str">
        <f aca="true" t="shared" si="4" ref="C54:C60">+C45</f>
        <v>Investimenti Materiali</v>
      </c>
      <c r="D54" s="27">
        <f aca="true" t="shared" si="5" ref="D54:H55">+D9+D18+D27+D36+E45</f>
        <v>18000</v>
      </c>
      <c r="E54" s="27">
        <f t="shared" si="5"/>
        <v>18000</v>
      </c>
      <c r="F54" s="27">
        <f t="shared" si="5"/>
        <v>18000</v>
      </c>
      <c r="G54" s="27">
        <f t="shared" si="5"/>
        <v>18000</v>
      </c>
      <c r="H54" s="27">
        <f t="shared" si="5"/>
        <v>18000</v>
      </c>
      <c r="I54" s="36"/>
    </row>
    <row r="55" spans="2:9" ht="15">
      <c r="B55" s="35"/>
      <c r="C55" s="14" t="str">
        <f t="shared" si="4"/>
        <v>Investimenti Immateriali</v>
      </c>
      <c r="D55" s="27">
        <f t="shared" si="5"/>
        <v>2000</v>
      </c>
      <c r="E55" s="27">
        <f t="shared" si="5"/>
        <v>2000</v>
      </c>
      <c r="F55" s="27">
        <f t="shared" si="5"/>
        <v>2000</v>
      </c>
      <c r="G55" s="27">
        <f t="shared" si="5"/>
        <v>2000</v>
      </c>
      <c r="H55" s="27">
        <f t="shared" si="5"/>
        <v>2000</v>
      </c>
      <c r="I55" s="36"/>
    </row>
    <row r="56" spans="2:9" ht="15">
      <c r="B56" s="35"/>
      <c r="C56" s="14"/>
      <c r="D56" s="14"/>
      <c r="E56" s="14"/>
      <c r="F56" s="14"/>
      <c r="G56" s="14"/>
      <c r="H56" s="14"/>
      <c r="I56" s="36"/>
    </row>
    <row r="57" spans="2:9" ht="15">
      <c r="B57" s="35"/>
      <c r="C57" s="14"/>
      <c r="D57" s="14"/>
      <c r="E57" s="14"/>
      <c r="F57" s="14"/>
      <c r="G57" s="14"/>
      <c r="H57" s="14"/>
      <c r="I57" s="36"/>
    </row>
    <row r="58" spans="2:9" ht="15">
      <c r="B58" s="35"/>
      <c r="C58" s="9" t="str">
        <f t="shared" si="4"/>
        <v>Fondo Ammortamenti</v>
      </c>
      <c r="D58" s="10">
        <f>+D53</f>
        <v>2017</v>
      </c>
      <c r="E58" s="10">
        <f>+E53</f>
        <v>2018</v>
      </c>
      <c r="F58" s="10">
        <f>+F53</f>
        <v>2019</v>
      </c>
      <c r="G58" s="10">
        <f>+G53</f>
        <v>2020</v>
      </c>
      <c r="H58" s="10">
        <f>+H53</f>
        <v>2021</v>
      </c>
      <c r="I58" s="36"/>
    </row>
    <row r="59" spans="2:9" ht="15">
      <c r="B59" s="35"/>
      <c r="C59" s="14" t="str">
        <f t="shared" si="4"/>
        <v>Investimenti Materiali</v>
      </c>
      <c r="D59" s="27">
        <f>+D14+D23+D32+D41+E50</f>
        <v>18000</v>
      </c>
      <c r="E59" s="37">
        <f aca="true" t="shared" si="6" ref="E59:H60">+E54+D59</f>
        <v>36000</v>
      </c>
      <c r="F59" s="37">
        <f t="shared" si="6"/>
        <v>54000</v>
      </c>
      <c r="G59" s="37">
        <f t="shared" si="6"/>
        <v>72000</v>
      </c>
      <c r="H59" s="37">
        <f t="shared" si="6"/>
        <v>90000</v>
      </c>
      <c r="I59" s="36"/>
    </row>
    <row r="60" spans="2:9" ht="15">
      <c r="B60" s="35"/>
      <c r="C60" s="14" t="str">
        <f t="shared" si="4"/>
        <v>Investimenti Immateriali</v>
      </c>
      <c r="D60" s="27">
        <f>+D15+D24+D33+D42+E51</f>
        <v>2000</v>
      </c>
      <c r="E60" s="37">
        <f t="shared" si="6"/>
        <v>4000</v>
      </c>
      <c r="F60" s="37">
        <f t="shared" si="6"/>
        <v>6000</v>
      </c>
      <c r="G60" s="37">
        <f t="shared" si="6"/>
        <v>8000</v>
      </c>
      <c r="H60" s="37">
        <f t="shared" si="6"/>
        <v>10000</v>
      </c>
      <c r="I60" s="36"/>
    </row>
    <row r="61" spans="2:9" ht="15.75" thickBot="1">
      <c r="B61" s="38"/>
      <c r="C61" s="39"/>
      <c r="D61" s="39"/>
      <c r="E61" s="39"/>
      <c r="F61" s="39"/>
      <c r="G61" s="39"/>
      <c r="H61" s="39"/>
      <c r="I61" s="40"/>
    </row>
    <row r="62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Utente Windows</cp:lastModifiedBy>
  <dcterms:created xsi:type="dcterms:W3CDTF">2012-11-14T21:23:26Z</dcterms:created>
  <dcterms:modified xsi:type="dcterms:W3CDTF">2017-04-18T08:12:22Z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